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e078be0a61d2912/Desktop/"/>
    </mc:Choice>
  </mc:AlternateContent>
  <xr:revisionPtr revIDLastSave="178" documentId="8_{AC6E5F65-357D-4A83-92E5-E58AD9C6F0F0}" xr6:coauthVersionLast="47" xr6:coauthVersionMax="47" xr10:uidLastSave="{3A891889-BB53-4278-84A2-643832876B4A}"/>
  <bookViews>
    <workbookView xWindow="7155" yWindow="8002" windowWidth="21795" windowHeight="11625" xr2:uid="{D5A92551-354B-40CB-9FD4-05EE213A7A70}"/>
  </bookViews>
  <sheets>
    <sheet name="Main data" sheetId="1" r:id="rId1"/>
    <sheet name="Sheet1" sheetId="2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685" i="1" l="1"/>
  <c r="T5679" i="1"/>
  <c r="H5679" i="1"/>
  <c r="K5679" i="1" s="1"/>
  <c r="M5679" i="1" s="1"/>
  <c r="G5679" i="1"/>
  <c r="T5673" i="1"/>
  <c r="M5673" i="1"/>
  <c r="Q5651" i="1"/>
  <c r="T5651" i="1" s="1"/>
  <c r="G5651" i="1"/>
  <c r="K5651" i="1" s="1"/>
  <c r="M5651" i="1" s="1"/>
  <c r="Q5646" i="1"/>
  <c r="T5646" i="1" s="1"/>
  <c r="M5646" i="1"/>
  <c r="Q5643" i="1"/>
  <c r="T5643" i="1" s="1"/>
  <c r="K5643" i="1"/>
  <c r="M5643" i="1" s="1"/>
  <c r="T5632" i="1"/>
  <c r="K5632" i="1"/>
  <c r="M5632" i="1" s="1"/>
  <c r="Q5631" i="1"/>
  <c r="T5631" i="1" s="1"/>
  <c r="K5631" i="1"/>
  <c r="M5631" i="1" s="1"/>
  <c r="T5624" i="1"/>
  <c r="M5624" i="1"/>
  <c r="Q5613" i="1"/>
  <c r="T5613" i="1" s="1"/>
  <c r="K5613" i="1"/>
  <c r="M5613" i="1" s="1"/>
  <c r="Q5612" i="1"/>
  <c r="T5612" i="1" s="1"/>
  <c r="K5612" i="1"/>
  <c r="M5612" i="1" s="1"/>
  <c r="Q5609" i="1"/>
  <c r="T5609" i="1" s="1"/>
  <c r="I5609" i="1"/>
  <c r="K5609" i="1" s="1"/>
  <c r="F5609" i="1"/>
  <c r="Q5480" i="1"/>
  <c r="H5480" i="1"/>
  <c r="G5480" i="1"/>
  <c r="K5479" i="1"/>
  <c r="M5479" i="1" s="1"/>
  <c r="K5478" i="1"/>
  <c r="M5478" i="1" s="1"/>
  <c r="K5477" i="1"/>
  <c r="M5477" i="1" s="1"/>
  <c r="K5476" i="1"/>
  <c r="M5476" i="1" s="1"/>
  <c r="K5475" i="1"/>
  <c r="M5475" i="1" s="1"/>
  <c r="K5474" i="1"/>
  <c r="M5474" i="1" s="1"/>
  <c r="K5473" i="1"/>
  <c r="M5473" i="1" s="1"/>
  <c r="K5472" i="1"/>
  <c r="M5472" i="1" s="1"/>
  <c r="K5471" i="1"/>
  <c r="M5471" i="1" s="1"/>
  <c r="K5470" i="1"/>
  <c r="M5470" i="1" s="1"/>
  <c r="K5469" i="1"/>
  <c r="M5469" i="1" s="1"/>
  <c r="K5468" i="1"/>
  <c r="M5468" i="1" s="1"/>
  <c r="K5466" i="1"/>
  <c r="M5466" i="1" s="1"/>
  <c r="K5465" i="1"/>
  <c r="M5465" i="1" s="1"/>
  <c r="K5464" i="1"/>
  <c r="M5464" i="1" s="1"/>
  <c r="K5463" i="1"/>
  <c r="M5463" i="1" s="1"/>
  <c r="K5462" i="1"/>
  <c r="M5462" i="1" s="1"/>
  <c r="K5461" i="1"/>
  <c r="M5461" i="1" s="1"/>
  <c r="K5460" i="1"/>
  <c r="M5460" i="1" s="1"/>
  <c r="K5459" i="1"/>
  <c r="M5459" i="1" s="1"/>
  <c r="K5458" i="1"/>
  <c r="M5458" i="1" s="1"/>
  <c r="K5457" i="1"/>
  <c r="M5457" i="1" s="1"/>
  <c r="K5456" i="1"/>
  <c r="M5456" i="1" s="1"/>
  <c r="K5455" i="1"/>
  <c r="M5455" i="1" s="1"/>
  <c r="K5454" i="1"/>
  <c r="M5454" i="1" s="1"/>
  <c r="K5453" i="1"/>
  <c r="M5453" i="1" s="1"/>
  <c r="K5452" i="1"/>
  <c r="M5452" i="1" s="1"/>
  <c r="K5451" i="1"/>
  <c r="M5451" i="1" s="1"/>
  <c r="K5450" i="1"/>
  <c r="M5450" i="1" s="1"/>
  <c r="K5449" i="1"/>
  <c r="M5449" i="1" s="1"/>
  <c r="K5448" i="1"/>
  <c r="M5448" i="1" s="1"/>
  <c r="K5447" i="1"/>
  <c r="M5447" i="1" s="1"/>
  <c r="K5446" i="1"/>
  <c r="M5446" i="1" s="1"/>
  <c r="K5444" i="1"/>
  <c r="M5444" i="1" s="1"/>
  <c r="K5443" i="1"/>
  <c r="M5443" i="1" s="1"/>
  <c r="K5442" i="1"/>
  <c r="M5442" i="1" s="1"/>
  <c r="K5441" i="1"/>
  <c r="M5441" i="1" s="1"/>
  <c r="K5440" i="1"/>
  <c r="M5440" i="1" s="1"/>
  <c r="K5439" i="1"/>
  <c r="M5439" i="1" s="1"/>
  <c r="K5438" i="1"/>
  <c r="M5438" i="1" s="1"/>
  <c r="K5437" i="1"/>
  <c r="M5437" i="1" s="1"/>
  <c r="K5436" i="1"/>
  <c r="M5436" i="1" s="1"/>
  <c r="K5435" i="1"/>
  <c r="M5435" i="1" s="1"/>
  <c r="K5434" i="1"/>
  <c r="M5434" i="1" s="1"/>
  <c r="K5433" i="1"/>
  <c r="M5433" i="1" s="1"/>
  <c r="K5432" i="1"/>
  <c r="M5432" i="1" s="1"/>
  <c r="K5431" i="1"/>
  <c r="M5431" i="1" s="1"/>
  <c r="K5430" i="1"/>
  <c r="M5430" i="1" s="1"/>
  <c r="K5429" i="1"/>
  <c r="M5429" i="1" s="1"/>
  <c r="K5428" i="1"/>
  <c r="M5428" i="1" s="1"/>
  <c r="K5426" i="1"/>
  <c r="M5426" i="1" s="1"/>
  <c r="K5425" i="1"/>
  <c r="M5425" i="1" s="1"/>
  <c r="K5424" i="1"/>
  <c r="M5424" i="1" s="1"/>
  <c r="K5423" i="1"/>
  <c r="M5423" i="1" s="1"/>
  <c r="K5422" i="1"/>
  <c r="M5422" i="1" s="1"/>
  <c r="K5421" i="1"/>
  <c r="M5421" i="1" s="1"/>
  <c r="K5419" i="1"/>
  <c r="M5419" i="1" s="1"/>
  <c r="K5418" i="1"/>
  <c r="M5418" i="1" s="1"/>
  <c r="K5417" i="1"/>
  <c r="M5417" i="1" s="1"/>
  <c r="K5416" i="1"/>
  <c r="M5416" i="1" s="1"/>
  <c r="K5415" i="1"/>
  <c r="M5415" i="1" s="1"/>
  <c r="K5414" i="1"/>
  <c r="M5414" i="1" s="1"/>
  <c r="K5413" i="1"/>
  <c r="M5413" i="1" s="1"/>
  <c r="K5412" i="1"/>
  <c r="M5412" i="1" s="1"/>
  <c r="K5411" i="1"/>
  <c r="M5411" i="1" s="1"/>
  <c r="K5410" i="1"/>
  <c r="M5410" i="1" s="1"/>
  <c r="K5409" i="1"/>
  <c r="M5409" i="1" s="1"/>
  <c r="K5408" i="1"/>
  <c r="M5408" i="1" s="1"/>
  <c r="K5407" i="1"/>
  <c r="M5407" i="1" s="1"/>
  <c r="K5406" i="1"/>
  <c r="M5406" i="1" s="1"/>
  <c r="K5405" i="1"/>
  <c r="M5405" i="1" s="1"/>
  <c r="K5404" i="1"/>
  <c r="M5404" i="1" s="1"/>
  <c r="K5403" i="1"/>
  <c r="M5403" i="1" s="1"/>
  <c r="K5402" i="1"/>
  <c r="M5402" i="1" s="1"/>
  <c r="K5401" i="1"/>
  <c r="M5401" i="1" s="1"/>
  <c r="K5400" i="1"/>
  <c r="M5400" i="1" s="1"/>
  <c r="T5399" i="1"/>
  <c r="K5398" i="1"/>
  <c r="M5398" i="1" s="1"/>
  <c r="K5397" i="1"/>
  <c r="M5397" i="1" s="1"/>
  <c r="K5396" i="1"/>
  <c r="M5396" i="1" s="1"/>
  <c r="K5395" i="1"/>
  <c r="M5395" i="1" s="1"/>
  <c r="K5394" i="1"/>
  <c r="M5394" i="1" s="1"/>
  <c r="K5393" i="1"/>
  <c r="M5393" i="1" s="1"/>
  <c r="K5392" i="1"/>
  <c r="M5392" i="1" s="1"/>
  <c r="K5391" i="1"/>
  <c r="M5391" i="1" s="1"/>
  <c r="K5390" i="1"/>
  <c r="M5390" i="1" s="1"/>
  <c r="K5389" i="1"/>
  <c r="M5389" i="1" s="1"/>
  <c r="K5388" i="1"/>
  <c r="M5388" i="1" s="1"/>
  <c r="K5387" i="1"/>
  <c r="M5387" i="1" s="1"/>
  <c r="K5386" i="1"/>
  <c r="M5386" i="1" s="1"/>
  <c r="K5385" i="1"/>
  <c r="M5385" i="1" s="1"/>
  <c r="K5384" i="1"/>
  <c r="M5384" i="1" s="1"/>
  <c r="K5383" i="1"/>
  <c r="M5383" i="1" s="1"/>
  <c r="K5382" i="1"/>
  <c r="M5382" i="1" s="1"/>
  <c r="K5381" i="1"/>
  <c r="M5381" i="1" s="1"/>
  <c r="K5380" i="1"/>
  <c r="M5380" i="1" s="1"/>
  <c r="K5379" i="1"/>
  <c r="M5379" i="1" s="1"/>
  <c r="K5378" i="1"/>
  <c r="M5378" i="1" s="1"/>
  <c r="K5377" i="1"/>
  <c r="M5377" i="1" s="1"/>
  <c r="K5376" i="1"/>
  <c r="M5376" i="1" s="1"/>
  <c r="K5375" i="1"/>
  <c r="M5375" i="1" s="1"/>
  <c r="K5374" i="1"/>
  <c r="M5374" i="1" s="1"/>
  <c r="K5373" i="1"/>
  <c r="M5373" i="1" s="1"/>
  <c r="K5372" i="1"/>
  <c r="M5372" i="1" s="1"/>
  <c r="K5371" i="1"/>
  <c r="M5371" i="1" s="1"/>
  <c r="K5370" i="1"/>
  <c r="M5370" i="1" s="1"/>
  <c r="K5369" i="1"/>
  <c r="M5369" i="1" s="1"/>
  <c r="K5368" i="1"/>
  <c r="M5368" i="1" s="1"/>
  <c r="K5367" i="1"/>
  <c r="M5367" i="1" s="1"/>
  <c r="K5366" i="1"/>
  <c r="M5366" i="1" s="1"/>
  <c r="K5365" i="1"/>
  <c r="M5365" i="1" s="1"/>
  <c r="K5364" i="1"/>
  <c r="M5364" i="1" s="1"/>
  <c r="K5363" i="1"/>
  <c r="M5363" i="1" s="1"/>
  <c r="K5362" i="1"/>
  <c r="M5362" i="1" s="1"/>
  <c r="K5361" i="1"/>
  <c r="M5361" i="1" s="1"/>
  <c r="K5360" i="1"/>
  <c r="M5360" i="1" s="1"/>
  <c r="K5359" i="1"/>
  <c r="M5359" i="1" s="1"/>
  <c r="K5358" i="1"/>
  <c r="M5358" i="1" s="1"/>
  <c r="K5357" i="1"/>
  <c r="M5357" i="1" s="1"/>
  <c r="K5356" i="1"/>
  <c r="M5356" i="1" s="1"/>
  <c r="T5355" i="1"/>
  <c r="G5355" i="1"/>
  <c r="F5355" i="1"/>
  <c r="K5354" i="1"/>
  <c r="M5354" i="1" s="1"/>
  <c r="K5353" i="1"/>
  <c r="M5353" i="1" s="1"/>
  <c r="K5352" i="1"/>
  <c r="M5352" i="1" s="1"/>
  <c r="K5351" i="1"/>
  <c r="M5351" i="1" s="1"/>
  <c r="K5350" i="1"/>
  <c r="M5350" i="1" s="1"/>
  <c r="K5349" i="1"/>
  <c r="M5349" i="1" s="1"/>
  <c r="K5348" i="1"/>
  <c r="M5348" i="1" s="1"/>
  <c r="K5347" i="1"/>
  <c r="M5347" i="1" s="1"/>
  <c r="K5346" i="1"/>
  <c r="M5346" i="1" s="1"/>
  <c r="K5345" i="1"/>
  <c r="M5345" i="1" s="1"/>
  <c r="K5344" i="1"/>
  <c r="M5344" i="1" s="1"/>
  <c r="K5343" i="1"/>
  <c r="M5343" i="1" s="1"/>
  <c r="K5342" i="1"/>
  <c r="M5342" i="1" s="1"/>
  <c r="K5341" i="1"/>
  <c r="M5341" i="1" s="1"/>
  <c r="K5340" i="1"/>
  <c r="M5340" i="1" s="1"/>
  <c r="K5339" i="1"/>
  <c r="M5339" i="1" s="1"/>
  <c r="K5338" i="1"/>
  <c r="M5338" i="1" s="1"/>
  <c r="K5337" i="1"/>
  <c r="M5337" i="1" s="1"/>
  <c r="K5336" i="1"/>
  <c r="M5336" i="1" s="1"/>
  <c r="K5335" i="1"/>
  <c r="M5335" i="1" s="1"/>
  <c r="K5334" i="1"/>
  <c r="M5334" i="1" s="1"/>
  <c r="K5333" i="1"/>
  <c r="M5333" i="1" s="1"/>
  <c r="K5332" i="1"/>
  <c r="M5332" i="1" s="1"/>
  <c r="K5331" i="1"/>
  <c r="M5331" i="1" s="1"/>
  <c r="K5330" i="1"/>
  <c r="M5330" i="1" s="1"/>
  <c r="K5329" i="1"/>
  <c r="M5329" i="1" s="1"/>
  <c r="K5328" i="1"/>
  <c r="M5328" i="1" s="1"/>
  <c r="K5327" i="1"/>
  <c r="M5327" i="1" s="1"/>
  <c r="K5326" i="1"/>
  <c r="M5326" i="1" s="1"/>
  <c r="K5325" i="1"/>
  <c r="M5325" i="1" s="1"/>
  <c r="K5324" i="1"/>
  <c r="M5324" i="1" s="1"/>
  <c r="K5323" i="1"/>
  <c r="M5323" i="1" s="1"/>
  <c r="K5322" i="1"/>
  <c r="M5322" i="1" s="1"/>
  <c r="K5321" i="1"/>
  <c r="M5321" i="1" s="1"/>
  <c r="K5320" i="1"/>
  <c r="M5320" i="1" s="1"/>
  <c r="K5319" i="1"/>
  <c r="M5319" i="1" s="1"/>
  <c r="K5318" i="1"/>
  <c r="M5318" i="1" s="1"/>
  <c r="K5317" i="1"/>
  <c r="M5317" i="1" s="1"/>
  <c r="Q5316" i="1"/>
  <c r="T5316" i="1" s="1"/>
  <c r="K5316" i="1"/>
  <c r="M5316" i="1" s="1"/>
  <c r="K5315" i="1"/>
  <c r="M5315" i="1" s="1"/>
  <c r="T5314" i="1"/>
  <c r="G5314" i="1"/>
  <c r="K5314" i="1" s="1"/>
  <c r="M5314" i="1" s="1"/>
  <c r="T5313" i="1"/>
  <c r="K5313" i="1"/>
  <c r="M5313" i="1" s="1"/>
  <c r="K5312" i="1"/>
  <c r="M5312" i="1" s="1"/>
  <c r="K5311" i="1"/>
  <c r="M5311" i="1" s="1"/>
  <c r="K5310" i="1"/>
  <c r="M5310" i="1" s="1"/>
  <c r="K5309" i="1"/>
  <c r="M5309" i="1" s="1"/>
  <c r="Q5308" i="1"/>
  <c r="T5308" i="1" s="1"/>
  <c r="K5308" i="1"/>
  <c r="M5308" i="1" s="1"/>
  <c r="K5307" i="1"/>
  <c r="M5307" i="1" s="1"/>
  <c r="K5306" i="1"/>
  <c r="M5306" i="1" s="1"/>
  <c r="K5305" i="1"/>
  <c r="M5305" i="1" s="1"/>
  <c r="K5304" i="1"/>
  <c r="M5304" i="1" s="1"/>
  <c r="K5303" i="1"/>
  <c r="M5303" i="1" s="1"/>
  <c r="K5302" i="1"/>
  <c r="M5302" i="1" s="1"/>
  <c r="K5301" i="1"/>
  <c r="M5301" i="1" s="1"/>
  <c r="K5300" i="1"/>
  <c r="M5300" i="1" s="1"/>
  <c r="K5299" i="1"/>
  <c r="M5299" i="1" s="1"/>
  <c r="T5298" i="1"/>
  <c r="K5298" i="1"/>
  <c r="M5298" i="1" s="1"/>
  <c r="K5297" i="1"/>
  <c r="M5297" i="1" s="1"/>
  <c r="K5296" i="1"/>
  <c r="M5296" i="1" s="1"/>
  <c r="K5295" i="1"/>
  <c r="M5295" i="1" s="1"/>
  <c r="K5294" i="1"/>
  <c r="M5294" i="1" s="1"/>
  <c r="K5293" i="1"/>
  <c r="M5293" i="1" s="1"/>
  <c r="K5292" i="1"/>
  <c r="M5292" i="1" s="1"/>
  <c r="K5291" i="1"/>
  <c r="M5291" i="1" s="1"/>
  <c r="K5290" i="1"/>
  <c r="M5290" i="1" s="1"/>
  <c r="K5289" i="1"/>
  <c r="M5289" i="1" s="1"/>
  <c r="K5288" i="1"/>
  <c r="M5288" i="1" s="1"/>
  <c r="K5287" i="1"/>
  <c r="M5287" i="1" s="1"/>
  <c r="K5286" i="1"/>
  <c r="M5286" i="1" s="1"/>
  <c r="K5285" i="1"/>
  <c r="M5285" i="1" s="1"/>
  <c r="K5284" i="1"/>
  <c r="M5284" i="1" s="1"/>
  <c r="K5283" i="1"/>
  <c r="M5283" i="1" s="1"/>
  <c r="K5282" i="1"/>
  <c r="M5282" i="1" s="1"/>
  <c r="K5281" i="1"/>
  <c r="M5281" i="1" s="1"/>
  <c r="Q5280" i="1"/>
  <c r="T5280" i="1" s="1"/>
  <c r="K5280" i="1"/>
  <c r="M5280" i="1" s="1"/>
  <c r="K5279" i="1"/>
  <c r="M5279" i="1" s="1"/>
  <c r="K5278" i="1"/>
  <c r="M5278" i="1" s="1"/>
  <c r="K5277" i="1"/>
  <c r="M5277" i="1" s="1"/>
  <c r="K5276" i="1"/>
  <c r="M5276" i="1" s="1"/>
  <c r="K5275" i="1"/>
  <c r="M5275" i="1" s="1"/>
  <c r="K5274" i="1"/>
  <c r="M5274" i="1" s="1"/>
  <c r="K5273" i="1"/>
  <c r="M5273" i="1" s="1"/>
  <c r="K5272" i="1"/>
  <c r="M5272" i="1" s="1"/>
  <c r="K5271" i="1"/>
  <c r="M5271" i="1" s="1"/>
  <c r="K5270" i="1"/>
  <c r="M5270" i="1" s="1"/>
  <c r="K5269" i="1"/>
  <c r="M5269" i="1" s="1"/>
  <c r="K5268" i="1"/>
  <c r="M5268" i="1" s="1"/>
  <c r="K5267" i="1"/>
  <c r="M5267" i="1" s="1"/>
  <c r="K5266" i="1"/>
  <c r="M5266" i="1" s="1"/>
  <c r="K5265" i="1"/>
  <c r="M5265" i="1" s="1"/>
  <c r="Q5264" i="1"/>
  <c r="T5264" i="1" s="1"/>
  <c r="K5264" i="1"/>
  <c r="M5264" i="1" s="1"/>
  <c r="K5263" i="1"/>
  <c r="M5263" i="1" s="1"/>
  <c r="K5262" i="1"/>
  <c r="M5262" i="1" s="1"/>
  <c r="K5261" i="1"/>
  <c r="M5261" i="1" s="1"/>
  <c r="K5260" i="1"/>
  <c r="M5260" i="1" s="1"/>
  <c r="T5259" i="1"/>
  <c r="K5259" i="1"/>
  <c r="M5259" i="1" s="1"/>
  <c r="K5258" i="1"/>
  <c r="M5258" i="1" s="1"/>
  <c r="K5257" i="1"/>
  <c r="M5257" i="1" s="1"/>
  <c r="K5256" i="1"/>
  <c r="M5256" i="1" s="1"/>
  <c r="K5255" i="1"/>
  <c r="M5255" i="1" s="1"/>
  <c r="K5254" i="1"/>
  <c r="M5254" i="1" s="1"/>
  <c r="K5253" i="1"/>
  <c r="M5253" i="1" s="1"/>
  <c r="K5252" i="1"/>
  <c r="M5252" i="1" s="1"/>
  <c r="K5251" i="1"/>
  <c r="M5251" i="1" s="1"/>
  <c r="K5250" i="1"/>
  <c r="M5250" i="1" s="1"/>
  <c r="K5249" i="1"/>
  <c r="M5249" i="1" s="1"/>
  <c r="Q5248" i="1"/>
  <c r="T5248" i="1" s="1"/>
  <c r="K5248" i="1"/>
  <c r="M5248" i="1" s="1"/>
  <c r="K5247" i="1"/>
  <c r="M5247" i="1" s="1"/>
  <c r="K5246" i="1"/>
  <c r="M5246" i="1" s="1"/>
  <c r="K5245" i="1"/>
  <c r="M5245" i="1" s="1"/>
  <c r="K5244" i="1"/>
  <c r="M5244" i="1" s="1"/>
  <c r="Q5243" i="1"/>
  <c r="T5243" i="1" s="1"/>
  <c r="G5243" i="1"/>
  <c r="K5243" i="1" s="1"/>
  <c r="M5243" i="1" s="1"/>
  <c r="K5242" i="1"/>
  <c r="M5242" i="1" s="1"/>
  <c r="K5241" i="1"/>
  <c r="M5241" i="1" s="1"/>
  <c r="K5240" i="1"/>
  <c r="M5240" i="1" s="1"/>
  <c r="K5239" i="1"/>
  <c r="M5239" i="1" s="1"/>
  <c r="K5238" i="1"/>
  <c r="M5238" i="1" s="1"/>
  <c r="K5237" i="1"/>
  <c r="M5237" i="1" s="1"/>
  <c r="K5236" i="1"/>
  <c r="M5236" i="1" s="1"/>
  <c r="K5235" i="1"/>
  <c r="M5235" i="1" s="1"/>
  <c r="K5234" i="1"/>
  <c r="M5234" i="1" s="1"/>
  <c r="K5233" i="1"/>
  <c r="M5233" i="1" s="1"/>
  <c r="K5232" i="1"/>
  <c r="M5232" i="1" s="1"/>
  <c r="K5231" i="1"/>
  <c r="M5231" i="1" s="1"/>
  <c r="K5230" i="1"/>
  <c r="M5230" i="1" s="1"/>
  <c r="K5229" i="1"/>
  <c r="M5229" i="1" s="1"/>
  <c r="K5228" i="1"/>
  <c r="M5228" i="1" s="1"/>
  <c r="K5227" i="1"/>
  <c r="M5227" i="1" s="1"/>
  <c r="K5226" i="1"/>
  <c r="M5226" i="1" s="1"/>
  <c r="K5225" i="1"/>
  <c r="M5225" i="1" s="1"/>
  <c r="Q5224" i="1"/>
  <c r="T5224" i="1" s="1"/>
  <c r="K5224" i="1"/>
  <c r="M5224" i="1" s="1"/>
  <c r="K5223" i="1"/>
  <c r="M5223" i="1" s="1"/>
  <c r="T5222" i="1"/>
  <c r="K5221" i="1"/>
  <c r="M5221" i="1" s="1"/>
  <c r="K5220" i="1"/>
  <c r="M5220" i="1" s="1"/>
  <c r="K5219" i="1"/>
  <c r="M5219" i="1" s="1"/>
  <c r="K5218" i="1"/>
  <c r="M5218" i="1" s="1"/>
  <c r="K5217" i="1"/>
  <c r="M5217" i="1" s="1"/>
  <c r="K5216" i="1"/>
  <c r="M5216" i="1" s="1"/>
  <c r="K5215" i="1"/>
  <c r="M5215" i="1" s="1"/>
  <c r="K5214" i="1"/>
  <c r="M5214" i="1" s="1"/>
  <c r="K5213" i="1"/>
  <c r="M5213" i="1" s="1"/>
  <c r="Q5212" i="1"/>
  <c r="T5212" i="1" s="1"/>
  <c r="K5212" i="1"/>
  <c r="M5212" i="1" s="1"/>
  <c r="K5211" i="1"/>
  <c r="M5211" i="1" s="1"/>
  <c r="K5210" i="1"/>
  <c r="M5210" i="1" s="1"/>
  <c r="K5209" i="1"/>
  <c r="M5209" i="1" s="1"/>
  <c r="K5208" i="1"/>
  <c r="M5208" i="1" s="1"/>
  <c r="K5207" i="1"/>
  <c r="M5207" i="1" s="1"/>
  <c r="K5206" i="1"/>
  <c r="M5206" i="1" s="1"/>
  <c r="Q5205" i="1"/>
  <c r="T5205" i="1" s="1"/>
  <c r="K5205" i="1"/>
  <c r="M5205" i="1" s="1"/>
  <c r="K5204" i="1"/>
  <c r="M5204" i="1" s="1"/>
  <c r="K5203" i="1"/>
  <c r="M5203" i="1" s="1"/>
  <c r="K5202" i="1"/>
  <c r="M5202" i="1" s="1"/>
  <c r="K5201" i="1"/>
  <c r="M5201" i="1" s="1"/>
  <c r="K5200" i="1"/>
  <c r="M5200" i="1" s="1"/>
  <c r="K5198" i="1"/>
  <c r="M5198" i="1" s="1"/>
  <c r="K5197" i="1"/>
  <c r="M5197" i="1" s="1"/>
  <c r="K5196" i="1"/>
  <c r="M5196" i="1" s="1"/>
  <c r="K5195" i="1"/>
  <c r="M5195" i="1" s="1"/>
  <c r="K5194" i="1"/>
  <c r="M5194" i="1" s="1"/>
  <c r="K5193" i="1"/>
  <c r="M5193" i="1" s="1"/>
  <c r="K5192" i="1"/>
  <c r="M5192" i="1" s="1"/>
  <c r="K5191" i="1"/>
  <c r="M5191" i="1" s="1"/>
  <c r="K5190" i="1"/>
  <c r="M5190" i="1" s="1"/>
  <c r="K5189" i="1"/>
  <c r="M5189" i="1" s="1"/>
  <c r="K5188" i="1"/>
  <c r="M5188" i="1" s="1"/>
  <c r="K5187" i="1"/>
  <c r="M5187" i="1" s="1"/>
  <c r="K5186" i="1"/>
  <c r="M5186" i="1" s="1"/>
  <c r="K5185" i="1"/>
  <c r="M5185" i="1" s="1"/>
  <c r="K5184" i="1"/>
  <c r="M5184" i="1" s="1"/>
  <c r="K5183" i="1"/>
  <c r="M5183" i="1" s="1"/>
  <c r="K5182" i="1"/>
  <c r="M5182" i="1" s="1"/>
  <c r="K5181" i="1"/>
  <c r="M5181" i="1" s="1"/>
  <c r="K5180" i="1"/>
  <c r="M5180" i="1" s="1"/>
  <c r="K5179" i="1"/>
  <c r="M5179" i="1" s="1"/>
  <c r="K5178" i="1"/>
  <c r="M5178" i="1" s="1"/>
  <c r="K5177" i="1"/>
  <c r="M5177" i="1" s="1"/>
  <c r="K5176" i="1"/>
  <c r="M5176" i="1" s="1"/>
  <c r="K5175" i="1"/>
  <c r="M5175" i="1" s="1"/>
  <c r="K5174" i="1"/>
  <c r="M5174" i="1" s="1"/>
  <c r="Q5173" i="1"/>
  <c r="T5173" i="1" s="1"/>
  <c r="K5173" i="1"/>
  <c r="M5173" i="1" s="1"/>
  <c r="K5172" i="1"/>
  <c r="M5172" i="1" s="1"/>
  <c r="K5171" i="1"/>
  <c r="M5171" i="1" s="1"/>
  <c r="K5170" i="1"/>
  <c r="M5170" i="1" s="1"/>
  <c r="K5169" i="1"/>
  <c r="M5169" i="1" s="1"/>
  <c r="K5168" i="1"/>
  <c r="M5168" i="1" s="1"/>
  <c r="K5167" i="1"/>
  <c r="M5167" i="1" s="1"/>
  <c r="K5166" i="1"/>
  <c r="M5166" i="1" s="1"/>
  <c r="K5165" i="1"/>
  <c r="M5165" i="1" s="1"/>
  <c r="K5164" i="1"/>
  <c r="M5164" i="1" s="1"/>
  <c r="K5163" i="1"/>
  <c r="M5163" i="1" s="1"/>
  <c r="K5162" i="1"/>
  <c r="M5162" i="1" s="1"/>
  <c r="K5161" i="1"/>
  <c r="M5161" i="1" s="1"/>
  <c r="K5160" i="1"/>
  <c r="M5160" i="1" s="1"/>
  <c r="K5159" i="1"/>
  <c r="M5159" i="1" s="1"/>
  <c r="K5158" i="1"/>
  <c r="M5158" i="1" s="1"/>
  <c r="K5157" i="1"/>
  <c r="M5157" i="1" s="1"/>
  <c r="K5156" i="1"/>
  <c r="M5156" i="1" s="1"/>
  <c r="K5155" i="1"/>
  <c r="M5155" i="1" s="1"/>
  <c r="K5154" i="1"/>
  <c r="M5154" i="1" s="1"/>
  <c r="K5153" i="1"/>
  <c r="M5153" i="1" s="1"/>
  <c r="K5152" i="1"/>
  <c r="M5152" i="1" s="1"/>
  <c r="K5151" i="1"/>
  <c r="M5151" i="1" s="1"/>
  <c r="K5150" i="1"/>
  <c r="M5150" i="1" s="1"/>
  <c r="K5149" i="1"/>
  <c r="M5149" i="1" s="1"/>
  <c r="K5148" i="1"/>
  <c r="M5148" i="1" s="1"/>
  <c r="K5147" i="1"/>
  <c r="M5147" i="1" s="1"/>
  <c r="T5146" i="1"/>
  <c r="K5146" i="1"/>
  <c r="M5146" i="1" s="1"/>
  <c r="K5145" i="1"/>
  <c r="M5145" i="1" s="1"/>
  <c r="K5144" i="1"/>
  <c r="M5144" i="1" s="1"/>
  <c r="K5143" i="1"/>
  <c r="M5143" i="1" s="1"/>
  <c r="K5142" i="1"/>
  <c r="M5142" i="1" s="1"/>
  <c r="K5141" i="1"/>
  <c r="M5141" i="1" s="1"/>
  <c r="K5140" i="1"/>
  <c r="M5140" i="1" s="1"/>
  <c r="K5139" i="1"/>
  <c r="M5139" i="1" s="1"/>
  <c r="Q5138" i="1"/>
  <c r="T5138" i="1" s="1"/>
  <c r="K5138" i="1"/>
  <c r="M5138" i="1" s="1"/>
  <c r="Q5137" i="1"/>
  <c r="T5137" i="1" s="1"/>
  <c r="K5137" i="1"/>
  <c r="M5137" i="1" s="1"/>
  <c r="K5136" i="1"/>
  <c r="M5136" i="1" s="1"/>
  <c r="K5135" i="1"/>
  <c r="M5135" i="1" s="1"/>
  <c r="K5134" i="1"/>
  <c r="M5134" i="1" s="1"/>
  <c r="K5133" i="1"/>
  <c r="M5133" i="1" s="1"/>
  <c r="K5132" i="1"/>
  <c r="M5132" i="1" s="1"/>
  <c r="K5131" i="1"/>
  <c r="M5131" i="1" s="1"/>
  <c r="K5130" i="1"/>
  <c r="M5130" i="1" s="1"/>
  <c r="K5129" i="1"/>
  <c r="M5129" i="1" s="1"/>
  <c r="K5128" i="1"/>
  <c r="M5128" i="1" s="1"/>
  <c r="Q5127" i="1"/>
  <c r="T5127" i="1" s="1"/>
  <c r="K5127" i="1"/>
  <c r="M5127" i="1" s="1"/>
  <c r="K5126" i="1"/>
  <c r="M5126" i="1" s="1"/>
  <c r="K5125" i="1"/>
  <c r="M5125" i="1" s="1"/>
  <c r="K5124" i="1"/>
  <c r="M5124" i="1" s="1"/>
  <c r="K5123" i="1"/>
  <c r="M5123" i="1" s="1"/>
  <c r="K5122" i="1"/>
  <c r="M5122" i="1" s="1"/>
  <c r="K5121" i="1"/>
  <c r="M5121" i="1" s="1"/>
  <c r="K5120" i="1"/>
  <c r="M5120" i="1" s="1"/>
  <c r="K5119" i="1"/>
  <c r="M5119" i="1" s="1"/>
  <c r="K5118" i="1"/>
  <c r="M5118" i="1" s="1"/>
  <c r="K5117" i="1"/>
  <c r="M5117" i="1" s="1"/>
  <c r="K5116" i="1"/>
  <c r="M5116" i="1" s="1"/>
  <c r="K5115" i="1"/>
  <c r="M5115" i="1" s="1"/>
  <c r="K5114" i="1"/>
  <c r="M5114" i="1" s="1"/>
  <c r="K5113" i="1"/>
  <c r="M5113" i="1" s="1"/>
  <c r="K5112" i="1"/>
  <c r="M5112" i="1" s="1"/>
  <c r="K5111" i="1"/>
  <c r="M5111" i="1" s="1"/>
  <c r="K5110" i="1"/>
  <c r="M5110" i="1" s="1"/>
  <c r="T5109" i="1"/>
  <c r="K5109" i="1"/>
  <c r="M5109" i="1" s="1"/>
  <c r="K5108" i="1"/>
  <c r="M5108" i="1" s="1"/>
  <c r="K5107" i="1"/>
  <c r="M5107" i="1" s="1"/>
  <c r="K5106" i="1"/>
  <c r="M5106" i="1" s="1"/>
  <c r="K5105" i="1"/>
  <c r="M5105" i="1" s="1"/>
  <c r="K5104" i="1"/>
  <c r="M5104" i="1" s="1"/>
  <c r="K5103" i="1"/>
  <c r="M5103" i="1" s="1"/>
  <c r="K5102" i="1"/>
  <c r="M5102" i="1" s="1"/>
  <c r="K5101" i="1"/>
  <c r="M5101" i="1" s="1"/>
  <c r="K5100" i="1"/>
  <c r="M5100" i="1" s="1"/>
  <c r="K5099" i="1"/>
  <c r="M5099" i="1" s="1"/>
  <c r="M5098" i="1"/>
  <c r="K5097" i="1"/>
  <c r="M5097" i="1" s="1"/>
  <c r="K5096" i="1"/>
  <c r="M5096" i="1" s="1"/>
  <c r="K5095" i="1"/>
  <c r="M5095" i="1" s="1"/>
  <c r="K5094" i="1"/>
  <c r="M5094" i="1" s="1"/>
  <c r="K5093" i="1"/>
  <c r="M5093" i="1" s="1"/>
  <c r="K5092" i="1"/>
  <c r="M5092" i="1" s="1"/>
  <c r="K5091" i="1"/>
  <c r="M5091" i="1" s="1"/>
  <c r="K5090" i="1"/>
  <c r="M5090" i="1" s="1"/>
  <c r="K5089" i="1"/>
  <c r="M5089" i="1" s="1"/>
  <c r="K5088" i="1"/>
  <c r="M5088" i="1" s="1"/>
  <c r="K5087" i="1"/>
  <c r="M5087" i="1" s="1"/>
  <c r="K5086" i="1"/>
  <c r="M5086" i="1" s="1"/>
  <c r="K5085" i="1"/>
  <c r="M5085" i="1" s="1"/>
  <c r="K5084" i="1"/>
  <c r="M5084" i="1" s="1"/>
  <c r="K5083" i="1"/>
  <c r="M5083" i="1" s="1"/>
  <c r="K5082" i="1"/>
  <c r="M5082" i="1" s="1"/>
  <c r="T5081" i="1"/>
  <c r="K5081" i="1"/>
  <c r="M5081" i="1" s="1"/>
  <c r="T5080" i="1"/>
  <c r="K5080" i="1"/>
  <c r="M5080" i="1" s="1"/>
  <c r="K5079" i="1"/>
  <c r="M5079" i="1" s="1"/>
  <c r="K5077" i="1"/>
  <c r="M5077" i="1" s="1"/>
  <c r="K5076" i="1"/>
  <c r="M5076" i="1" s="1"/>
  <c r="K5075" i="1"/>
  <c r="M5075" i="1" s="1"/>
  <c r="K5074" i="1"/>
  <c r="M5074" i="1" s="1"/>
  <c r="K5073" i="1"/>
  <c r="M5073" i="1" s="1"/>
  <c r="K5072" i="1"/>
  <c r="M5072" i="1" s="1"/>
  <c r="K5071" i="1"/>
  <c r="M5071" i="1" s="1"/>
  <c r="K5070" i="1"/>
  <c r="M5070" i="1" s="1"/>
  <c r="K5069" i="1"/>
  <c r="M5069" i="1" s="1"/>
  <c r="K5068" i="1"/>
  <c r="M5068" i="1" s="1"/>
  <c r="K5067" i="1"/>
  <c r="M5067" i="1" s="1"/>
  <c r="K5066" i="1"/>
  <c r="M5066" i="1" s="1"/>
  <c r="T5065" i="1"/>
  <c r="K5065" i="1"/>
  <c r="M5065" i="1" s="1"/>
  <c r="K5064" i="1"/>
  <c r="M5064" i="1" s="1"/>
  <c r="K5063" i="1"/>
  <c r="M5063" i="1" s="1"/>
  <c r="K5062" i="1"/>
  <c r="M5062" i="1" s="1"/>
  <c r="K5061" i="1"/>
  <c r="M5061" i="1" s="1"/>
  <c r="K5060" i="1"/>
  <c r="M5060" i="1" s="1"/>
  <c r="K5059" i="1"/>
  <c r="M5059" i="1" s="1"/>
  <c r="K5058" i="1"/>
  <c r="M5058" i="1" s="1"/>
  <c r="K5057" i="1"/>
  <c r="M5057" i="1" s="1"/>
  <c r="K5056" i="1"/>
  <c r="M5056" i="1" s="1"/>
  <c r="K5055" i="1"/>
  <c r="M5055" i="1" s="1"/>
  <c r="K5054" i="1"/>
  <c r="M5054" i="1" s="1"/>
  <c r="K5053" i="1"/>
  <c r="M5053" i="1" s="1"/>
  <c r="K5052" i="1"/>
  <c r="M5052" i="1" s="1"/>
  <c r="K5051" i="1"/>
  <c r="M5051" i="1" s="1"/>
  <c r="K5050" i="1"/>
  <c r="M5050" i="1" s="1"/>
  <c r="K5049" i="1"/>
  <c r="M5049" i="1" s="1"/>
  <c r="Q5048" i="1"/>
  <c r="T5048" i="1" s="1"/>
  <c r="K5048" i="1"/>
  <c r="F5048" i="1"/>
  <c r="K5047" i="1"/>
  <c r="M5047" i="1" s="1"/>
  <c r="K5046" i="1"/>
  <c r="M5046" i="1" s="1"/>
  <c r="K5045" i="1"/>
  <c r="M5045" i="1" s="1"/>
  <c r="K5044" i="1"/>
  <c r="M5044" i="1" s="1"/>
  <c r="K5043" i="1"/>
  <c r="M5043" i="1" s="1"/>
  <c r="K5042" i="1"/>
  <c r="M5042" i="1" s="1"/>
  <c r="K5041" i="1"/>
  <c r="M5041" i="1" s="1"/>
  <c r="K5040" i="1"/>
  <c r="M5040" i="1" s="1"/>
  <c r="K5039" i="1"/>
  <c r="M5039" i="1" s="1"/>
  <c r="K5038" i="1"/>
  <c r="M5038" i="1" s="1"/>
  <c r="K5037" i="1"/>
  <c r="M5037" i="1" s="1"/>
  <c r="K5036" i="1"/>
  <c r="M5036" i="1" s="1"/>
  <c r="K5035" i="1"/>
  <c r="M5035" i="1" s="1"/>
  <c r="K5034" i="1"/>
  <c r="M5034" i="1" s="1"/>
  <c r="K5033" i="1"/>
  <c r="M5033" i="1" s="1"/>
  <c r="K5032" i="1"/>
  <c r="M5032" i="1" s="1"/>
  <c r="K5031" i="1"/>
  <c r="M5031" i="1" s="1"/>
  <c r="K5030" i="1"/>
  <c r="M5030" i="1" s="1"/>
  <c r="K5029" i="1"/>
  <c r="M5029" i="1" s="1"/>
  <c r="Q5028" i="1"/>
  <c r="T5028" i="1" s="1"/>
  <c r="K5028" i="1"/>
  <c r="M5028" i="1" s="1"/>
  <c r="K5027" i="1"/>
  <c r="M5027" i="1" s="1"/>
  <c r="K5026" i="1"/>
  <c r="M5026" i="1" s="1"/>
  <c r="K5025" i="1"/>
  <c r="M5025" i="1" s="1"/>
  <c r="K5024" i="1"/>
  <c r="M5024" i="1" s="1"/>
  <c r="K5023" i="1"/>
  <c r="M5023" i="1" s="1"/>
  <c r="K5022" i="1"/>
  <c r="M5022" i="1" s="1"/>
  <c r="K5021" i="1"/>
  <c r="M5021" i="1" s="1"/>
  <c r="K5020" i="1"/>
  <c r="M5020" i="1" s="1"/>
  <c r="K5019" i="1"/>
  <c r="M5019" i="1" s="1"/>
  <c r="K5018" i="1"/>
  <c r="M5018" i="1" s="1"/>
  <c r="K5017" i="1"/>
  <c r="M5017" i="1" s="1"/>
  <c r="K5016" i="1"/>
  <c r="M5016" i="1" s="1"/>
  <c r="K5015" i="1"/>
  <c r="M5015" i="1" s="1"/>
  <c r="K5014" i="1"/>
  <c r="M5014" i="1" s="1"/>
  <c r="K5013" i="1"/>
  <c r="M5013" i="1" s="1"/>
  <c r="K5012" i="1"/>
  <c r="M5012" i="1" s="1"/>
  <c r="K5011" i="1"/>
  <c r="M5011" i="1" s="1"/>
  <c r="K5010" i="1"/>
  <c r="M5010" i="1" s="1"/>
  <c r="T5009" i="1"/>
  <c r="K5009" i="1"/>
  <c r="M5009" i="1" s="1"/>
  <c r="K5008" i="1"/>
  <c r="M5008" i="1" s="1"/>
  <c r="K5007" i="1"/>
  <c r="M5007" i="1" s="1"/>
  <c r="K5006" i="1"/>
  <c r="M5006" i="1" s="1"/>
  <c r="K5005" i="1"/>
  <c r="M5005" i="1" s="1"/>
  <c r="Q5004" i="1"/>
  <c r="T5004" i="1" s="1"/>
  <c r="K5004" i="1"/>
  <c r="M5004" i="1" s="1"/>
  <c r="K5003" i="1"/>
  <c r="M5003" i="1" s="1"/>
  <c r="K5002" i="1"/>
  <c r="M5002" i="1" s="1"/>
  <c r="K5001" i="1"/>
  <c r="M5001" i="1" s="1"/>
  <c r="K5000" i="1"/>
  <c r="M5000" i="1" s="1"/>
  <c r="K4999" i="1"/>
  <c r="M4999" i="1" s="1"/>
  <c r="K4998" i="1"/>
  <c r="M4998" i="1" s="1"/>
  <c r="K4997" i="1"/>
  <c r="M4997" i="1" s="1"/>
  <c r="K4996" i="1"/>
  <c r="M4996" i="1" s="1"/>
  <c r="K4995" i="1"/>
  <c r="M4995" i="1" s="1"/>
  <c r="K4994" i="1"/>
  <c r="M4994" i="1" s="1"/>
  <c r="K4993" i="1"/>
  <c r="M4993" i="1" s="1"/>
  <c r="K4992" i="1"/>
  <c r="M4992" i="1" s="1"/>
  <c r="K4991" i="1"/>
  <c r="M4991" i="1" s="1"/>
  <c r="K4990" i="1"/>
  <c r="M4990" i="1" s="1"/>
  <c r="K4989" i="1"/>
  <c r="M4989" i="1" s="1"/>
  <c r="T4988" i="1"/>
  <c r="K4988" i="1"/>
  <c r="M4988" i="1" s="1"/>
  <c r="K4987" i="1"/>
  <c r="M4987" i="1" s="1"/>
  <c r="K4986" i="1"/>
  <c r="M4986" i="1" s="1"/>
  <c r="K4985" i="1"/>
  <c r="M4985" i="1" s="1"/>
  <c r="K4984" i="1"/>
  <c r="M4984" i="1" s="1"/>
  <c r="K4983" i="1"/>
  <c r="M4983" i="1" s="1"/>
  <c r="K4982" i="1"/>
  <c r="M4982" i="1" s="1"/>
  <c r="K4981" i="1"/>
  <c r="M4981" i="1" s="1"/>
  <c r="K4980" i="1"/>
  <c r="M4980" i="1" s="1"/>
  <c r="K4979" i="1"/>
  <c r="M4979" i="1" s="1"/>
  <c r="K4978" i="1"/>
  <c r="M4978" i="1" s="1"/>
  <c r="K4977" i="1"/>
  <c r="M4977" i="1" s="1"/>
  <c r="K4976" i="1"/>
  <c r="M4976" i="1" s="1"/>
  <c r="K4975" i="1"/>
  <c r="M4975" i="1" s="1"/>
  <c r="K4974" i="1"/>
  <c r="M4974" i="1" s="1"/>
  <c r="K4973" i="1"/>
  <c r="M4973" i="1" s="1"/>
  <c r="K4972" i="1"/>
  <c r="M4972" i="1" s="1"/>
  <c r="K4971" i="1"/>
  <c r="M4971" i="1" s="1"/>
  <c r="K4970" i="1"/>
  <c r="M4970" i="1" s="1"/>
  <c r="K4969" i="1"/>
  <c r="M4969" i="1" s="1"/>
  <c r="K4968" i="1"/>
  <c r="M4968" i="1" s="1"/>
  <c r="K4967" i="1"/>
  <c r="M4967" i="1" s="1"/>
  <c r="K4966" i="1"/>
  <c r="M4966" i="1" s="1"/>
  <c r="K4965" i="1"/>
  <c r="M4965" i="1" s="1"/>
  <c r="K4964" i="1"/>
  <c r="M4964" i="1" s="1"/>
  <c r="K4963" i="1"/>
  <c r="M4963" i="1" s="1"/>
  <c r="K4962" i="1"/>
  <c r="M4962" i="1" s="1"/>
  <c r="K4961" i="1"/>
  <c r="M4961" i="1" s="1"/>
  <c r="K4960" i="1"/>
  <c r="M4960" i="1" s="1"/>
  <c r="K4959" i="1"/>
  <c r="M4959" i="1" s="1"/>
  <c r="Q4958" i="1"/>
  <c r="T4958" i="1" s="1"/>
  <c r="G4958" i="1"/>
  <c r="K4958" i="1" s="1"/>
  <c r="M4958" i="1" s="1"/>
  <c r="K4957" i="1"/>
  <c r="M4957" i="1" s="1"/>
  <c r="K4956" i="1"/>
  <c r="M4956" i="1" s="1"/>
  <c r="K4955" i="1"/>
  <c r="M4955" i="1" s="1"/>
  <c r="K4954" i="1"/>
  <c r="M4954" i="1" s="1"/>
  <c r="K4953" i="1"/>
  <c r="M4953" i="1" s="1"/>
  <c r="K4952" i="1"/>
  <c r="M4952" i="1" s="1"/>
  <c r="K4951" i="1"/>
  <c r="M4951" i="1" s="1"/>
  <c r="T4950" i="1"/>
  <c r="K4950" i="1"/>
  <c r="M4950" i="1" s="1"/>
  <c r="K4949" i="1"/>
  <c r="M4949" i="1" s="1"/>
  <c r="K4948" i="1"/>
  <c r="M4948" i="1" s="1"/>
  <c r="K4947" i="1"/>
  <c r="M4947" i="1" s="1"/>
  <c r="K4946" i="1"/>
  <c r="M4946" i="1" s="1"/>
  <c r="K4945" i="1"/>
  <c r="M4945" i="1" s="1"/>
  <c r="K4944" i="1"/>
  <c r="M4944" i="1" s="1"/>
  <c r="K4943" i="1"/>
  <c r="M4943" i="1" s="1"/>
  <c r="K4942" i="1"/>
  <c r="M4942" i="1" s="1"/>
  <c r="K4941" i="1"/>
  <c r="M4941" i="1" s="1"/>
  <c r="K4940" i="1"/>
  <c r="M4940" i="1" s="1"/>
  <c r="K4939" i="1"/>
  <c r="M4939" i="1" s="1"/>
  <c r="K4938" i="1"/>
  <c r="M4938" i="1" s="1"/>
  <c r="K4937" i="1"/>
  <c r="M4937" i="1" s="1"/>
  <c r="K4936" i="1"/>
  <c r="M4936" i="1" s="1"/>
  <c r="K4935" i="1"/>
  <c r="M4935" i="1" s="1"/>
  <c r="K4934" i="1"/>
  <c r="M4934" i="1" s="1"/>
  <c r="K4933" i="1"/>
  <c r="M4933" i="1" s="1"/>
  <c r="K4932" i="1"/>
  <c r="M4932" i="1" s="1"/>
  <c r="K4931" i="1"/>
  <c r="M4931" i="1" s="1"/>
  <c r="K4930" i="1"/>
  <c r="M4930" i="1" s="1"/>
  <c r="K4929" i="1"/>
  <c r="M4929" i="1" s="1"/>
  <c r="K4928" i="1"/>
  <c r="M4928" i="1" s="1"/>
  <c r="K4927" i="1"/>
  <c r="M4927" i="1" s="1"/>
  <c r="K4926" i="1"/>
  <c r="M4926" i="1" s="1"/>
  <c r="K4925" i="1"/>
  <c r="M4925" i="1" s="1"/>
  <c r="K4924" i="1"/>
  <c r="M4924" i="1" s="1"/>
  <c r="K4923" i="1"/>
  <c r="M4923" i="1" s="1"/>
  <c r="K4922" i="1"/>
  <c r="M4922" i="1" s="1"/>
  <c r="K4921" i="1"/>
  <c r="M4921" i="1" s="1"/>
  <c r="K4920" i="1"/>
  <c r="M4920" i="1" s="1"/>
  <c r="K4919" i="1"/>
  <c r="M4919" i="1" s="1"/>
  <c r="K4918" i="1"/>
  <c r="M4918" i="1" s="1"/>
  <c r="K4917" i="1"/>
  <c r="M4917" i="1" s="1"/>
  <c r="K4916" i="1"/>
  <c r="M4916" i="1" s="1"/>
  <c r="K4915" i="1"/>
  <c r="M4915" i="1" s="1"/>
  <c r="K4914" i="1"/>
  <c r="M4914" i="1" s="1"/>
  <c r="Q4913" i="1"/>
  <c r="T4913" i="1" s="1"/>
  <c r="K4913" i="1"/>
  <c r="M4913" i="1" s="1"/>
  <c r="K4912" i="1"/>
  <c r="M4912" i="1" s="1"/>
  <c r="K4911" i="1"/>
  <c r="M4911" i="1" s="1"/>
  <c r="K4910" i="1"/>
  <c r="M4910" i="1" s="1"/>
  <c r="K4909" i="1"/>
  <c r="M4909" i="1" s="1"/>
  <c r="T4908" i="1"/>
  <c r="K4908" i="1"/>
  <c r="M4908" i="1" s="1"/>
  <c r="K4907" i="1"/>
  <c r="M4907" i="1" s="1"/>
  <c r="K4906" i="1"/>
  <c r="M4906" i="1" s="1"/>
  <c r="K4905" i="1"/>
  <c r="M4905" i="1" s="1"/>
  <c r="K4904" i="1"/>
  <c r="M4904" i="1" s="1"/>
  <c r="K4903" i="1"/>
  <c r="M4903" i="1" s="1"/>
  <c r="K4902" i="1"/>
  <c r="M4902" i="1" s="1"/>
  <c r="K4901" i="1"/>
  <c r="M4901" i="1" s="1"/>
  <c r="T4900" i="1"/>
  <c r="K4900" i="1"/>
  <c r="M4900" i="1" s="1"/>
  <c r="K4899" i="1"/>
  <c r="M4899" i="1" s="1"/>
  <c r="K4898" i="1"/>
  <c r="M4898" i="1" s="1"/>
  <c r="K4897" i="1"/>
  <c r="M4897" i="1" s="1"/>
  <c r="K4896" i="1"/>
  <c r="M4896" i="1" s="1"/>
  <c r="K4895" i="1"/>
  <c r="M4895" i="1" s="1"/>
  <c r="K4894" i="1"/>
  <c r="M4894" i="1" s="1"/>
  <c r="T4893" i="1"/>
  <c r="K4893" i="1"/>
  <c r="M4893" i="1" s="1"/>
  <c r="K4892" i="1"/>
  <c r="M4892" i="1" s="1"/>
  <c r="K4891" i="1"/>
  <c r="M4891" i="1" s="1"/>
  <c r="K4890" i="1"/>
  <c r="M4890" i="1" s="1"/>
  <c r="K4889" i="1"/>
  <c r="M4889" i="1" s="1"/>
  <c r="K4888" i="1"/>
  <c r="M4888" i="1" s="1"/>
  <c r="K4887" i="1"/>
  <c r="M4887" i="1" s="1"/>
  <c r="K4886" i="1"/>
  <c r="M4886" i="1" s="1"/>
  <c r="K4885" i="1"/>
  <c r="M4885" i="1" s="1"/>
  <c r="K4884" i="1"/>
  <c r="M4884" i="1" s="1"/>
  <c r="K4883" i="1"/>
  <c r="M4883" i="1" s="1"/>
  <c r="K4882" i="1"/>
  <c r="M4882" i="1" s="1"/>
  <c r="K4881" i="1"/>
  <c r="M4881" i="1" s="1"/>
  <c r="K4880" i="1"/>
  <c r="M4880" i="1" s="1"/>
  <c r="K4879" i="1"/>
  <c r="M4879" i="1" s="1"/>
  <c r="K4878" i="1"/>
  <c r="M4878" i="1" s="1"/>
  <c r="K4877" i="1"/>
  <c r="M4877" i="1" s="1"/>
  <c r="K4876" i="1"/>
  <c r="M4876" i="1" s="1"/>
  <c r="K4875" i="1"/>
  <c r="M4875" i="1" s="1"/>
  <c r="K4874" i="1"/>
  <c r="M4874" i="1" s="1"/>
  <c r="K4873" i="1"/>
  <c r="M4873" i="1" s="1"/>
  <c r="K4872" i="1"/>
  <c r="M4872" i="1" s="1"/>
  <c r="K4871" i="1"/>
  <c r="M4871" i="1" s="1"/>
  <c r="K4870" i="1"/>
  <c r="M4870" i="1" s="1"/>
  <c r="K4869" i="1"/>
  <c r="M4869" i="1" s="1"/>
  <c r="K4868" i="1"/>
  <c r="M4868" i="1" s="1"/>
  <c r="K4867" i="1"/>
  <c r="M4867" i="1" s="1"/>
  <c r="K4866" i="1"/>
  <c r="M4866" i="1" s="1"/>
  <c r="K4865" i="1"/>
  <c r="M4865" i="1" s="1"/>
  <c r="K4864" i="1"/>
  <c r="M4864" i="1" s="1"/>
  <c r="K4863" i="1"/>
  <c r="M4863" i="1" s="1"/>
  <c r="K4862" i="1"/>
  <c r="M4862" i="1" s="1"/>
  <c r="K4861" i="1"/>
  <c r="M4861" i="1" s="1"/>
  <c r="K4860" i="1"/>
  <c r="M4860" i="1" s="1"/>
  <c r="K4859" i="1"/>
  <c r="M4859" i="1" s="1"/>
  <c r="K4858" i="1"/>
  <c r="M4858" i="1" s="1"/>
  <c r="K4857" i="1"/>
  <c r="M4857" i="1" s="1"/>
  <c r="K4856" i="1"/>
  <c r="M4856" i="1" s="1"/>
  <c r="K4855" i="1"/>
  <c r="M4855" i="1" s="1"/>
  <c r="K4854" i="1"/>
  <c r="M4854" i="1" s="1"/>
  <c r="K4853" i="1"/>
  <c r="M4853" i="1" s="1"/>
  <c r="K4852" i="1"/>
  <c r="M4852" i="1" s="1"/>
  <c r="K4851" i="1"/>
  <c r="M4851" i="1" s="1"/>
  <c r="K4850" i="1"/>
  <c r="M4850" i="1" s="1"/>
  <c r="K4849" i="1"/>
  <c r="M4849" i="1" s="1"/>
  <c r="K4848" i="1"/>
  <c r="M4848" i="1" s="1"/>
  <c r="K4847" i="1"/>
  <c r="M4847" i="1" s="1"/>
  <c r="K4846" i="1"/>
  <c r="M4846" i="1" s="1"/>
  <c r="K4845" i="1"/>
  <c r="M4845" i="1" s="1"/>
  <c r="T4844" i="1"/>
  <c r="K4844" i="1"/>
  <c r="M4844" i="1" s="1"/>
  <c r="K4843" i="1"/>
  <c r="M4843" i="1" s="1"/>
  <c r="K4842" i="1"/>
  <c r="M4842" i="1" s="1"/>
  <c r="K4841" i="1"/>
  <c r="M4841" i="1" s="1"/>
  <c r="K4840" i="1"/>
  <c r="M4840" i="1" s="1"/>
  <c r="K4839" i="1"/>
  <c r="M4839" i="1" s="1"/>
  <c r="T4838" i="1"/>
  <c r="K4838" i="1"/>
  <c r="M4838" i="1" s="1"/>
  <c r="K4837" i="1"/>
  <c r="M4837" i="1" s="1"/>
  <c r="K4836" i="1"/>
  <c r="M4836" i="1" s="1"/>
  <c r="K4835" i="1"/>
  <c r="M4835" i="1" s="1"/>
  <c r="K4834" i="1"/>
  <c r="M4834" i="1" s="1"/>
  <c r="K4833" i="1"/>
  <c r="M4833" i="1" s="1"/>
  <c r="K4832" i="1"/>
  <c r="M4832" i="1" s="1"/>
  <c r="K4831" i="1"/>
  <c r="M4831" i="1" s="1"/>
  <c r="K4830" i="1"/>
  <c r="M4830" i="1" s="1"/>
  <c r="K4829" i="1"/>
  <c r="M4829" i="1" s="1"/>
  <c r="K4828" i="1"/>
  <c r="M4828" i="1" s="1"/>
  <c r="K4827" i="1"/>
  <c r="M4827" i="1" s="1"/>
  <c r="K4826" i="1"/>
  <c r="M4826" i="1" s="1"/>
  <c r="K4825" i="1"/>
  <c r="M4825" i="1" s="1"/>
  <c r="K4824" i="1"/>
  <c r="M4824" i="1" s="1"/>
  <c r="K4823" i="1"/>
  <c r="M4823" i="1" s="1"/>
  <c r="K4822" i="1"/>
  <c r="M4822" i="1" s="1"/>
  <c r="K4821" i="1"/>
  <c r="M4821" i="1" s="1"/>
  <c r="K4820" i="1"/>
  <c r="M4820" i="1" s="1"/>
  <c r="K4819" i="1"/>
  <c r="M4819" i="1" s="1"/>
  <c r="K4818" i="1"/>
  <c r="M4818" i="1" s="1"/>
  <c r="K4817" i="1"/>
  <c r="M4817" i="1" s="1"/>
  <c r="K4816" i="1"/>
  <c r="M4816" i="1" s="1"/>
  <c r="K4815" i="1"/>
  <c r="M4815" i="1" s="1"/>
  <c r="K4814" i="1"/>
  <c r="M4814" i="1" s="1"/>
  <c r="K4813" i="1"/>
  <c r="M4813" i="1" s="1"/>
  <c r="K4812" i="1"/>
  <c r="M4812" i="1" s="1"/>
  <c r="K4811" i="1"/>
  <c r="M4811" i="1" s="1"/>
  <c r="K4810" i="1"/>
  <c r="M4810" i="1" s="1"/>
  <c r="K4809" i="1"/>
  <c r="M4809" i="1" s="1"/>
  <c r="K4808" i="1"/>
  <c r="M4808" i="1" s="1"/>
  <c r="K4807" i="1"/>
  <c r="M4807" i="1" s="1"/>
  <c r="K4806" i="1"/>
  <c r="M4806" i="1" s="1"/>
  <c r="K4805" i="1"/>
  <c r="M4805" i="1" s="1"/>
  <c r="K4804" i="1"/>
  <c r="M4804" i="1" s="1"/>
  <c r="K4803" i="1"/>
  <c r="M4803" i="1" s="1"/>
  <c r="Q4802" i="1"/>
  <c r="T4802" i="1" s="1"/>
  <c r="I4802" i="1"/>
  <c r="K4802" i="1" s="1"/>
  <c r="M4802" i="1" s="1"/>
  <c r="K4801" i="1"/>
  <c r="M4801" i="1" s="1"/>
  <c r="K4800" i="1"/>
  <c r="M4800" i="1" s="1"/>
  <c r="K4799" i="1"/>
  <c r="M4799" i="1" s="1"/>
  <c r="K4798" i="1"/>
  <c r="M4798" i="1" s="1"/>
  <c r="K4797" i="1"/>
  <c r="M4797" i="1" s="1"/>
  <c r="K4796" i="1"/>
  <c r="M4796" i="1" s="1"/>
  <c r="K4795" i="1"/>
  <c r="M4795" i="1" s="1"/>
  <c r="K4794" i="1"/>
  <c r="M4794" i="1" s="1"/>
  <c r="Q4793" i="1"/>
  <c r="T4793" i="1" s="1"/>
  <c r="K4793" i="1"/>
  <c r="M4793" i="1" s="1"/>
  <c r="K4792" i="1"/>
  <c r="M4792" i="1" s="1"/>
  <c r="K4791" i="1"/>
  <c r="M4791" i="1" s="1"/>
  <c r="K4790" i="1"/>
  <c r="M4790" i="1" s="1"/>
  <c r="K4789" i="1"/>
  <c r="M4789" i="1" s="1"/>
  <c r="T4788" i="1"/>
  <c r="K4788" i="1"/>
  <c r="M4788" i="1" s="1"/>
  <c r="K4787" i="1"/>
  <c r="M4787" i="1" s="1"/>
  <c r="K4786" i="1"/>
  <c r="M4786" i="1" s="1"/>
  <c r="K4785" i="1"/>
  <c r="M4785" i="1" s="1"/>
  <c r="K4784" i="1"/>
  <c r="M4784" i="1" s="1"/>
  <c r="K4783" i="1"/>
  <c r="M4783" i="1" s="1"/>
  <c r="Q4782" i="1"/>
  <c r="T4782" i="1" s="1"/>
  <c r="K4782" i="1"/>
  <c r="M4782" i="1" s="1"/>
  <c r="K4781" i="1"/>
  <c r="M4781" i="1" s="1"/>
  <c r="K4780" i="1"/>
  <c r="M4780" i="1" s="1"/>
  <c r="K4779" i="1"/>
  <c r="M4779" i="1" s="1"/>
  <c r="K4778" i="1"/>
  <c r="M4778" i="1" s="1"/>
  <c r="K4777" i="1"/>
  <c r="M4777" i="1" s="1"/>
  <c r="K4776" i="1"/>
  <c r="M4776" i="1" s="1"/>
  <c r="K4775" i="1"/>
  <c r="M4775" i="1" s="1"/>
  <c r="K4774" i="1"/>
  <c r="M4774" i="1" s="1"/>
  <c r="K4773" i="1"/>
  <c r="M4773" i="1" s="1"/>
  <c r="Q4772" i="1"/>
  <c r="T4772" i="1" s="1"/>
  <c r="K4772" i="1"/>
  <c r="M4772" i="1" s="1"/>
  <c r="K4771" i="1"/>
  <c r="M4771" i="1" s="1"/>
  <c r="K4770" i="1"/>
  <c r="M4770" i="1" s="1"/>
  <c r="K4769" i="1"/>
  <c r="M4769" i="1" s="1"/>
  <c r="K4768" i="1"/>
  <c r="M4768" i="1" s="1"/>
  <c r="K4767" i="1"/>
  <c r="M4767" i="1" s="1"/>
  <c r="K4766" i="1"/>
  <c r="M4766" i="1" s="1"/>
  <c r="K4765" i="1"/>
  <c r="M4765" i="1" s="1"/>
  <c r="Q4764" i="1"/>
  <c r="T4764" i="1" s="1"/>
  <c r="K4764" i="1"/>
  <c r="M4764" i="1" s="1"/>
  <c r="K4763" i="1"/>
  <c r="M4763" i="1" s="1"/>
  <c r="K4762" i="1"/>
  <c r="M4762" i="1" s="1"/>
  <c r="K4761" i="1"/>
  <c r="M4761" i="1" s="1"/>
  <c r="K4760" i="1"/>
  <c r="M4760" i="1" s="1"/>
  <c r="K4759" i="1"/>
  <c r="M4759" i="1" s="1"/>
  <c r="K4758" i="1"/>
  <c r="M4758" i="1" s="1"/>
  <c r="K4757" i="1"/>
  <c r="M4757" i="1" s="1"/>
  <c r="K4756" i="1"/>
  <c r="M4756" i="1" s="1"/>
  <c r="K4755" i="1"/>
  <c r="M4755" i="1" s="1"/>
  <c r="K4754" i="1"/>
  <c r="M4754" i="1" s="1"/>
  <c r="Q4753" i="1"/>
  <c r="T4753" i="1" s="1"/>
  <c r="K4753" i="1"/>
  <c r="M4753" i="1" s="1"/>
  <c r="K4752" i="1"/>
  <c r="M4752" i="1" s="1"/>
  <c r="K4751" i="1"/>
  <c r="M4751" i="1" s="1"/>
  <c r="K4750" i="1"/>
  <c r="M4750" i="1" s="1"/>
  <c r="K4749" i="1"/>
  <c r="M4749" i="1" s="1"/>
  <c r="K4748" i="1"/>
  <c r="M4748" i="1" s="1"/>
  <c r="K4747" i="1"/>
  <c r="M4747" i="1" s="1"/>
  <c r="K4746" i="1"/>
  <c r="M4746" i="1" s="1"/>
  <c r="K4745" i="1"/>
  <c r="M4745" i="1" s="1"/>
  <c r="K4744" i="1"/>
  <c r="M4744" i="1" s="1"/>
  <c r="K4743" i="1"/>
  <c r="M4743" i="1" s="1"/>
  <c r="K4742" i="1"/>
  <c r="M4742" i="1" s="1"/>
  <c r="K4741" i="1"/>
  <c r="M4741" i="1" s="1"/>
  <c r="K4740" i="1"/>
  <c r="M4740" i="1" s="1"/>
  <c r="K4739" i="1"/>
  <c r="M4739" i="1" s="1"/>
  <c r="K4738" i="1"/>
  <c r="M4738" i="1" s="1"/>
  <c r="K4737" i="1"/>
  <c r="M4737" i="1" s="1"/>
  <c r="K4736" i="1"/>
  <c r="M4736" i="1" s="1"/>
  <c r="K4735" i="1"/>
  <c r="M4735" i="1" s="1"/>
  <c r="K4734" i="1"/>
  <c r="M4734" i="1" s="1"/>
  <c r="K4733" i="1"/>
  <c r="M4733" i="1" s="1"/>
  <c r="K4732" i="1"/>
  <c r="M4732" i="1" s="1"/>
  <c r="K4731" i="1"/>
  <c r="M4731" i="1" s="1"/>
  <c r="K4730" i="1"/>
  <c r="M4730" i="1" s="1"/>
  <c r="K4729" i="1"/>
  <c r="M4729" i="1" s="1"/>
  <c r="K4728" i="1"/>
  <c r="M4728" i="1" s="1"/>
  <c r="K4727" i="1"/>
  <c r="M4727" i="1" s="1"/>
  <c r="K4726" i="1"/>
  <c r="M4726" i="1" s="1"/>
  <c r="K4725" i="1"/>
  <c r="M4725" i="1" s="1"/>
  <c r="K4724" i="1"/>
  <c r="M4724" i="1" s="1"/>
  <c r="K4723" i="1"/>
  <c r="M4723" i="1" s="1"/>
  <c r="K4722" i="1"/>
  <c r="M4722" i="1" s="1"/>
  <c r="K4721" i="1"/>
  <c r="M4721" i="1" s="1"/>
  <c r="K4720" i="1"/>
  <c r="M4720" i="1" s="1"/>
  <c r="T4719" i="1"/>
  <c r="K4719" i="1"/>
  <c r="M4719" i="1" s="1"/>
  <c r="K4718" i="1"/>
  <c r="M4718" i="1" s="1"/>
  <c r="K4717" i="1"/>
  <c r="M4717" i="1" s="1"/>
  <c r="K4716" i="1"/>
  <c r="M4716" i="1" s="1"/>
  <c r="K4715" i="1"/>
  <c r="M4715" i="1" s="1"/>
  <c r="K4714" i="1"/>
  <c r="M4714" i="1" s="1"/>
  <c r="K4713" i="1"/>
  <c r="M4713" i="1" s="1"/>
  <c r="K4712" i="1"/>
  <c r="M4712" i="1" s="1"/>
  <c r="K4711" i="1"/>
  <c r="M4711" i="1" s="1"/>
  <c r="K4710" i="1"/>
  <c r="M4710" i="1" s="1"/>
  <c r="K4709" i="1"/>
  <c r="M4709" i="1" s="1"/>
  <c r="K4708" i="1"/>
  <c r="M4708" i="1" s="1"/>
  <c r="K4707" i="1"/>
  <c r="M4707" i="1" s="1"/>
  <c r="K4706" i="1"/>
  <c r="M4706" i="1" s="1"/>
  <c r="K4705" i="1"/>
  <c r="M4705" i="1" s="1"/>
  <c r="Q4704" i="1"/>
  <c r="T4704" i="1" s="1"/>
  <c r="K4704" i="1"/>
  <c r="M4704" i="1" s="1"/>
  <c r="K4703" i="1"/>
  <c r="M4703" i="1" s="1"/>
  <c r="K4702" i="1"/>
  <c r="M4702" i="1" s="1"/>
  <c r="K4701" i="1"/>
  <c r="M4701" i="1" s="1"/>
  <c r="K4700" i="1"/>
  <c r="M4700" i="1" s="1"/>
  <c r="K4699" i="1"/>
  <c r="M4699" i="1" s="1"/>
  <c r="K4698" i="1"/>
  <c r="M4698" i="1" s="1"/>
  <c r="K4697" i="1"/>
  <c r="M4697" i="1" s="1"/>
  <c r="K4696" i="1"/>
  <c r="M4696" i="1" s="1"/>
  <c r="K4695" i="1"/>
  <c r="M4695" i="1" s="1"/>
  <c r="K4694" i="1"/>
  <c r="M4694" i="1" s="1"/>
  <c r="K4693" i="1"/>
  <c r="M4693" i="1" s="1"/>
  <c r="K4692" i="1"/>
  <c r="M4692" i="1" s="1"/>
  <c r="K4691" i="1"/>
  <c r="M4691" i="1" s="1"/>
  <c r="K4690" i="1"/>
  <c r="M4690" i="1" s="1"/>
  <c r="K4689" i="1"/>
  <c r="M4689" i="1" s="1"/>
  <c r="K4688" i="1"/>
  <c r="M4688" i="1" s="1"/>
  <c r="Q4687" i="1"/>
  <c r="T4687" i="1" s="1"/>
  <c r="K4687" i="1"/>
  <c r="M4687" i="1" s="1"/>
  <c r="K4686" i="1"/>
  <c r="M4686" i="1" s="1"/>
  <c r="K4685" i="1"/>
  <c r="M4685" i="1" s="1"/>
  <c r="K4684" i="1"/>
  <c r="M4684" i="1" s="1"/>
  <c r="K4683" i="1"/>
  <c r="M4683" i="1" s="1"/>
  <c r="K4682" i="1"/>
  <c r="M4682" i="1" s="1"/>
  <c r="K4681" i="1"/>
  <c r="M4681" i="1" s="1"/>
  <c r="K4680" i="1"/>
  <c r="M4680" i="1" s="1"/>
  <c r="K4679" i="1"/>
  <c r="M4679" i="1" s="1"/>
  <c r="K4678" i="1"/>
  <c r="M4678" i="1" s="1"/>
  <c r="K4677" i="1"/>
  <c r="M4677" i="1" s="1"/>
  <c r="K4676" i="1"/>
  <c r="M4676" i="1" s="1"/>
  <c r="K4675" i="1"/>
  <c r="M4675" i="1" s="1"/>
  <c r="K4674" i="1"/>
  <c r="M4674" i="1" s="1"/>
  <c r="K4673" i="1"/>
  <c r="M4673" i="1" s="1"/>
  <c r="K4672" i="1"/>
  <c r="M4672" i="1" s="1"/>
  <c r="K4671" i="1"/>
  <c r="M4671" i="1" s="1"/>
  <c r="K4670" i="1"/>
  <c r="M4670" i="1" s="1"/>
  <c r="K4669" i="1"/>
  <c r="M4669" i="1" s="1"/>
  <c r="K4668" i="1"/>
  <c r="M4668" i="1" s="1"/>
  <c r="K4667" i="1"/>
  <c r="M4667" i="1" s="1"/>
  <c r="K4666" i="1"/>
  <c r="M4666" i="1" s="1"/>
  <c r="K4665" i="1"/>
  <c r="M4665" i="1" s="1"/>
  <c r="K4664" i="1"/>
  <c r="M4664" i="1" s="1"/>
  <c r="K4663" i="1"/>
  <c r="M4663" i="1" s="1"/>
  <c r="K4662" i="1"/>
  <c r="M4662" i="1" s="1"/>
  <c r="K4661" i="1"/>
  <c r="M4661" i="1" s="1"/>
  <c r="K4660" i="1"/>
  <c r="M4660" i="1" s="1"/>
  <c r="K4659" i="1"/>
  <c r="M4659" i="1" s="1"/>
  <c r="K4658" i="1"/>
  <c r="M4658" i="1" s="1"/>
  <c r="K4657" i="1"/>
  <c r="M4657" i="1" s="1"/>
  <c r="K4656" i="1"/>
  <c r="M4656" i="1" s="1"/>
  <c r="K4655" i="1"/>
  <c r="M4655" i="1" s="1"/>
  <c r="K4654" i="1"/>
  <c r="M4654" i="1" s="1"/>
  <c r="K4653" i="1"/>
  <c r="M4653" i="1" s="1"/>
  <c r="K4652" i="1"/>
  <c r="M4652" i="1" s="1"/>
  <c r="K4651" i="1"/>
  <c r="M4651" i="1" s="1"/>
  <c r="K4650" i="1"/>
  <c r="M4650" i="1" s="1"/>
  <c r="K4649" i="1"/>
  <c r="M4649" i="1" s="1"/>
  <c r="K4648" i="1"/>
  <c r="M4648" i="1" s="1"/>
  <c r="K4647" i="1"/>
  <c r="M4647" i="1" s="1"/>
  <c r="K4646" i="1"/>
  <c r="M4646" i="1" s="1"/>
  <c r="K4645" i="1"/>
  <c r="M4645" i="1" s="1"/>
  <c r="K4644" i="1"/>
  <c r="M4644" i="1" s="1"/>
  <c r="K4643" i="1"/>
  <c r="M4643" i="1" s="1"/>
  <c r="K4642" i="1"/>
  <c r="M4642" i="1" s="1"/>
  <c r="K4641" i="1"/>
  <c r="M4641" i="1" s="1"/>
  <c r="K4640" i="1"/>
  <c r="M4640" i="1" s="1"/>
  <c r="K4639" i="1"/>
  <c r="M4639" i="1" s="1"/>
  <c r="K4638" i="1"/>
  <c r="M4638" i="1" s="1"/>
  <c r="Q4637" i="1"/>
  <c r="T4637" i="1" s="1"/>
  <c r="H4637" i="1"/>
  <c r="K4637" i="1" s="1"/>
  <c r="M4637" i="1" s="1"/>
  <c r="K4636" i="1"/>
  <c r="M4636" i="1" s="1"/>
  <c r="K4635" i="1"/>
  <c r="M4635" i="1" s="1"/>
  <c r="K4634" i="1"/>
  <c r="M4634" i="1" s="1"/>
  <c r="K4633" i="1"/>
  <c r="M4633" i="1" s="1"/>
  <c r="K4632" i="1"/>
  <c r="M4632" i="1" s="1"/>
  <c r="K4631" i="1"/>
  <c r="M4631" i="1" s="1"/>
  <c r="K4630" i="1"/>
  <c r="M4630" i="1" s="1"/>
  <c r="K4629" i="1"/>
  <c r="M4629" i="1" s="1"/>
  <c r="K4628" i="1"/>
  <c r="M4628" i="1" s="1"/>
  <c r="K4627" i="1"/>
  <c r="M4627" i="1" s="1"/>
  <c r="K4626" i="1"/>
  <c r="M4626" i="1" s="1"/>
  <c r="K4625" i="1"/>
  <c r="M4625" i="1" s="1"/>
  <c r="K4624" i="1"/>
  <c r="M4624" i="1" s="1"/>
  <c r="K4623" i="1"/>
  <c r="M4623" i="1" s="1"/>
  <c r="K4622" i="1"/>
  <c r="M4622" i="1" s="1"/>
  <c r="K4621" i="1"/>
  <c r="M4621" i="1" s="1"/>
  <c r="K4620" i="1"/>
  <c r="M4620" i="1" s="1"/>
  <c r="K4619" i="1"/>
  <c r="M4619" i="1" s="1"/>
  <c r="K4618" i="1"/>
  <c r="M4618" i="1" s="1"/>
  <c r="T4617" i="1"/>
  <c r="K4617" i="1"/>
  <c r="M4617" i="1" s="1"/>
  <c r="K4616" i="1"/>
  <c r="M4616" i="1" s="1"/>
  <c r="K4615" i="1"/>
  <c r="M4615" i="1" s="1"/>
  <c r="K4614" i="1"/>
  <c r="M4614" i="1" s="1"/>
  <c r="K4613" i="1"/>
  <c r="M4613" i="1" s="1"/>
  <c r="K4612" i="1"/>
  <c r="M4612" i="1" s="1"/>
  <c r="K4611" i="1"/>
  <c r="M4611" i="1" s="1"/>
  <c r="K4610" i="1"/>
  <c r="M4610" i="1" s="1"/>
  <c r="K4609" i="1"/>
  <c r="M4609" i="1" s="1"/>
  <c r="K4608" i="1"/>
  <c r="M4608" i="1" s="1"/>
  <c r="Q4607" i="1"/>
  <c r="T4607" i="1" s="1"/>
  <c r="K4607" i="1"/>
  <c r="M4607" i="1" s="1"/>
  <c r="K4606" i="1"/>
  <c r="M4606" i="1" s="1"/>
  <c r="K4605" i="1"/>
  <c r="M4605" i="1" s="1"/>
  <c r="K4604" i="1"/>
  <c r="M4604" i="1" s="1"/>
  <c r="K4603" i="1"/>
  <c r="M4603" i="1" s="1"/>
  <c r="K4602" i="1"/>
  <c r="M4602" i="1" s="1"/>
  <c r="K4601" i="1"/>
  <c r="M4601" i="1" s="1"/>
  <c r="K4600" i="1"/>
  <c r="M4600" i="1" s="1"/>
  <c r="K4599" i="1"/>
  <c r="M4599" i="1" s="1"/>
  <c r="K4598" i="1"/>
  <c r="M4598" i="1" s="1"/>
  <c r="K4597" i="1"/>
  <c r="M4597" i="1" s="1"/>
  <c r="K4596" i="1"/>
  <c r="M4596" i="1" s="1"/>
  <c r="K4595" i="1"/>
  <c r="M4595" i="1" s="1"/>
  <c r="Q4594" i="1"/>
  <c r="T4594" i="1" s="1"/>
  <c r="K4594" i="1"/>
  <c r="M4594" i="1" s="1"/>
  <c r="T4593" i="1"/>
  <c r="H4593" i="1"/>
  <c r="M4593" i="1" s="1"/>
  <c r="K4592" i="1"/>
  <c r="M4592" i="1" s="1"/>
  <c r="K4591" i="1"/>
  <c r="M4591" i="1" s="1"/>
  <c r="K4590" i="1"/>
  <c r="M4590" i="1" s="1"/>
  <c r="K4589" i="1"/>
  <c r="M4589" i="1" s="1"/>
  <c r="K4588" i="1"/>
  <c r="M4588" i="1" s="1"/>
  <c r="Q4587" i="1"/>
  <c r="T4587" i="1" s="1"/>
  <c r="K4587" i="1"/>
  <c r="F4587" i="1"/>
  <c r="K4586" i="1"/>
  <c r="M4586" i="1" s="1"/>
  <c r="K4585" i="1"/>
  <c r="M4585" i="1" s="1"/>
  <c r="K4584" i="1"/>
  <c r="M4584" i="1" s="1"/>
  <c r="K4583" i="1"/>
  <c r="M4583" i="1" s="1"/>
  <c r="K4582" i="1"/>
  <c r="M4582" i="1" s="1"/>
  <c r="K4581" i="1"/>
  <c r="M4581" i="1" s="1"/>
  <c r="K4580" i="1"/>
  <c r="M4580" i="1" s="1"/>
  <c r="K4579" i="1"/>
  <c r="M4579" i="1" s="1"/>
  <c r="Q4578" i="1"/>
  <c r="T4578" i="1" s="1"/>
  <c r="K4578" i="1"/>
  <c r="M4578" i="1" s="1"/>
  <c r="Q4577" i="1"/>
  <c r="T4577" i="1" s="1"/>
  <c r="K4577" i="1"/>
  <c r="M4577" i="1" s="1"/>
  <c r="K4576" i="1"/>
  <c r="M4576" i="1" s="1"/>
  <c r="K4575" i="1"/>
  <c r="M4575" i="1" s="1"/>
  <c r="Q4574" i="1"/>
  <c r="T4574" i="1" s="1"/>
  <c r="K4574" i="1"/>
  <c r="M4574" i="1" s="1"/>
  <c r="K4573" i="1"/>
  <c r="M4573" i="1" s="1"/>
  <c r="K4572" i="1"/>
  <c r="M4572" i="1" s="1"/>
  <c r="K4571" i="1"/>
  <c r="M4571" i="1" s="1"/>
  <c r="K4570" i="1"/>
  <c r="M4570" i="1" s="1"/>
  <c r="K4569" i="1"/>
  <c r="M4569" i="1" s="1"/>
  <c r="K4568" i="1"/>
  <c r="M4568" i="1" s="1"/>
  <c r="K4567" i="1"/>
  <c r="M4567" i="1" s="1"/>
  <c r="K4566" i="1"/>
  <c r="M4566" i="1" s="1"/>
  <c r="K4565" i="1"/>
  <c r="M4565" i="1" s="1"/>
  <c r="K4564" i="1"/>
  <c r="M4564" i="1" s="1"/>
  <c r="Q4563" i="1"/>
  <c r="T4563" i="1" s="1"/>
  <c r="K4563" i="1"/>
  <c r="M4563" i="1" s="1"/>
  <c r="K4562" i="1"/>
  <c r="M4562" i="1" s="1"/>
  <c r="K4561" i="1"/>
  <c r="M4561" i="1" s="1"/>
  <c r="K4560" i="1"/>
  <c r="M4560" i="1" s="1"/>
  <c r="K4559" i="1"/>
  <c r="M4559" i="1" s="1"/>
  <c r="K4558" i="1"/>
  <c r="M4558" i="1" s="1"/>
  <c r="K4557" i="1"/>
  <c r="M4557" i="1" s="1"/>
  <c r="K4556" i="1"/>
  <c r="M4556" i="1" s="1"/>
  <c r="K4555" i="1"/>
  <c r="M4555" i="1" s="1"/>
  <c r="K4554" i="1"/>
  <c r="M4554" i="1" s="1"/>
  <c r="K4553" i="1"/>
  <c r="M4553" i="1" s="1"/>
  <c r="K4552" i="1"/>
  <c r="M4552" i="1" s="1"/>
  <c r="K4551" i="1"/>
  <c r="M4551" i="1" s="1"/>
  <c r="K4550" i="1"/>
  <c r="M4550" i="1" s="1"/>
  <c r="K4549" i="1"/>
  <c r="M4549" i="1" s="1"/>
  <c r="K4548" i="1"/>
  <c r="M4548" i="1" s="1"/>
  <c r="K4547" i="1"/>
  <c r="M4547" i="1" s="1"/>
  <c r="K4546" i="1"/>
  <c r="M4546" i="1" s="1"/>
  <c r="K4545" i="1"/>
  <c r="M4545" i="1" s="1"/>
  <c r="K4544" i="1"/>
  <c r="M4544" i="1" s="1"/>
  <c r="Q4543" i="1"/>
  <c r="T4543" i="1" s="1"/>
  <c r="K4543" i="1"/>
  <c r="M4543" i="1" s="1"/>
  <c r="K4542" i="1"/>
  <c r="M4542" i="1" s="1"/>
  <c r="K4541" i="1"/>
  <c r="M4541" i="1" s="1"/>
  <c r="K4540" i="1"/>
  <c r="M4540" i="1" s="1"/>
  <c r="K4539" i="1"/>
  <c r="M4539" i="1" s="1"/>
  <c r="K4538" i="1"/>
  <c r="M4538" i="1" s="1"/>
  <c r="K4537" i="1"/>
  <c r="M4537" i="1" s="1"/>
  <c r="K4536" i="1"/>
  <c r="M4536" i="1" s="1"/>
  <c r="K4535" i="1"/>
  <c r="M4535" i="1" s="1"/>
  <c r="K4534" i="1"/>
  <c r="M4534" i="1" s="1"/>
  <c r="T4533" i="1"/>
  <c r="K4533" i="1"/>
  <c r="M4533" i="1" s="1"/>
  <c r="K4532" i="1"/>
  <c r="M4532" i="1" s="1"/>
  <c r="K4531" i="1"/>
  <c r="M4531" i="1" s="1"/>
  <c r="K4530" i="1"/>
  <c r="M4530" i="1" s="1"/>
  <c r="K4529" i="1"/>
  <c r="M4529" i="1" s="1"/>
  <c r="K4528" i="1"/>
  <c r="M4528" i="1" s="1"/>
  <c r="K4527" i="1"/>
  <c r="M4527" i="1" s="1"/>
  <c r="K4526" i="1"/>
  <c r="M4526" i="1" s="1"/>
  <c r="K4525" i="1"/>
  <c r="M4525" i="1" s="1"/>
  <c r="K4524" i="1"/>
  <c r="M4524" i="1" s="1"/>
  <c r="K4523" i="1"/>
  <c r="M4523" i="1" s="1"/>
  <c r="K4522" i="1"/>
  <c r="M4522" i="1" s="1"/>
  <c r="K4521" i="1"/>
  <c r="M4521" i="1" s="1"/>
  <c r="K4520" i="1"/>
  <c r="M4520" i="1" s="1"/>
  <c r="K4519" i="1"/>
  <c r="M4519" i="1" s="1"/>
  <c r="K4518" i="1"/>
  <c r="M4518" i="1" s="1"/>
  <c r="K4517" i="1"/>
  <c r="M4517" i="1" s="1"/>
  <c r="K4516" i="1"/>
  <c r="M4516" i="1" s="1"/>
  <c r="K4515" i="1"/>
  <c r="M4515" i="1" s="1"/>
  <c r="K4514" i="1"/>
  <c r="M4514" i="1" s="1"/>
  <c r="K4513" i="1"/>
  <c r="M4513" i="1" s="1"/>
  <c r="K4512" i="1"/>
  <c r="M4512" i="1" s="1"/>
  <c r="K4511" i="1"/>
  <c r="M4511" i="1" s="1"/>
  <c r="K4510" i="1"/>
  <c r="M4510" i="1" s="1"/>
  <c r="K4509" i="1"/>
  <c r="M4509" i="1" s="1"/>
  <c r="K4508" i="1"/>
  <c r="M4508" i="1" s="1"/>
  <c r="K4507" i="1"/>
  <c r="M4507" i="1" s="1"/>
  <c r="K4506" i="1"/>
  <c r="M4506" i="1" s="1"/>
  <c r="K4505" i="1"/>
  <c r="M4505" i="1" s="1"/>
  <c r="K4504" i="1"/>
  <c r="M4504" i="1" s="1"/>
  <c r="K4503" i="1"/>
  <c r="M4503" i="1" s="1"/>
  <c r="K4502" i="1"/>
  <c r="M4502" i="1" s="1"/>
  <c r="K4501" i="1"/>
  <c r="M4501" i="1" s="1"/>
  <c r="K4500" i="1"/>
  <c r="M4500" i="1" s="1"/>
  <c r="K4499" i="1"/>
  <c r="M4499" i="1" s="1"/>
  <c r="K4498" i="1"/>
  <c r="M4498" i="1" s="1"/>
  <c r="K4497" i="1"/>
  <c r="M4497" i="1" s="1"/>
  <c r="K4496" i="1"/>
  <c r="M4496" i="1" s="1"/>
  <c r="K4495" i="1"/>
  <c r="M4495" i="1" s="1"/>
  <c r="K4494" i="1"/>
  <c r="M4494" i="1" s="1"/>
  <c r="K4493" i="1"/>
  <c r="M4493" i="1" s="1"/>
  <c r="K4492" i="1"/>
  <c r="M4492" i="1" s="1"/>
  <c r="K4491" i="1"/>
  <c r="M4491" i="1" s="1"/>
  <c r="K4490" i="1"/>
  <c r="M4490" i="1" s="1"/>
  <c r="K4489" i="1"/>
  <c r="M4489" i="1" s="1"/>
  <c r="K4488" i="1"/>
  <c r="M4488" i="1" s="1"/>
  <c r="K4487" i="1"/>
  <c r="M4487" i="1" s="1"/>
  <c r="K4486" i="1"/>
  <c r="M4486" i="1" s="1"/>
  <c r="Q4485" i="1"/>
  <c r="T4485" i="1" s="1"/>
  <c r="K4485" i="1"/>
  <c r="M4485" i="1" s="1"/>
  <c r="K4484" i="1"/>
  <c r="M4484" i="1" s="1"/>
  <c r="K4483" i="1"/>
  <c r="M4483" i="1" s="1"/>
  <c r="K4482" i="1"/>
  <c r="M4482" i="1" s="1"/>
  <c r="K4481" i="1"/>
  <c r="M4481" i="1" s="1"/>
  <c r="K4480" i="1"/>
  <c r="M4480" i="1" s="1"/>
  <c r="K4479" i="1"/>
  <c r="M4479" i="1" s="1"/>
  <c r="T4478" i="1"/>
  <c r="I4478" i="1"/>
  <c r="K4478" i="1" s="1"/>
  <c r="M4478" i="1" s="1"/>
  <c r="K4477" i="1"/>
  <c r="M4477" i="1" s="1"/>
  <c r="T4476" i="1"/>
  <c r="G4476" i="1"/>
  <c r="K4476" i="1" s="1"/>
  <c r="M4476" i="1" s="1"/>
  <c r="K4475" i="1"/>
  <c r="M4475" i="1" s="1"/>
  <c r="K4474" i="1"/>
  <c r="M4474" i="1" s="1"/>
  <c r="K4473" i="1"/>
  <c r="M4473" i="1" s="1"/>
  <c r="K4472" i="1"/>
  <c r="M4472" i="1" s="1"/>
  <c r="K4471" i="1"/>
  <c r="M4471" i="1" s="1"/>
  <c r="K4470" i="1"/>
  <c r="M4470" i="1" s="1"/>
  <c r="K4469" i="1"/>
  <c r="M4469" i="1" s="1"/>
  <c r="K4468" i="1"/>
  <c r="M4468" i="1" s="1"/>
  <c r="K4467" i="1"/>
  <c r="M4467" i="1" s="1"/>
  <c r="K4466" i="1"/>
  <c r="M4466" i="1" s="1"/>
  <c r="K4465" i="1"/>
  <c r="M4465" i="1" s="1"/>
  <c r="K4464" i="1"/>
  <c r="M4464" i="1" s="1"/>
  <c r="K4463" i="1"/>
  <c r="M4463" i="1" s="1"/>
  <c r="K4462" i="1"/>
  <c r="M4462" i="1" s="1"/>
  <c r="K4461" i="1"/>
  <c r="M4461" i="1" s="1"/>
  <c r="K4460" i="1"/>
  <c r="M4460" i="1" s="1"/>
  <c r="K4459" i="1"/>
  <c r="M4459" i="1" s="1"/>
  <c r="K4458" i="1"/>
  <c r="M4458" i="1" s="1"/>
  <c r="K4457" i="1"/>
  <c r="M4457" i="1" s="1"/>
  <c r="K4456" i="1"/>
  <c r="M4456" i="1" s="1"/>
  <c r="K4455" i="1"/>
  <c r="M4455" i="1" s="1"/>
  <c r="K4454" i="1"/>
  <c r="M4454" i="1" s="1"/>
  <c r="K4453" i="1"/>
  <c r="M4453" i="1" s="1"/>
  <c r="K4452" i="1"/>
  <c r="M4452" i="1" s="1"/>
  <c r="K4451" i="1"/>
  <c r="M4451" i="1" s="1"/>
  <c r="K4450" i="1"/>
  <c r="M4450" i="1" s="1"/>
  <c r="K4449" i="1"/>
  <c r="M4449" i="1" s="1"/>
  <c r="K4448" i="1"/>
  <c r="M4448" i="1" s="1"/>
  <c r="Q4447" i="1"/>
  <c r="T4447" i="1" s="1"/>
  <c r="K4447" i="1"/>
  <c r="M4447" i="1" s="1"/>
  <c r="K4446" i="1"/>
  <c r="M4446" i="1" s="1"/>
  <c r="K4445" i="1"/>
  <c r="M4445" i="1" s="1"/>
  <c r="K4444" i="1"/>
  <c r="M4444" i="1" s="1"/>
  <c r="K4443" i="1"/>
  <c r="M4443" i="1" s="1"/>
  <c r="K4442" i="1"/>
  <c r="M4442" i="1" s="1"/>
  <c r="K4441" i="1"/>
  <c r="M4441" i="1" s="1"/>
  <c r="K4440" i="1"/>
  <c r="M4440" i="1" s="1"/>
  <c r="K4439" i="1"/>
  <c r="M4439" i="1" s="1"/>
  <c r="K4438" i="1"/>
  <c r="M4438" i="1" s="1"/>
  <c r="K4437" i="1"/>
  <c r="M4437" i="1" s="1"/>
  <c r="K4436" i="1"/>
  <c r="M4436" i="1" s="1"/>
  <c r="K4435" i="1"/>
  <c r="M4435" i="1" s="1"/>
  <c r="K4434" i="1"/>
  <c r="M4434" i="1" s="1"/>
  <c r="K4433" i="1"/>
  <c r="M4433" i="1" s="1"/>
  <c r="K4432" i="1"/>
  <c r="M4432" i="1" s="1"/>
  <c r="K4431" i="1"/>
  <c r="M4431" i="1" s="1"/>
  <c r="K4430" i="1"/>
  <c r="M4430" i="1" s="1"/>
  <c r="K4429" i="1"/>
  <c r="M4429" i="1" s="1"/>
  <c r="K4428" i="1"/>
  <c r="M4428" i="1" s="1"/>
  <c r="K4427" i="1"/>
  <c r="M4427" i="1" s="1"/>
  <c r="K4426" i="1"/>
  <c r="M4426" i="1" s="1"/>
  <c r="K4425" i="1"/>
  <c r="M4425" i="1" s="1"/>
  <c r="K4424" i="1"/>
  <c r="M4424" i="1" s="1"/>
  <c r="K4423" i="1"/>
  <c r="M4423" i="1" s="1"/>
  <c r="K4422" i="1"/>
  <c r="M4422" i="1" s="1"/>
  <c r="K4421" i="1"/>
  <c r="M4421" i="1" s="1"/>
  <c r="K4420" i="1"/>
  <c r="M4420" i="1" s="1"/>
  <c r="K4419" i="1"/>
  <c r="M4419" i="1" s="1"/>
  <c r="K4418" i="1"/>
  <c r="M4418" i="1" s="1"/>
  <c r="K4417" i="1"/>
  <c r="M4417" i="1" s="1"/>
  <c r="K4416" i="1"/>
  <c r="M4416" i="1" s="1"/>
  <c r="K4415" i="1"/>
  <c r="M4415" i="1" s="1"/>
  <c r="K4414" i="1"/>
  <c r="M4414" i="1" s="1"/>
  <c r="K4413" i="1"/>
  <c r="M4413" i="1" s="1"/>
  <c r="K4412" i="1"/>
  <c r="M4412" i="1" s="1"/>
  <c r="K4411" i="1"/>
  <c r="M4411" i="1" s="1"/>
  <c r="K4410" i="1"/>
  <c r="M4410" i="1" s="1"/>
  <c r="K4409" i="1"/>
  <c r="M4409" i="1" s="1"/>
  <c r="K4408" i="1"/>
  <c r="M4408" i="1" s="1"/>
  <c r="K4407" i="1"/>
  <c r="M4407" i="1" s="1"/>
  <c r="K4406" i="1"/>
  <c r="M4406" i="1" s="1"/>
  <c r="K4405" i="1"/>
  <c r="M4405" i="1" s="1"/>
  <c r="K4404" i="1"/>
  <c r="M4404" i="1" s="1"/>
  <c r="K4403" i="1"/>
  <c r="M4403" i="1" s="1"/>
  <c r="K4402" i="1"/>
  <c r="M4402" i="1" s="1"/>
  <c r="K4401" i="1"/>
  <c r="M4401" i="1" s="1"/>
  <c r="K4400" i="1"/>
  <c r="M4400" i="1" s="1"/>
  <c r="K4399" i="1"/>
  <c r="M4399" i="1" s="1"/>
  <c r="K4398" i="1"/>
  <c r="M4398" i="1" s="1"/>
  <c r="K4397" i="1"/>
  <c r="M4397" i="1" s="1"/>
  <c r="K4396" i="1"/>
  <c r="M4396" i="1" s="1"/>
  <c r="K4395" i="1"/>
  <c r="M4395" i="1" s="1"/>
  <c r="K4394" i="1"/>
  <c r="M4394" i="1" s="1"/>
  <c r="K4393" i="1"/>
  <c r="M4393" i="1" s="1"/>
  <c r="K4392" i="1"/>
  <c r="M4392" i="1" s="1"/>
  <c r="K4391" i="1"/>
  <c r="M4391" i="1" s="1"/>
  <c r="K4390" i="1"/>
  <c r="M4390" i="1" s="1"/>
  <c r="K4389" i="1"/>
  <c r="M4389" i="1" s="1"/>
  <c r="K4388" i="1"/>
  <c r="M4388" i="1" s="1"/>
  <c r="K4387" i="1"/>
  <c r="M4387" i="1" s="1"/>
  <c r="K4386" i="1"/>
  <c r="M4386" i="1" s="1"/>
  <c r="K4385" i="1"/>
  <c r="M4385" i="1" s="1"/>
  <c r="K4384" i="1"/>
  <c r="M4384" i="1" s="1"/>
  <c r="K4383" i="1"/>
  <c r="M4383" i="1" s="1"/>
  <c r="K4382" i="1"/>
  <c r="M4382" i="1" s="1"/>
  <c r="K4381" i="1"/>
  <c r="M4381" i="1" s="1"/>
  <c r="K4380" i="1"/>
  <c r="M4380" i="1" s="1"/>
  <c r="Q4379" i="1"/>
  <c r="T4379" i="1" s="1"/>
  <c r="K4379" i="1"/>
  <c r="M4379" i="1" s="1"/>
  <c r="K4378" i="1"/>
  <c r="M4378" i="1" s="1"/>
  <c r="K4377" i="1"/>
  <c r="M4377" i="1" s="1"/>
  <c r="K4376" i="1"/>
  <c r="M4376" i="1" s="1"/>
  <c r="K4375" i="1"/>
  <c r="M4375" i="1" s="1"/>
  <c r="K4374" i="1"/>
  <c r="M4374" i="1" s="1"/>
  <c r="K4373" i="1"/>
  <c r="M4373" i="1" s="1"/>
  <c r="K4372" i="1"/>
  <c r="M4372" i="1" s="1"/>
  <c r="K4371" i="1"/>
  <c r="M4371" i="1" s="1"/>
  <c r="Q4370" i="1"/>
  <c r="T4370" i="1" s="1"/>
  <c r="K4370" i="1"/>
  <c r="M4370" i="1" s="1"/>
  <c r="K4369" i="1"/>
  <c r="M4369" i="1" s="1"/>
  <c r="K4368" i="1"/>
  <c r="M4368" i="1" s="1"/>
  <c r="K4367" i="1"/>
  <c r="M4367" i="1" s="1"/>
  <c r="K4366" i="1"/>
  <c r="M4366" i="1" s="1"/>
  <c r="K4365" i="1"/>
  <c r="M4365" i="1" s="1"/>
  <c r="K4364" i="1"/>
  <c r="M4364" i="1" s="1"/>
  <c r="Q4363" i="1"/>
  <c r="T4363" i="1" s="1"/>
  <c r="K4363" i="1"/>
  <c r="M4363" i="1" s="1"/>
  <c r="K4362" i="1"/>
  <c r="M4362" i="1" s="1"/>
  <c r="K4361" i="1"/>
  <c r="M4361" i="1" s="1"/>
  <c r="K4360" i="1"/>
  <c r="M4360" i="1" s="1"/>
  <c r="K4359" i="1"/>
  <c r="M4359" i="1" s="1"/>
  <c r="K4358" i="1"/>
  <c r="M4358" i="1" s="1"/>
  <c r="K4357" i="1"/>
  <c r="M4357" i="1" s="1"/>
  <c r="Q4356" i="1"/>
  <c r="T4356" i="1" s="1"/>
  <c r="K4356" i="1"/>
  <c r="M4356" i="1" s="1"/>
  <c r="K4355" i="1"/>
  <c r="M4355" i="1" s="1"/>
  <c r="K4354" i="1"/>
  <c r="M4354" i="1" s="1"/>
  <c r="K4353" i="1"/>
  <c r="M4353" i="1" s="1"/>
  <c r="K4352" i="1"/>
  <c r="M4352" i="1" s="1"/>
  <c r="K4351" i="1"/>
  <c r="M4351" i="1" s="1"/>
  <c r="K4350" i="1"/>
  <c r="M4350" i="1" s="1"/>
  <c r="K4349" i="1"/>
  <c r="M4349" i="1" s="1"/>
  <c r="K4348" i="1"/>
  <c r="M4348" i="1" s="1"/>
  <c r="K4347" i="1"/>
  <c r="M4347" i="1" s="1"/>
  <c r="K4346" i="1"/>
  <c r="M4346" i="1" s="1"/>
  <c r="K4345" i="1"/>
  <c r="M4345" i="1" s="1"/>
  <c r="K4344" i="1"/>
  <c r="M4344" i="1" s="1"/>
  <c r="K4343" i="1"/>
  <c r="M4343" i="1" s="1"/>
  <c r="K4342" i="1"/>
  <c r="M4342" i="1" s="1"/>
  <c r="K4341" i="1"/>
  <c r="M4341" i="1" s="1"/>
  <c r="T4340" i="1"/>
  <c r="K4340" i="1"/>
  <c r="M4340" i="1" s="1"/>
  <c r="K4339" i="1"/>
  <c r="M4339" i="1" s="1"/>
  <c r="K4338" i="1"/>
  <c r="M4338" i="1" s="1"/>
  <c r="K4337" i="1"/>
  <c r="M4337" i="1" s="1"/>
  <c r="K4336" i="1"/>
  <c r="M4336" i="1" s="1"/>
  <c r="K4335" i="1"/>
  <c r="M4335" i="1" s="1"/>
  <c r="K4334" i="1"/>
  <c r="M4334" i="1" s="1"/>
  <c r="K4333" i="1"/>
  <c r="M4333" i="1" s="1"/>
  <c r="K4332" i="1"/>
  <c r="M4332" i="1" s="1"/>
  <c r="K4331" i="1"/>
  <c r="M4331" i="1" s="1"/>
  <c r="K4330" i="1"/>
  <c r="M4330" i="1" s="1"/>
  <c r="K4329" i="1"/>
  <c r="M4329" i="1" s="1"/>
  <c r="K4328" i="1"/>
  <c r="M4328" i="1" s="1"/>
  <c r="K4327" i="1"/>
  <c r="M4327" i="1" s="1"/>
  <c r="K4326" i="1"/>
  <c r="M4326" i="1" s="1"/>
  <c r="K4325" i="1"/>
  <c r="M4325" i="1" s="1"/>
  <c r="K4324" i="1"/>
  <c r="M4324" i="1" s="1"/>
  <c r="K4323" i="1"/>
  <c r="M4323" i="1" s="1"/>
  <c r="K4322" i="1"/>
  <c r="M4322" i="1" s="1"/>
  <c r="K4321" i="1"/>
  <c r="M4321" i="1" s="1"/>
  <c r="K4320" i="1"/>
  <c r="M4320" i="1" s="1"/>
  <c r="K4319" i="1"/>
  <c r="M4319" i="1" s="1"/>
  <c r="K4318" i="1"/>
  <c r="M4318" i="1" s="1"/>
  <c r="K4317" i="1"/>
  <c r="M4317" i="1" s="1"/>
  <c r="K4316" i="1"/>
  <c r="M4316" i="1" s="1"/>
  <c r="T4315" i="1"/>
  <c r="K4315" i="1"/>
  <c r="M4315" i="1" s="1"/>
  <c r="K4314" i="1"/>
  <c r="M4314" i="1" s="1"/>
  <c r="K4313" i="1"/>
  <c r="M4313" i="1" s="1"/>
  <c r="K4312" i="1"/>
  <c r="M4312" i="1" s="1"/>
  <c r="K4311" i="1"/>
  <c r="M4311" i="1" s="1"/>
  <c r="K4310" i="1"/>
  <c r="M4310" i="1" s="1"/>
  <c r="K4309" i="1"/>
  <c r="M4309" i="1" s="1"/>
  <c r="K4308" i="1"/>
  <c r="M4308" i="1" s="1"/>
  <c r="K4307" i="1"/>
  <c r="M4307" i="1" s="1"/>
  <c r="K4306" i="1"/>
  <c r="M4306" i="1" s="1"/>
  <c r="K4305" i="1"/>
  <c r="M4305" i="1" s="1"/>
  <c r="K4304" i="1"/>
  <c r="M4304" i="1" s="1"/>
  <c r="K4303" i="1"/>
  <c r="M4303" i="1" s="1"/>
  <c r="T4302" i="1"/>
  <c r="K4302" i="1"/>
  <c r="M4302" i="1" s="1"/>
  <c r="K4301" i="1"/>
  <c r="M4301" i="1" s="1"/>
  <c r="K4300" i="1"/>
  <c r="M4300" i="1" s="1"/>
  <c r="K4299" i="1"/>
  <c r="M4299" i="1" s="1"/>
  <c r="K4298" i="1"/>
  <c r="M4298" i="1" s="1"/>
  <c r="K4297" i="1"/>
  <c r="M4297" i="1" s="1"/>
  <c r="K4296" i="1"/>
  <c r="M4296" i="1" s="1"/>
  <c r="K4295" i="1"/>
  <c r="M4295" i="1" s="1"/>
  <c r="K4294" i="1"/>
  <c r="M4294" i="1" s="1"/>
  <c r="K4293" i="1"/>
  <c r="M4293" i="1" s="1"/>
  <c r="K4292" i="1"/>
  <c r="M4292" i="1" s="1"/>
  <c r="K4291" i="1"/>
  <c r="M4291" i="1" s="1"/>
  <c r="K4290" i="1"/>
  <c r="M4290" i="1" s="1"/>
  <c r="K4289" i="1"/>
  <c r="M4289" i="1" s="1"/>
  <c r="T4288" i="1"/>
  <c r="K4288" i="1"/>
  <c r="M4288" i="1" s="1"/>
  <c r="K4287" i="1"/>
  <c r="M4287" i="1" s="1"/>
  <c r="K4286" i="1"/>
  <c r="M4286" i="1" s="1"/>
  <c r="T4285" i="1"/>
  <c r="K4285" i="1"/>
  <c r="M4285" i="1" s="1"/>
  <c r="K4284" i="1"/>
  <c r="M4284" i="1" s="1"/>
  <c r="K4283" i="1"/>
  <c r="M4283" i="1" s="1"/>
  <c r="K4282" i="1"/>
  <c r="M4282" i="1" s="1"/>
  <c r="K4281" i="1"/>
  <c r="M4281" i="1" s="1"/>
  <c r="K4280" i="1"/>
  <c r="M4280" i="1" s="1"/>
  <c r="T4279" i="1"/>
  <c r="K4279" i="1"/>
  <c r="M4279" i="1" s="1"/>
  <c r="K4278" i="1"/>
  <c r="M4278" i="1" s="1"/>
  <c r="K4277" i="1"/>
  <c r="M4277" i="1" s="1"/>
  <c r="K4276" i="1"/>
  <c r="M4276" i="1" s="1"/>
  <c r="K4275" i="1"/>
  <c r="M4275" i="1" s="1"/>
  <c r="T4274" i="1"/>
  <c r="K4274" i="1"/>
  <c r="M4274" i="1" s="1"/>
  <c r="K4273" i="1"/>
  <c r="M4273" i="1" s="1"/>
  <c r="K4272" i="1"/>
  <c r="M4272" i="1" s="1"/>
  <c r="K4271" i="1"/>
  <c r="M4271" i="1" s="1"/>
  <c r="K4270" i="1"/>
  <c r="M4270" i="1" s="1"/>
  <c r="K4269" i="1"/>
  <c r="M4269" i="1" s="1"/>
  <c r="K4268" i="1"/>
  <c r="M4268" i="1" s="1"/>
  <c r="K4267" i="1"/>
  <c r="M4267" i="1" s="1"/>
  <c r="K4266" i="1"/>
  <c r="M4266" i="1" s="1"/>
  <c r="K4265" i="1"/>
  <c r="M4265" i="1" s="1"/>
  <c r="K4264" i="1"/>
  <c r="M4264" i="1" s="1"/>
  <c r="K4263" i="1"/>
  <c r="M4263" i="1" s="1"/>
  <c r="K4262" i="1"/>
  <c r="M4262" i="1" s="1"/>
  <c r="K4261" i="1"/>
  <c r="M4261" i="1" s="1"/>
  <c r="T4260" i="1"/>
  <c r="K4260" i="1"/>
  <c r="M4260" i="1" s="1"/>
  <c r="K4259" i="1"/>
  <c r="M4259" i="1" s="1"/>
  <c r="K4258" i="1"/>
  <c r="M4258" i="1" s="1"/>
  <c r="K4257" i="1"/>
  <c r="M4257" i="1" s="1"/>
  <c r="K4256" i="1"/>
  <c r="M4256" i="1" s="1"/>
  <c r="K4255" i="1"/>
  <c r="M4255" i="1" s="1"/>
  <c r="K4254" i="1"/>
  <c r="M4254" i="1" s="1"/>
  <c r="K4253" i="1"/>
  <c r="M4253" i="1" s="1"/>
  <c r="K4252" i="1"/>
  <c r="M4252" i="1" s="1"/>
  <c r="K4251" i="1"/>
  <c r="M4251" i="1" s="1"/>
  <c r="K4250" i="1"/>
  <c r="M4250" i="1" s="1"/>
  <c r="K4249" i="1"/>
  <c r="M4249" i="1" s="1"/>
  <c r="K4248" i="1"/>
  <c r="M4248" i="1" s="1"/>
  <c r="K4247" i="1"/>
  <c r="M4247" i="1" s="1"/>
  <c r="K4246" i="1"/>
  <c r="M4246" i="1" s="1"/>
  <c r="K4245" i="1"/>
  <c r="M4245" i="1" s="1"/>
  <c r="K4244" i="1"/>
  <c r="M4244" i="1" s="1"/>
  <c r="K4243" i="1"/>
  <c r="M4243" i="1" s="1"/>
  <c r="T4242" i="1"/>
  <c r="K4242" i="1"/>
  <c r="M4242" i="1" s="1"/>
  <c r="K4241" i="1"/>
  <c r="M4241" i="1" s="1"/>
  <c r="K4240" i="1"/>
  <c r="M4240" i="1" s="1"/>
  <c r="T4239" i="1"/>
  <c r="K4239" i="1"/>
  <c r="M4239" i="1" s="1"/>
  <c r="K4238" i="1"/>
  <c r="M4238" i="1" s="1"/>
  <c r="K4237" i="1"/>
  <c r="M4237" i="1" s="1"/>
  <c r="K4236" i="1"/>
  <c r="M4236" i="1" s="1"/>
  <c r="K4235" i="1"/>
  <c r="M4235" i="1" s="1"/>
  <c r="K4234" i="1"/>
  <c r="M4234" i="1" s="1"/>
  <c r="K4233" i="1"/>
  <c r="M4233" i="1" s="1"/>
  <c r="K4232" i="1"/>
  <c r="M4232" i="1" s="1"/>
  <c r="K4231" i="1"/>
  <c r="M4231" i="1" s="1"/>
  <c r="T4230" i="1"/>
  <c r="K4229" i="1"/>
  <c r="M4229" i="1" s="1"/>
  <c r="K4228" i="1"/>
  <c r="M4228" i="1" s="1"/>
  <c r="Q4227" i="1"/>
  <c r="T4227" i="1" s="1"/>
  <c r="K4227" i="1"/>
  <c r="M4227" i="1" s="1"/>
  <c r="K4226" i="1"/>
  <c r="M4226" i="1" s="1"/>
  <c r="K4225" i="1"/>
  <c r="M4225" i="1" s="1"/>
  <c r="K4224" i="1"/>
  <c r="M4224" i="1" s="1"/>
  <c r="K4223" i="1"/>
  <c r="M4223" i="1" s="1"/>
  <c r="K4222" i="1"/>
  <c r="M4222" i="1" s="1"/>
  <c r="K4221" i="1"/>
  <c r="M4221" i="1" s="1"/>
  <c r="K4220" i="1"/>
  <c r="M4220" i="1" s="1"/>
  <c r="K4219" i="1"/>
  <c r="M4219" i="1" s="1"/>
  <c r="K4218" i="1"/>
  <c r="M4218" i="1" s="1"/>
  <c r="K4217" i="1"/>
  <c r="M4217" i="1" s="1"/>
  <c r="M4216" i="1"/>
  <c r="K4215" i="1"/>
  <c r="M4215" i="1" s="1"/>
  <c r="K4214" i="1"/>
  <c r="M4214" i="1" s="1"/>
  <c r="K4213" i="1"/>
  <c r="M4213" i="1" s="1"/>
  <c r="Q4212" i="1"/>
  <c r="T4212" i="1" s="1"/>
  <c r="K4212" i="1"/>
  <c r="M4212" i="1" s="1"/>
  <c r="K4211" i="1"/>
  <c r="M4211" i="1" s="1"/>
  <c r="K4210" i="1"/>
  <c r="M4210" i="1" s="1"/>
  <c r="K4209" i="1"/>
  <c r="M4209" i="1" s="1"/>
  <c r="K4208" i="1"/>
  <c r="M4208" i="1" s="1"/>
  <c r="K4207" i="1"/>
  <c r="M4207" i="1" s="1"/>
  <c r="Q4206" i="1"/>
  <c r="T4206" i="1" s="1"/>
  <c r="K4206" i="1"/>
  <c r="M4206" i="1" s="1"/>
  <c r="K4205" i="1"/>
  <c r="M4205" i="1" s="1"/>
  <c r="Q4204" i="1"/>
  <c r="T4204" i="1" s="1"/>
  <c r="K4204" i="1"/>
  <c r="M4204" i="1" s="1"/>
  <c r="K4203" i="1"/>
  <c r="M4203" i="1" s="1"/>
  <c r="K4202" i="1"/>
  <c r="M4202" i="1" s="1"/>
  <c r="K4201" i="1"/>
  <c r="M4201" i="1" s="1"/>
  <c r="T4200" i="1"/>
  <c r="K4199" i="1"/>
  <c r="M4199" i="1" s="1"/>
  <c r="K4198" i="1"/>
  <c r="M4198" i="1" s="1"/>
  <c r="K4197" i="1"/>
  <c r="M4197" i="1" s="1"/>
  <c r="K4196" i="1"/>
  <c r="M4196" i="1" s="1"/>
  <c r="K4195" i="1"/>
  <c r="M4195" i="1" s="1"/>
  <c r="K4194" i="1"/>
  <c r="M4194" i="1" s="1"/>
  <c r="K4193" i="1"/>
  <c r="M4193" i="1" s="1"/>
  <c r="K4192" i="1"/>
  <c r="M4192" i="1" s="1"/>
  <c r="K4191" i="1"/>
  <c r="M4191" i="1" s="1"/>
  <c r="K4190" i="1"/>
  <c r="M4190" i="1" s="1"/>
  <c r="K4189" i="1"/>
  <c r="M4189" i="1" s="1"/>
  <c r="K4188" i="1"/>
  <c r="M4188" i="1" s="1"/>
  <c r="K4187" i="1"/>
  <c r="M4187" i="1" s="1"/>
  <c r="K4186" i="1"/>
  <c r="M4186" i="1" s="1"/>
  <c r="K4185" i="1"/>
  <c r="M4185" i="1" s="1"/>
  <c r="K4184" i="1"/>
  <c r="M4184" i="1" s="1"/>
  <c r="K4183" i="1"/>
  <c r="M4183" i="1" s="1"/>
  <c r="K4182" i="1"/>
  <c r="M4182" i="1" s="1"/>
  <c r="K4181" i="1"/>
  <c r="M4181" i="1" s="1"/>
  <c r="K4180" i="1"/>
  <c r="M4180" i="1" s="1"/>
  <c r="K4179" i="1"/>
  <c r="M4179" i="1" s="1"/>
  <c r="K4178" i="1"/>
  <c r="M4178" i="1" s="1"/>
  <c r="K4177" i="1"/>
  <c r="M4177" i="1" s="1"/>
  <c r="K4176" i="1"/>
  <c r="M4176" i="1" s="1"/>
  <c r="K4175" i="1"/>
  <c r="M4175" i="1" s="1"/>
  <c r="K4174" i="1"/>
  <c r="M4174" i="1" s="1"/>
  <c r="K4173" i="1"/>
  <c r="M4173" i="1" s="1"/>
  <c r="K4172" i="1"/>
  <c r="M4172" i="1" s="1"/>
  <c r="K4171" i="1"/>
  <c r="M4171" i="1" s="1"/>
  <c r="K4170" i="1"/>
  <c r="M4170" i="1" s="1"/>
  <c r="K4169" i="1"/>
  <c r="M4169" i="1" s="1"/>
  <c r="K4168" i="1"/>
  <c r="M4168" i="1" s="1"/>
  <c r="K4167" i="1"/>
  <c r="M4167" i="1" s="1"/>
  <c r="K4166" i="1"/>
  <c r="M4166" i="1" s="1"/>
  <c r="K4165" i="1"/>
  <c r="M4165" i="1" s="1"/>
  <c r="K4164" i="1"/>
  <c r="M4164" i="1" s="1"/>
  <c r="K4163" i="1"/>
  <c r="M4163" i="1" s="1"/>
  <c r="K4162" i="1"/>
  <c r="M4162" i="1" s="1"/>
  <c r="K4161" i="1"/>
  <c r="M4161" i="1" s="1"/>
  <c r="K4160" i="1"/>
  <c r="M4160" i="1" s="1"/>
  <c r="K4159" i="1"/>
  <c r="M4159" i="1" s="1"/>
  <c r="K4158" i="1"/>
  <c r="M4158" i="1" s="1"/>
  <c r="K4157" i="1"/>
  <c r="M4157" i="1" s="1"/>
  <c r="K4156" i="1"/>
  <c r="M4156" i="1" s="1"/>
  <c r="K4155" i="1"/>
  <c r="M4155" i="1" s="1"/>
  <c r="K4154" i="1"/>
  <c r="M4154" i="1" s="1"/>
  <c r="K4153" i="1"/>
  <c r="M4153" i="1" s="1"/>
  <c r="K4152" i="1"/>
  <c r="M4152" i="1" s="1"/>
  <c r="Q4151" i="1"/>
  <c r="T4151" i="1" s="1"/>
  <c r="K4150" i="1"/>
  <c r="M4150" i="1" s="1"/>
  <c r="K4149" i="1"/>
  <c r="M4149" i="1" s="1"/>
  <c r="K4148" i="1"/>
  <c r="M4148" i="1" s="1"/>
  <c r="K4147" i="1"/>
  <c r="M4147" i="1" s="1"/>
  <c r="K4146" i="1"/>
  <c r="M4146" i="1" s="1"/>
  <c r="K4145" i="1"/>
  <c r="M4145" i="1" s="1"/>
  <c r="K4144" i="1"/>
  <c r="M4144" i="1" s="1"/>
  <c r="K4143" i="1"/>
  <c r="M4143" i="1" s="1"/>
  <c r="K4142" i="1"/>
  <c r="M4142" i="1" s="1"/>
  <c r="K4141" i="1"/>
  <c r="M4141" i="1" s="1"/>
  <c r="K4140" i="1"/>
  <c r="M4140" i="1" s="1"/>
  <c r="K4139" i="1"/>
  <c r="M4139" i="1" s="1"/>
  <c r="K4138" i="1"/>
  <c r="M4138" i="1" s="1"/>
  <c r="K4137" i="1"/>
  <c r="M4137" i="1" s="1"/>
  <c r="K4136" i="1"/>
  <c r="M4136" i="1" s="1"/>
  <c r="K4135" i="1"/>
  <c r="M4135" i="1" s="1"/>
  <c r="K4134" i="1"/>
  <c r="M4134" i="1" s="1"/>
  <c r="K4133" i="1"/>
  <c r="M4133" i="1" s="1"/>
  <c r="K4132" i="1"/>
  <c r="M4132" i="1" s="1"/>
  <c r="K4131" i="1"/>
  <c r="M4131" i="1" s="1"/>
  <c r="K4130" i="1"/>
  <c r="M4130" i="1" s="1"/>
  <c r="K4129" i="1"/>
  <c r="M4129" i="1" s="1"/>
  <c r="K4128" i="1"/>
  <c r="M4128" i="1" s="1"/>
  <c r="K4127" i="1"/>
  <c r="M4127" i="1" s="1"/>
  <c r="K4126" i="1"/>
  <c r="M4126" i="1" s="1"/>
  <c r="K4125" i="1"/>
  <c r="M4125" i="1" s="1"/>
  <c r="K4124" i="1"/>
  <c r="M4124" i="1" s="1"/>
  <c r="K4123" i="1"/>
  <c r="M4123" i="1" s="1"/>
  <c r="K4122" i="1"/>
  <c r="M4122" i="1" s="1"/>
  <c r="K4121" i="1"/>
  <c r="M4121" i="1" s="1"/>
  <c r="K4120" i="1"/>
  <c r="M4120" i="1" s="1"/>
  <c r="K4119" i="1"/>
  <c r="M4119" i="1" s="1"/>
  <c r="Q4118" i="1"/>
  <c r="T4118" i="1" s="1"/>
  <c r="K4118" i="1"/>
  <c r="M4118" i="1" s="1"/>
  <c r="K4117" i="1"/>
  <c r="M4117" i="1" s="1"/>
  <c r="K4116" i="1"/>
  <c r="M4116" i="1" s="1"/>
  <c r="K4115" i="1"/>
  <c r="M4115" i="1" s="1"/>
  <c r="K4114" i="1"/>
  <c r="M4114" i="1" s="1"/>
  <c r="K4113" i="1"/>
  <c r="M4113" i="1" s="1"/>
  <c r="K4112" i="1"/>
  <c r="M4112" i="1" s="1"/>
  <c r="K4111" i="1"/>
  <c r="M4111" i="1" s="1"/>
  <c r="K4110" i="1"/>
  <c r="M4110" i="1" s="1"/>
  <c r="K4109" i="1"/>
  <c r="M4109" i="1" s="1"/>
  <c r="K4108" i="1"/>
  <c r="M4108" i="1" s="1"/>
  <c r="K4107" i="1"/>
  <c r="M4107" i="1" s="1"/>
  <c r="K4106" i="1"/>
  <c r="M4106" i="1" s="1"/>
  <c r="K4105" i="1"/>
  <c r="M4105" i="1" s="1"/>
  <c r="K4104" i="1"/>
  <c r="M4104" i="1" s="1"/>
  <c r="K4103" i="1"/>
  <c r="M4103" i="1" s="1"/>
  <c r="K4102" i="1"/>
  <c r="M4102" i="1" s="1"/>
  <c r="Q4101" i="1"/>
  <c r="T4101" i="1" s="1"/>
  <c r="K4101" i="1"/>
  <c r="M4101" i="1" s="1"/>
  <c r="K4100" i="1"/>
  <c r="M4100" i="1" s="1"/>
  <c r="K4099" i="1"/>
  <c r="M4099" i="1" s="1"/>
  <c r="K4098" i="1"/>
  <c r="M4098" i="1" s="1"/>
  <c r="K4097" i="1"/>
  <c r="M4097" i="1" s="1"/>
  <c r="K4096" i="1"/>
  <c r="M4096" i="1" s="1"/>
  <c r="K4095" i="1"/>
  <c r="M4095" i="1" s="1"/>
  <c r="K4094" i="1"/>
  <c r="M4094" i="1" s="1"/>
  <c r="K4093" i="1"/>
  <c r="M4093" i="1" s="1"/>
  <c r="K4092" i="1"/>
  <c r="M4092" i="1" s="1"/>
  <c r="K4091" i="1"/>
  <c r="M4091" i="1" s="1"/>
  <c r="K4090" i="1"/>
  <c r="M4090" i="1" s="1"/>
  <c r="K4089" i="1"/>
  <c r="M4089" i="1" s="1"/>
  <c r="K4088" i="1"/>
  <c r="M4088" i="1" s="1"/>
  <c r="K4087" i="1"/>
  <c r="M4087" i="1" s="1"/>
  <c r="K4086" i="1"/>
  <c r="M4086" i="1" s="1"/>
  <c r="K4085" i="1"/>
  <c r="M4085" i="1" s="1"/>
  <c r="K4084" i="1"/>
  <c r="M4084" i="1" s="1"/>
  <c r="K4083" i="1"/>
  <c r="M4083" i="1" s="1"/>
  <c r="K4082" i="1"/>
  <c r="M4082" i="1" s="1"/>
  <c r="K4081" i="1"/>
  <c r="M4081" i="1" s="1"/>
  <c r="K4080" i="1"/>
  <c r="M4080" i="1" s="1"/>
  <c r="K4079" i="1"/>
  <c r="M4079" i="1" s="1"/>
  <c r="K4078" i="1"/>
  <c r="M4078" i="1" s="1"/>
  <c r="K4077" i="1"/>
  <c r="M4077" i="1" s="1"/>
  <c r="K4076" i="1"/>
  <c r="M4076" i="1" s="1"/>
  <c r="T4075" i="1"/>
  <c r="K4075" i="1"/>
  <c r="M4075" i="1" s="1"/>
  <c r="K4074" i="1"/>
  <c r="M4074" i="1" s="1"/>
  <c r="K4073" i="1"/>
  <c r="M4073" i="1" s="1"/>
  <c r="K4072" i="1"/>
  <c r="M4072" i="1" s="1"/>
  <c r="K4071" i="1"/>
  <c r="M4071" i="1" s="1"/>
  <c r="K4070" i="1"/>
  <c r="M4070" i="1" s="1"/>
  <c r="K4069" i="1"/>
  <c r="M4069" i="1" s="1"/>
  <c r="K4068" i="1"/>
  <c r="M4068" i="1" s="1"/>
  <c r="K4067" i="1"/>
  <c r="M4067" i="1" s="1"/>
  <c r="K4066" i="1"/>
  <c r="M4066" i="1" s="1"/>
  <c r="K4065" i="1"/>
  <c r="M4065" i="1" s="1"/>
  <c r="K4064" i="1"/>
  <c r="M4064" i="1" s="1"/>
  <c r="K4063" i="1"/>
  <c r="M4063" i="1" s="1"/>
  <c r="K4062" i="1"/>
  <c r="M4062" i="1" s="1"/>
  <c r="K4061" i="1"/>
  <c r="M4061" i="1" s="1"/>
  <c r="K4060" i="1"/>
  <c r="M4060" i="1" s="1"/>
  <c r="K4059" i="1"/>
  <c r="M4059" i="1" s="1"/>
  <c r="K4058" i="1"/>
  <c r="M4058" i="1" s="1"/>
  <c r="K4057" i="1"/>
  <c r="M4057" i="1" s="1"/>
  <c r="K4056" i="1"/>
  <c r="M4056" i="1" s="1"/>
  <c r="K4055" i="1"/>
  <c r="M4055" i="1" s="1"/>
  <c r="K4054" i="1"/>
  <c r="M4054" i="1" s="1"/>
  <c r="K4053" i="1"/>
  <c r="M4053" i="1" s="1"/>
  <c r="K4052" i="1"/>
  <c r="M4052" i="1" s="1"/>
  <c r="K4051" i="1"/>
  <c r="M4051" i="1" s="1"/>
  <c r="K4050" i="1"/>
  <c r="M4050" i="1" s="1"/>
  <c r="K4049" i="1"/>
  <c r="M4049" i="1" s="1"/>
  <c r="K4048" i="1"/>
  <c r="M4048" i="1" s="1"/>
  <c r="K4047" i="1"/>
  <c r="M4047" i="1" s="1"/>
  <c r="K4046" i="1"/>
  <c r="M4046" i="1" s="1"/>
  <c r="K4045" i="1"/>
  <c r="M4045" i="1" s="1"/>
  <c r="K4044" i="1"/>
  <c r="M4044" i="1" s="1"/>
  <c r="K4043" i="1"/>
  <c r="M4043" i="1" s="1"/>
  <c r="K4042" i="1"/>
  <c r="M4042" i="1" s="1"/>
  <c r="K4041" i="1"/>
  <c r="M4041" i="1" s="1"/>
  <c r="Q4040" i="1"/>
  <c r="T4040" i="1" s="1"/>
  <c r="K4040" i="1"/>
  <c r="M4040" i="1" s="1"/>
  <c r="K4039" i="1"/>
  <c r="M4039" i="1" s="1"/>
  <c r="K4038" i="1"/>
  <c r="M4038" i="1" s="1"/>
  <c r="K4037" i="1"/>
  <c r="M4037" i="1" s="1"/>
  <c r="K4036" i="1"/>
  <c r="M4036" i="1" s="1"/>
  <c r="K4035" i="1"/>
  <c r="M4035" i="1" s="1"/>
  <c r="K4034" i="1"/>
  <c r="M4034" i="1" s="1"/>
  <c r="K4033" i="1"/>
  <c r="M4033" i="1" s="1"/>
  <c r="K4032" i="1"/>
  <c r="M4032" i="1" s="1"/>
  <c r="K4031" i="1"/>
  <c r="M4031" i="1" s="1"/>
  <c r="K4030" i="1"/>
  <c r="M4030" i="1" s="1"/>
  <c r="K4029" i="1"/>
  <c r="M4029" i="1" s="1"/>
  <c r="K4028" i="1"/>
  <c r="M4028" i="1" s="1"/>
  <c r="K4027" i="1"/>
  <c r="M4027" i="1" s="1"/>
  <c r="K4026" i="1"/>
  <c r="M4026" i="1" s="1"/>
  <c r="K4025" i="1"/>
  <c r="M4025" i="1" s="1"/>
  <c r="K4024" i="1"/>
  <c r="M4024" i="1" s="1"/>
  <c r="K4023" i="1"/>
  <c r="M4023" i="1" s="1"/>
  <c r="K4022" i="1"/>
  <c r="M4022" i="1" s="1"/>
  <c r="Q4021" i="1"/>
  <c r="T4021" i="1" s="1"/>
  <c r="K4021" i="1"/>
  <c r="M4021" i="1" s="1"/>
  <c r="K4020" i="1"/>
  <c r="M4020" i="1" s="1"/>
  <c r="K4019" i="1"/>
  <c r="M4019" i="1" s="1"/>
  <c r="K4018" i="1"/>
  <c r="M4018" i="1" s="1"/>
  <c r="K4017" i="1"/>
  <c r="M4017" i="1" s="1"/>
  <c r="K4015" i="1"/>
  <c r="M4015" i="1" s="1"/>
  <c r="K4014" i="1"/>
  <c r="M4014" i="1" s="1"/>
  <c r="K4013" i="1"/>
  <c r="M4013" i="1" s="1"/>
  <c r="K4012" i="1"/>
  <c r="M4012" i="1" s="1"/>
  <c r="K4011" i="1"/>
  <c r="M4011" i="1" s="1"/>
  <c r="K4010" i="1"/>
  <c r="M4010" i="1" s="1"/>
  <c r="K4009" i="1"/>
  <c r="M4009" i="1" s="1"/>
  <c r="K4008" i="1"/>
  <c r="M4008" i="1" s="1"/>
  <c r="K4007" i="1"/>
  <c r="M4007" i="1" s="1"/>
  <c r="K4006" i="1"/>
  <c r="M4006" i="1" s="1"/>
  <c r="K4005" i="1"/>
  <c r="M4005" i="1" s="1"/>
  <c r="K4004" i="1"/>
  <c r="M4004" i="1" s="1"/>
  <c r="K4003" i="1"/>
  <c r="M4003" i="1" s="1"/>
  <c r="K4002" i="1"/>
  <c r="M4002" i="1" s="1"/>
  <c r="K4001" i="1"/>
  <c r="M4001" i="1" s="1"/>
  <c r="K4000" i="1"/>
  <c r="M4000" i="1" s="1"/>
  <c r="K3999" i="1"/>
  <c r="M3999" i="1" s="1"/>
  <c r="K3998" i="1"/>
  <c r="M3998" i="1" s="1"/>
  <c r="K3997" i="1"/>
  <c r="M3997" i="1" s="1"/>
  <c r="K3996" i="1"/>
  <c r="M3996" i="1" s="1"/>
  <c r="K3995" i="1"/>
  <c r="M3995" i="1" s="1"/>
  <c r="K3994" i="1"/>
  <c r="M3994" i="1" s="1"/>
  <c r="K3993" i="1"/>
  <c r="M3993" i="1" s="1"/>
  <c r="K3992" i="1"/>
  <c r="M3992" i="1" s="1"/>
  <c r="K3991" i="1"/>
  <c r="M3991" i="1" s="1"/>
  <c r="K3990" i="1"/>
  <c r="M3990" i="1" s="1"/>
  <c r="K3989" i="1"/>
  <c r="M3989" i="1" s="1"/>
  <c r="K3988" i="1"/>
  <c r="M3988" i="1" s="1"/>
  <c r="K3987" i="1"/>
  <c r="M3987" i="1" s="1"/>
  <c r="K3986" i="1"/>
  <c r="M3986" i="1" s="1"/>
  <c r="K3985" i="1"/>
  <c r="M3985" i="1" s="1"/>
  <c r="K3984" i="1"/>
  <c r="M3984" i="1" s="1"/>
  <c r="K3983" i="1"/>
  <c r="M3983" i="1" s="1"/>
  <c r="Q3982" i="1"/>
  <c r="T3982" i="1" s="1"/>
  <c r="K3982" i="1"/>
  <c r="M3982" i="1" s="1"/>
  <c r="K3981" i="1"/>
  <c r="M3981" i="1" s="1"/>
  <c r="K3980" i="1"/>
  <c r="M3980" i="1" s="1"/>
  <c r="K3979" i="1"/>
  <c r="M3979" i="1" s="1"/>
  <c r="K3978" i="1"/>
  <c r="M3978" i="1" s="1"/>
  <c r="K3977" i="1"/>
  <c r="M3977" i="1" s="1"/>
  <c r="K3976" i="1"/>
  <c r="M3976" i="1" s="1"/>
  <c r="Q3975" i="1"/>
  <c r="T3975" i="1" s="1"/>
  <c r="K3975" i="1"/>
  <c r="M3975" i="1" s="1"/>
  <c r="K3974" i="1"/>
  <c r="M3974" i="1" s="1"/>
  <c r="K3973" i="1"/>
  <c r="M3973" i="1" s="1"/>
  <c r="K3972" i="1"/>
  <c r="M3972" i="1" s="1"/>
  <c r="K3971" i="1"/>
  <c r="M3971" i="1" s="1"/>
  <c r="K3970" i="1"/>
  <c r="M3970" i="1" s="1"/>
  <c r="K3969" i="1"/>
  <c r="M3969" i="1" s="1"/>
  <c r="K3968" i="1"/>
  <c r="M3968" i="1" s="1"/>
  <c r="K3967" i="1"/>
  <c r="M3967" i="1" s="1"/>
  <c r="K3966" i="1"/>
  <c r="M3966" i="1" s="1"/>
  <c r="K3965" i="1"/>
  <c r="M3965" i="1" s="1"/>
  <c r="K3964" i="1"/>
  <c r="M3964" i="1" s="1"/>
  <c r="K3963" i="1"/>
  <c r="M3963" i="1" s="1"/>
  <c r="K3962" i="1"/>
  <c r="M3962" i="1" s="1"/>
  <c r="K3961" i="1"/>
  <c r="M3961" i="1" s="1"/>
  <c r="K3960" i="1"/>
  <c r="M3960" i="1" s="1"/>
  <c r="K3959" i="1"/>
  <c r="M3959" i="1" s="1"/>
  <c r="K3958" i="1"/>
  <c r="M3958" i="1" s="1"/>
  <c r="K3957" i="1"/>
  <c r="M3957" i="1" s="1"/>
  <c r="K3956" i="1"/>
  <c r="M3956" i="1" s="1"/>
  <c r="K3955" i="1"/>
  <c r="M3955" i="1" s="1"/>
  <c r="K3954" i="1"/>
  <c r="M3954" i="1" s="1"/>
  <c r="K3953" i="1"/>
  <c r="M3953" i="1" s="1"/>
  <c r="K3952" i="1"/>
  <c r="M3952" i="1" s="1"/>
  <c r="K3951" i="1"/>
  <c r="M3951" i="1" s="1"/>
  <c r="Q3950" i="1"/>
  <c r="T3950" i="1" s="1"/>
  <c r="K3950" i="1"/>
  <c r="M3950" i="1" s="1"/>
  <c r="K3949" i="1"/>
  <c r="M3949" i="1" s="1"/>
  <c r="K3948" i="1"/>
  <c r="M3948" i="1" s="1"/>
  <c r="K3947" i="1"/>
  <c r="M3947" i="1" s="1"/>
  <c r="K3946" i="1"/>
  <c r="M3946" i="1" s="1"/>
  <c r="K3945" i="1"/>
  <c r="M3945" i="1" s="1"/>
  <c r="Q3944" i="1"/>
  <c r="T3944" i="1" s="1"/>
  <c r="K3944" i="1"/>
  <c r="M3944" i="1" s="1"/>
  <c r="K3943" i="1"/>
  <c r="M3943" i="1" s="1"/>
  <c r="K3942" i="1"/>
  <c r="M3942" i="1" s="1"/>
  <c r="K3941" i="1"/>
  <c r="M3941" i="1" s="1"/>
  <c r="K3940" i="1"/>
  <c r="M3940" i="1" s="1"/>
  <c r="K3939" i="1"/>
  <c r="M3939" i="1" s="1"/>
  <c r="K3938" i="1"/>
  <c r="M3938" i="1" s="1"/>
  <c r="K3937" i="1"/>
  <c r="M3937" i="1" s="1"/>
  <c r="K3936" i="1"/>
  <c r="M3936" i="1" s="1"/>
  <c r="K3935" i="1"/>
  <c r="M3935" i="1" s="1"/>
  <c r="K3934" i="1"/>
  <c r="M3934" i="1" s="1"/>
  <c r="K3933" i="1"/>
  <c r="M3933" i="1" s="1"/>
  <c r="K3932" i="1"/>
  <c r="M3932" i="1" s="1"/>
  <c r="K3931" i="1"/>
  <c r="M3931" i="1" s="1"/>
  <c r="K3930" i="1"/>
  <c r="M3930" i="1" s="1"/>
  <c r="K3929" i="1"/>
  <c r="M3929" i="1" s="1"/>
  <c r="K3928" i="1"/>
  <c r="M3928" i="1" s="1"/>
  <c r="K3927" i="1"/>
  <c r="M3927" i="1" s="1"/>
  <c r="K3926" i="1"/>
  <c r="M3926" i="1" s="1"/>
  <c r="K3925" i="1"/>
  <c r="M3925" i="1" s="1"/>
  <c r="K3924" i="1"/>
  <c r="M3924" i="1" s="1"/>
  <c r="K3923" i="1"/>
  <c r="M3923" i="1" s="1"/>
  <c r="K3922" i="1"/>
  <c r="M3922" i="1" s="1"/>
  <c r="K3921" i="1"/>
  <c r="M3921" i="1" s="1"/>
  <c r="K3920" i="1"/>
  <c r="M3920" i="1" s="1"/>
  <c r="K3919" i="1"/>
  <c r="M3919" i="1" s="1"/>
  <c r="K3918" i="1"/>
  <c r="M3918" i="1" s="1"/>
  <c r="K3917" i="1"/>
  <c r="M3917" i="1" s="1"/>
  <c r="K3916" i="1"/>
  <c r="M3916" i="1" s="1"/>
  <c r="K3915" i="1"/>
  <c r="M3915" i="1" s="1"/>
  <c r="K3914" i="1"/>
  <c r="M3914" i="1" s="1"/>
  <c r="K3913" i="1"/>
  <c r="M3913" i="1" s="1"/>
  <c r="K3912" i="1"/>
  <c r="M3912" i="1" s="1"/>
  <c r="Q3911" i="1"/>
  <c r="T3911" i="1" s="1"/>
  <c r="K3911" i="1"/>
  <c r="M3911" i="1" s="1"/>
  <c r="K3910" i="1"/>
  <c r="M3910" i="1" s="1"/>
  <c r="K3909" i="1"/>
  <c r="M3909" i="1" s="1"/>
  <c r="K3908" i="1"/>
  <c r="M3908" i="1" s="1"/>
  <c r="K3907" i="1"/>
  <c r="M3907" i="1" s="1"/>
  <c r="K3906" i="1"/>
  <c r="M3906" i="1" s="1"/>
  <c r="K3905" i="1"/>
  <c r="M3905" i="1" s="1"/>
  <c r="K3904" i="1"/>
  <c r="M3904" i="1" s="1"/>
  <c r="K3903" i="1"/>
  <c r="M3903" i="1" s="1"/>
  <c r="K3902" i="1"/>
  <c r="M3902" i="1" s="1"/>
  <c r="K3901" i="1"/>
  <c r="M3901" i="1" s="1"/>
  <c r="K3900" i="1"/>
  <c r="M3900" i="1" s="1"/>
  <c r="K3899" i="1"/>
  <c r="M3899" i="1" s="1"/>
  <c r="K3898" i="1"/>
  <c r="M3898" i="1" s="1"/>
  <c r="K3897" i="1"/>
  <c r="M3897" i="1" s="1"/>
  <c r="K3896" i="1"/>
  <c r="M3896" i="1" s="1"/>
  <c r="K3895" i="1"/>
  <c r="M3895" i="1" s="1"/>
  <c r="K3894" i="1"/>
  <c r="M3894" i="1" s="1"/>
  <c r="K3893" i="1"/>
  <c r="M3893" i="1" s="1"/>
  <c r="K3892" i="1"/>
  <c r="M3892" i="1" s="1"/>
  <c r="K3891" i="1"/>
  <c r="M3891" i="1" s="1"/>
  <c r="K3890" i="1"/>
  <c r="M3890" i="1" s="1"/>
  <c r="K3889" i="1"/>
  <c r="M3889" i="1" s="1"/>
  <c r="K3888" i="1"/>
  <c r="M3888" i="1" s="1"/>
  <c r="K3887" i="1"/>
  <c r="M3887" i="1" s="1"/>
  <c r="K3886" i="1"/>
  <c r="M3886" i="1" s="1"/>
  <c r="K3885" i="1"/>
  <c r="M3885" i="1" s="1"/>
  <c r="K3884" i="1"/>
  <c r="M3884" i="1" s="1"/>
  <c r="K3883" i="1"/>
  <c r="M3883" i="1" s="1"/>
  <c r="T3882" i="1"/>
  <c r="H3882" i="1"/>
  <c r="G3882" i="1"/>
  <c r="K3882" i="1" s="1"/>
  <c r="M3882" i="1" s="1"/>
  <c r="K3881" i="1"/>
  <c r="M3881" i="1" s="1"/>
  <c r="K3880" i="1"/>
  <c r="M3880" i="1" s="1"/>
  <c r="K3879" i="1"/>
  <c r="M3879" i="1" s="1"/>
  <c r="K3878" i="1"/>
  <c r="M3878" i="1" s="1"/>
  <c r="K3877" i="1"/>
  <c r="M3877" i="1" s="1"/>
  <c r="K3876" i="1"/>
  <c r="M3876" i="1" s="1"/>
  <c r="K3875" i="1"/>
  <c r="M3875" i="1" s="1"/>
  <c r="K3874" i="1"/>
  <c r="M3874" i="1" s="1"/>
  <c r="K3873" i="1"/>
  <c r="M3873" i="1" s="1"/>
  <c r="K3872" i="1"/>
  <c r="M3872" i="1" s="1"/>
  <c r="K3871" i="1"/>
  <c r="M3871" i="1" s="1"/>
  <c r="K3870" i="1"/>
  <c r="M3870" i="1" s="1"/>
  <c r="K3869" i="1"/>
  <c r="M3869" i="1" s="1"/>
  <c r="K3868" i="1"/>
  <c r="M3868" i="1" s="1"/>
  <c r="K3867" i="1"/>
  <c r="M3867" i="1" s="1"/>
  <c r="K3866" i="1"/>
  <c r="M3866" i="1" s="1"/>
  <c r="K3865" i="1"/>
  <c r="M3865" i="1" s="1"/>
  <c r="K3864" i="1"/>
  <c r="M3864" i="1" s="1"/>
  <c r="K3863" i="1"/>
  <c r="M3863" i="1" s="1"/>
  <c r="K3862" i="1"/>
  <c r="M3862" i="1" s="1"/>
  <c r="K3861" i="1"/>
  <c r="M3861" i="1" s="1"/>
  <c r="K3860" i="1"/>
  <c r="M3860" i="1" s="1"/>
  <c r="K3859" i="1"/>
  <c r="M3859" i="1" s="1"/>
  <c r="K3858" i="1"/>
  <c r="M3858" i="1" s="1"/>
  <c r="K3857" i="1"/>
  <c r="M3857" i="1" s="1"/>
  <c r="K3856" i="1"/>
  <c r="M3856" i="1" s="1"/>
  <c r="K3855" i="1"/>
  <c r="M3855" i="1" s="1"/>
  <c r="K3854" i="1"/>
  <c r="M3854" i="1" s="1"/>
  <c r="K3853" i="1"/>
  <c r="M3853" i="1" s="1"/>
  <c r="K3852" i="1"/>
  <c r="M3852" i="1" s="1"/>
  <c r="K3851" i="1"/>
  <c r="M3851" i="1" s="1"/>
  <c r="K3850" i="1"/>
  <c r="M3850" i="1" s="1"/>
  <c r="K3849" i="1"/>
  <c r="M3849" i="1" s="1"/>
  <c r="K3848" i="1"/>
  <c r="M3848" i="1" s="1"/>
  <c r="K3847" i="1"/>
  <c r="M3847" i="1" s="1"/>
  <c r="K3846" i="1"/>
  <c r="M3846" i="1" s="1"/>
  <c r="K3845" i="1"/>
  <c r="M3845" i="1" s="1"/>
  <c r="K3844" i="1"/>
  <c r="M3844" i="1" s="1"/>
  <c r="K3843" i="1"/>
  <c r="M3843" i="1" s="1"/>
  <c r="K3842" i="1"/>
  <c r="M3842" i="1" s="1"/>
  <c r="K3841" i="1"/>
  <c r="M3841" i="1" s="1"/>
  <c r="K3840" i="1"/>
  <c r="M3840" i="1" s="1"/>
  <c r="K3839" i="1"/>
  <c r="M3839" i="1" s="1"/>
  <c r="Q3838" i="1"/>
  <c r="T3838" i="1" s="1"/>
  <c r="H3838" i="1"/>
  <c r="G3838" i="1"/>
  <c r="K3837" i="1"/>
  <c r="M3837" i="1" s="1"/>
  <c r="K3836" i="1"/>
  <c r="M3836" i="1" s="1"/>
  <c r="K3835" i="1"/>
  <c r="M3835" i="1" s="1"/>
  <c r="K3834" i="1"/>
  <c r="M3834" i="1" s="1"/>
  <c r="K3833" i="1"/>
  <c r="M3833" i="1" s="1"/>
  <c r="K3832" i="1"/>
  <c r="M3832" i="1" s="1"/>
  <c r="K3831" i="1"/>
  <c r="M3831" i="1" s="1"/>
  <c r="K3830" i="1"/>
  <c r="M3830" i="1" s="1"/>
  <c r="K3829" i="1"/>
  <c r="M3829" i="1" s="1"/>
  <c r="K3828" i="1"/>
  <c r="M3828" i="1" s="1"/>
  <c r="K3827" i="1"/>
  <c r="M3827" i="1" s="1"/>
  <c r="K3826" i="1"/>
  <c r="M3826" i="1" s="1"/>
  <c r="K3825" i="1"/>
  <c r="M3825" i="1" s="1"/>
  <c r="K3824" i="1"/>
  <c r="M3824" i="1" s="1"/>
  <c r="K3823" i="1"/>
  <c r="M3823" i="1" s="1"/>
  <c r="Q3822" i="1"/>
  <c r="T3822" i="1" s="1"/>
  <c r="K3822" i="1"/>
  <c r="M3822" i="1" s="1"/>
  <c r="K3821" i="1"/>
  <c r="M3821" i="1" s="1"/>
  <c r="K3820" i="1"/>
  <c r="M3820" i="1" s="1"/>
  <c r="K3819" i="1"/>
  <c r="M3819" i="1" s="1"/>
  <c r="K3818" i="1"/>
  <c r="M3818" i="1" s="1"/>
  <c r="K3817" i="1"/>
  <c r="M3817" i="1" s="1"/>
  <c r="K3816" i="1"/>
  <c r="M3816" i="1" s="1"/>
  <c r="K3815" i="1"/>
  <c r="M3815" i="1" s="1"/>
  <c r="K3814" i="1"/>
  <c r="M3814" i="1" s="1"/>
  <c r="K3813" i="1"/>
  <c r="M3813" i="1" s="1"/>
  <c r="K3812" i="1"/>
  <c r="M3812" i="1" s="1"/>
  <c r="K3811" i="1"/>
  <c r="M3811" i="1" s="1"/>
  <c r="K3810" i="1"/>
  <c r="M3810" i="1" s="1"/>
  <c r="K3809" i="1"/>
  <c r="M3809" i="1" s="1"/>
  <c r="K3808" i="1"/>
  <c r="M3808" i="1" s="1"/>
  <c r="K3807" i="1"/>
  <c r="M3807" i="1" s="1"/>
  <c r="K3806" i="1"/>
  <c r="M3806" i="1" s="1"/>
  <c r="K3805" i="1"/>
  <c r="M3805" i="1" s="1"/>
  <c r="K3804" i="1"/>
  <c r="M3804" i="1" s="1"/>
  <c r="K3803" i="1"/>
  <c r="M3803" i="1" s="1"/>
  <c r="K3802" i="1"/>
  <c r="M3802" i="1" s="1"/>
  <c r="K3801" i="1"/>
  <c r="M3801" i="1" s="1"/>
  <c r="K3800" i="1"/>
  <c r="M3800" i="1" s="1"/>
  <c r="K3799" i="1"/>
  <c r="M3799" i="1" s="1"/>
  <c r="K3798" i="1"/>
  <c r="M3798" i="1" s="1"/>
  <c r="K3797" i="1"/>
  <c r="M3797" i="1" s="1"/>
  <c r="K3796" i="1"/>
  <c r="M3796" i="1" s="1"/>
  <c r="K3795" i="1"/>
  <c r="M3795" i="1" s="1"/>
  <c r="K3794" i="1"/>
  <c r="M3794" i="1" s="1"/>
  <c r="K3793" i="1"/>
  <c r="M3793" i="1" s="1"/>
  <c r="K3792" i="1"/>
  <c r="M3792" i="1" s="1"/>
  <c r="K3791" i="1"/>
  <c r="M3791" i="1" s="1"/>
  <c r="K3790" i="1"/>
  <c r="M3790" i="1" s="1"/>
  <c r="K3789" i="1"/>
  <c r="M3789" i="1" s="1"/>
  <c r="K3788" i="1"/>
  <c r="M3788" i="1" s="1"/>
  <c r="K3787" i="1"/>
  <c r="M3787" i="1" s="1"/>
  <c r="K3786" i="1"/>
  <c r="M3786" i="1" s="1"/>
  <c r="K3785" i="1"/>
  <c r="M3785" i="1" s="1"/>
  <c r="K3784" i="1"/>
  <c r="M3784" i="1" s="1"/>
  <c r="K3783" i="1"/>
  <c r="M3783" i="1" s="1"/>
  <c r="K3782" i="1"/>
  <c r="M3782" i="1" s="1"/>
  <c r="K3781" i="1"/>
  <c r="M3781" i="1" s="1"/>
  <c r="K3780" i="1"/>
  <c r="M3780" i="1" s="1"/>
  <c r="K3779" i="1"/>
  <c r="M3779" i="1" s="1"/>
  <c r="K3778" i="1"/>
  <c r="M3778" i="1" s="1"/>
  <c r="K3777" i="1"/>
  <c r="M3777" i="1" s="1"/>
  <c r="Q3776" i="1"/>
  <c r="T3776" i="1" s="1"/>
  <c r="K3776" i="1"/>
  <c r="M3776" i="1" s="1"/>
  <c r="K3775" i="1"/>
  <c r="M3775" i="1" s="1"/>
  <c r="K3774" i="1"/>
  <c r="M3774" i="1" s="1"/>
  <c r="K3773" i="1"/>
  <c r="M3773" i="1" s="1"/>
  <c r="K3772" i="1"/>
  <c r="M3772" i="1" s="1"/>
  <c r="K3771" i="1"/>
  <c r="M3771" i="1" s="1"/>
  <c r="K3770" i="1"/>
  <c r="M3770" i="1" s="1"/>
  <c r="K3769" i="1"/>
  <c r="M3769" i="1" s="1"/>
  <c r="K3768" i="1"/>
  <c r="M3768" i="1" s="1"/>
  <c r="K3767" i="1"/>
  <c r="M3767" i="1" s="1"/>
  <c r="K3766" i="1"/>
  <c r="M3766" i="1" s="1"/>
  <c r="K3765" i="1"/>
  <c r="M3765" i="1" s="1"/>
  <c r="K3764" i="1"/>
  <c r="M3764" i="1" s="1"/>
  <c r="K3763" i="1"/>
  <c r="M3763" i="1" s="1"/>
  <c r="K3762" i="1"/>
  <c r="M3762" i="1" s="1"/>
  <c r="K3761" i="1"/>
  <c r="M3761" i="1" s="1"/>
  <c r="K3760" i="1"/>
  <c r="M3760" i="1" s="1"/>
  <c r="K3759" i="1"/>
  <c r="M3759" i="1" s="1"/>
  <c r="K3758" i="1"/>
  <c r="M3758" i="1" s="1"/>
  <c r="K3757" i="1"/>
  <c r="M3757" i="1" s="1"/>
  <c r="K3756" i="1"/>
  <c r="M3756" i="1" s="1"/>
  <c r="K3755" i="1"/>
  <c r="M3755" i="1" s="1"/>
  <c r="K3754" i="1"/>
  <c r="M3754" i="1" s="1"/>
  <c r="K3753" i="1"/>
  <c r="M3753" i="1" s="1"/>
  <c r="K3752" i="1"/>
  <c r="M3752" i="1" s="1"/>
  <c r="K3751" i="1"/>
  <c r="M3751" i="1" s="1"/>
  <c r="K3750" i="1"/>
  <c r="M3750" i="1" s="1"/>
  <c r="Q3749" i="1"/>
  <c r="T3749" i="1" s="1"/>
  <c r="K3749" i="1"/>
  <c r="M3749" i="1" s="1"/>
  <c r="K3748" i="1"/>
  <c r="M3748" i="1" s="1"/>
  <c r="K3747" i="1"/>
  <c r="M3747" i="1" s="1"/>
  <c r="K3746" i="1"/>
  <c r="M3746" i="1" s="1"/>
  <c r="Q3745" i="1"/>
  <c r="T3745" i="1" s="1"/>
  <c r="K3745" i="1"/>
  <c r="M3745" i="1" s="1"/>
  <c r="K3744" i="1"/>
  <c r="M3744" i="1" s="1"/>
  <c r="K3743" i="1"/>
  <c r="M3743" i="1" s="1"/>
  <c r="K3742" i="1"/>
  <c r="M3742" i="1" s="1"/>
  <c r="K3741" i="1"/>
  <c r="M3741" i="1" s="1"/>
  <c r="K3740" i="1"/>
  <c r="M3740" i="1" s="1"/>
  <c r="K3739" i="1"/>
  <c r="M3739" i="1" s="1"/>
  <c r="K3738" i="1"/>
  <c r="M3738" i="1" s="1"/>
  <c r="K3737" i="1"/>
  <c r="M3737" i="1" s="1"/>
  <c r="K3736" i="1"/>
  <c r="M3736" i="1" s="1"/>
  <c r="K3735" i="1"/>
  <c r="M3735" i="1" s="1"/>
  <c r="K3734" i="1"/>
  <c r="M3734" i="1" s="1"/>
  <c r="K3733" i="1"/>
  <c r="M3733" i="1" s="1"/>
  <c r="K3732" i="1"/>
  <c r="M3732" i="1" s="1"/>
  <c r="K3731" i="1"/>
  <c r="M3731" i="1" s="1"/>
  <c r="K3730" i="1"/>
  <c r="M3730" i="1" s="1"/>
  <c r="K3729" i="1"/>
  <c r="M3729" i="1" s="1"/>
  <c r="K3728" i="1"/>
  <c r="M3728" i="1" s="1"/>
  <c r="K3727" i="1"/>
  <c r="M3727" i="1" s="1"/>
  <c r="K3726" i="1"/>
  <c r="M3726" i="1" s="1"/>
  <c r="K3725" i="1"/>
  <c r="M3725" i="1" s="1"/>
  <c r="K3724" i="1"/>
  <c r="M3724" i="1" s="1"/>
  <c r="K3723" i="1"/>
  <c r="M3723" i="1" s="1"/>
  <c r="K3722" i="1"/>
  <c r="M3722" i="1" s="1"/>
  <c r="K3721" i="1"/>
  <c r="M3721" i="1" s="1"/>
  <c r="K3720" i="1"/>
  <c r="M3720" i="1" s="1"/>
  <c r="K3719" i="1"/>
  <c r="M3719" i="1" s="1"/>
  <c r="K3718" i="1"/>
  <c r="M3718" i="1" s="1"/>
  <c r="K3717" i="1"/>
  <c r="M3717" i="1" s="1"/>
  <c r="K3716" i="1"/>
  <c r="M3716" i="1" s="1"/>
  <c r="K3715" i="1"/>
  <c r="M3715" i="1" s="1"/>
  <c r="K3714" i="1"/>
  <c r="M3714" i="1" s="1"/>
  <c r="K3713" i="1"/>
  <c r="M3713" i="1" s="1"/>
  <c r="K3712" i="1"/>
  <c r="M3712" i="1" s="1"/>
  <c r="K3711" i="1"/>
  <c r="M3711" i="1" s="1"/>
  <c r="K3710" i="1"/>
  <c r="M3710" i="1" s="1"/>
  <c r="K3709" i="1"/>
  <c r="M3709" i="1" s="1"/>
  <c r="K3708" i="1"/>
  <c r="M3708" i="1" s="1"/>
  <c r="T3707" i="1"/>
  <c r="M3707" i="1"/>
  <c r="K3706" i="1"/>
  <c r="M3706" i="1" s="1"/>
  <c r="K3705" i="1"/>
  <c r="M3705" i="1" s="1"/>
  <c r="K3704" i="1"/>
  <c r="M3704" i="1" s="1"/>
  <c r="K3703" i="1"/>
  <c r="M3703" i="1" s="1"/>
  <c r="K3702" i="1"/>
  <c r="M3702" i="1" s="1"/>
  <c r="K3701" i="1"/>
  <c r="M3701" i="1" s="1"/>
  <c r="K3700" i="1"/>
  <c r="M3700" i="1" s="1"/>
  <c r="K3699" i="1"/>
  <c r="M3699" i="1" s="1"/>
  <c r="K3698" i="1"/>
  <c r="M3698" i="1" s="1"/>
  <c r="K3697" i="1"/>
  <c r="M3697" i="1" s="1"/>
  <c r="K3696" i="1"/>
  <c r="M3696" i="1" s="1"/>
  <c r="K3695" i="1"/>
  <c r="M3695" i="1" s="1"/>
  <c r="K3693" i="1"/>
  <c r="M3693" i="1" s="1"/>
  <c r="K3692" i="1"/>
  <c r="M3692" i="1" s="1"/>
  <c r="Q3691" i="1"/>
  <c r="T3691" i="1" s="1"/>
  <c r="K3691" i="1"/>
  <c r="M3691" i="1" s="1"/>
  <c r="K3690" i="1"/>
  <c r="M3690" i="1" s="1"/>
  <c r="K3689" i="1"/>
  <c r="M3689" i="1" s="1"/>
  <c r="K3688" i="1"/>
  <c r="M3688" i="1" s="1"/>
  <c r="K3687" i="1"/>
  <c r="M3687" i="1" s="1"/>
  <c r="K3686" i="1"/>
  <c r="M3686" i="1" s="1"/>
  <c r="K3685" i="1"/>
  <c r="M3685" i="1" s="1"/>
  <c r="K3684" i="1"/>
  <c r="M3684" i="1" s="1"/>
  <c r="K3683" i="1"/>
  <c r="M3683" i="1" s="1"/>
  <c r="K3682" i="1"/>
  <c r="M3682" i="1" s="1"/>
  <c r="K3681" i="1"/>
  <c r="M3681" i="1" s="1"/>
  <c r="K3680" i="1"/>
  <c r="M3680" i="1" s="1"/>
  <c r="K3679" i="1"/>
  <c r="M3679" i="1" s="1"/>
  <c r="K3678" i="1"/>
  <c r="M3678" i="1" s="1"/>
  <c r="K3677" i="1"/>
  <c r="M3677" i="1" s="1"/>
  <c r="K3676" i="1"/>
  <c r="M3676" i="1" s="1"/>
  <c r="K3675" i="1"/>
  <c r="M3675" i="1" s="1"/>
  <c r="K3674" i="1"/>
  <c r="M3674" i="1" s="1"/>
  <c r="K3673" i="1"/>
  <c r="M3673" i="1" s="1"/>
  <c r="K3672" i="1"/>
  <c r="M3672" i="1" s="1"/>
  <c r="K3671" i="1"/>
  <c r="M3671" i="1" s="1"/>
  <c r="K3670" i="1"/>
  <c r="M3670" i="1" s="1"/>
  <c r="K3669" i="1"/>
  <c r="M3669" i="1" s="1"/>
  <c r="K3668" i="1"/>
  <c r="M3668" i="1" s="1"/>
  <c r="K3667" i="1"/>
  <c r="M3667" i="1" s="1"/>
  <c r="K3666" i="1"/>
  <c r="M3666" i="1" s="1"/>
  <c r="K3665" i="1"/>
  <c r="M3665" i="1" s="1"/>
  <c r="K3664" i="1"/>
  <c r="M3664" i="1" s="1"/>
  <c r="K3663" i="1"/>
  <c r="M3663" i="1" s="1"/>
  <c r="K3662" i="1"/>
  <c r="M3662" i="1" s="1"/>
  <c r="K3661" i="1"/>
  <c r="M3661" i="1" s="1"/>
  <c r="K3660" i="1"/>
  <c r="M3660" i="1" s="1"/>
  <c r="K3659" i="1"/>
  <c r="M3659" i="1" s="1"/>
  <c r="K3658" i="1"/>
  <c r="M3658" i="1" s="1"/>
  <c r="K3657" i="1"/>
  <c r="M3657" i="1" s="1"/>
  <c r="K3656" i="1"/>
  <c r="M3656" i="1" s="1"/>
  <c r="K3655" i="1"/>
  <c r="M3655" i="1" s="1"/>
  <c r="K3654" i="1"/>
  <c r="M3654" i="1" s="1"/>
  <c r="K3653" i="1"/>
  <c r="M3653" i="1" s="1"/>
  <c r="K3652" i="1"/>
  <c r="M3652" i="1" s="1"/>
  <c r="K3651" i="1"/>
  <c r="M3651" i="1" s="1"/>
  <c r="K3650" i="1"/>
  <c r="M3650" i="1" s="1"/>
  <c r="K3649" i="1"/>
  <c r="M3649" i="1" s="1"/>
  <c r="K3648" i="1"/>
  <c r="M3648" i="1" s="1"/>
  <c r="K3647" i="1"/>
  <c r="M3647" i="1" s="1"/>
  <c r="K3646" i="1"/>
  <c r="M3646" i="1" s="1"/>
  <c r="K3645" i="1"/>
  <c r="M3645" i="1" s="1"/>
  <c r="K3644" i="1"/>
  <c r="M3644" i="1" s="1"/>
  <c r="K3643" i="1"/>
  <c r="M3643" i="1" s="1"/>
  <c r="K3642" i="1"/>
  <c r="M3642" i="1" s="1"/>
  <c r="K3641" i="1"/>
  <c r="M3641" i="1" s="1"/>
  <c r="K3640" i="1"/>
  <c r="M3640" i="1" s="1"/>
  <c r="K3639" i="1"/>
  <c r="M3639" i="1" s="1"/>
  <c r="K3638" i="1"/>
  <c r="M3638" i="1" s="1"/>
  <c r="K3637" i="1"/>
  <c r="M3637" i="1" s="1"/>
  <c r="K3636" i="1"/>
  <c r="M3636" i="1" s="1"/>
  <c r="K3635" i="1"/>
  <c r="M3635" i="1" s="1"/>
  <c r="K3634" i="1"/>
  <c r="M3634" i="1" s="1"/>
  <c r="K3633" i="1"/>
  <c r="M3633" i="1" s="1"/>
  <c r="K3632" i="1"/>
  <c r="M3632" i="1" s="1"/>
  <c r="Q3631" i="1"/>
  <c r="T3631" i="1" s="1"/>
  <c r="G3631" i="1"/>
  <c r="K3631" i="1" s="1"/>
  <c r="M3631" i="1" s="1"/>
  <c r="K3630" i="1"/>
  <c r="M3630" i="1" s="1"/>
  <c r="K3629" i="1"/>
  <c r="M3629" i="1" s="1"/>
  <c r="K3628" i="1"/>
  <c r="M3628" i="1" s="1"/>
  <c r="K3627" i="1"/>
  <c r="M3627" i="1" s="1"/>
  <c r="K3626" i="1"/>
  <c r="M3626" i="1" s="1"/>
  <c r="K3625" i="1"/>
  <c r="M3625" i="1" s="1"/>
  <c r="K3624" i="1"/>
  <c r="M3624" i="1" s="1"/>
  <c r="K3623" i="1"/>
  <c r="M3623" i="1" s="1"/>
  <c r="K3622" i="1"/>
  <c r="M3622" i="1" s="1"/>
  <c r="K3621" i="1"/>
  <c r="M3621" i="1" s="1"/>
  <c r="K3620" i="1"/>
  <c r="M3620" i="1" s="1"/>
  <c r="K3619" i="1"/>
  <c r="M3619" i="1" s="1"/>
  <c r="K3618" i="1"/>
  <c r="M3618" i="1" s="1"/>
  <c r="K3617" i="1"/>
  <c r="M3617" i="1" s="1"/>
  <c r="K3616" i="1"/>
  <c r="M3616" i="1" s="1"/>
  <c r="K3615" i="1"/>
  <c r="M3615" i="1" s="1"/>
  <c r="K3614" i="1"/>
  <c r="M3614" i="1" s="1"/>
  <c r="K3613" i="1"/>
  <c r="M3613" i="1" s="1"/>
  <c r="K3612" i="1"/>
  <c r="M3612" i="1" s="1"/>
  <c r="K3611" i="1"/>
  <c r="M3611" i="1" s="1"/>
  <c r="K3610" i="1"/>
  <c r="M3610" i="1" s="1"/>
  <c r="K3609" i="1"/>
  <c r="M3609" i="1" s="1"/>
  <c r="K3608" i="1"/>
  <c r="M3608" i="1" s="1"/>
  <c r="K3607" i="1"/>
  <c r="M3607" i="1" s="1"/>
  <c r="K3606" i="1"/>
  <c r="M3606" i="1" s="1"/>
  <c r="K3605" i="1"/>
  <c r="M3605" i="1" s="1"/>
  <c r="K3604" i="1"/>
  <c r="M3604" i="1" s="1"/>
  <c r="K3603" i="1"/>
  <c r="M3603" i="1" s="1"/>
  <c r="K3602" i="1"/>
  <c r="M3602" i="1" s="1"/>
  <c r="K3601" i="1"/>
  <c r="M3601" i="1" s="1"/>
  <c r="K3600" i="1"/>
  <c r="M3600" i="1" s="1"/>
  <c r="K3599" i="1"/>
  <c r="M3599" i="1" s="1"/>
  <c r="K3598" i="1"/>
  <c r="M3598" i="1" s="1"/>
  <c r="K3597" i="1"/>
  <c r="M3597" i="1" s="1"/>
  <c r="K3596" i="1"/>
  <c r="M3596" i="1" s="1"/>
  <c r="K3595" i="1"/>
  <c r="M3595" i="1" s="1"/>
  <c r="K3594" i="1"/>
  <c r="M3594" i="1" s="1"/>
  <c r="K3593" i="1"/>
  <c r="M3593" i="1" s="1"/>
  <c r="K3592" i="1"/>
  <c r="M3592" i="1" s="1"/>
  <c r="K3591" i="1"/>
  <c r="M3591" i="1" s="1"/>
  <c r="K3590" i="1"/>
  <c r="M3590" i="1" s="1"/>
  <c r="K3589" i="1"/>
  <c r="M3589" i="1" s="1"/>
  <c r="K3588" i="1"/>
  <c r="M3588" i="1" s="1"/>
  <c r="Q3587" i="1"/>
  <c r="T3587" i="1" s="1"/>
  <c r="K3587" i="1"/>
  <c r="M3587" i="1" s="1"/>
  <c r="K3586" i="1"/>
  <c r="M3586" i="1" s="1"/>
  <c r="K3585" i="1"/>
  <c r="M3585" i="1" s="1"/>
  <c r="K3584" i="1"/>
  <c r="M3584" i="1" s="1"/>
  <c r="Q3583" i="1"/>
  <c r="T3583" i="1" s="1"/>
  <c r="K3583" i="1"/>
  <c r="F3583" i="1"/>
  <c r="Q3582" i="1"/>
  <c r="T3582" i="1" s="1"/>
  <c r="K3582" i="1"/>
  <c r="M3582" i="1" s="1"/>
  <c r="K3581" i="1"/>
  <c r="M3581" i="1" s="1"/>
  <c r="K3580" i="1"/>
  <c r="M3580" i="1" s="1"/>
  <c r="K3579" i="1"/>
  <c r="M3579" i="1" s="1"/>
  <c r="Q3578" i="1"/>
  <c r="T3578" i="1" s="1"/>
  <c r="I3578" i="1"/>
  <c r="K3578" i="1" s="1"/>
  <c r="M3578" i="1" s="1"/>
  <c r="K3577" i="1"/>
  <c r="M3577" i="1" s="1"/>
  <c r="K3576" i="1"/>
  <c r="M3576" i="1" s="1"/>
  <c r="K3575" i="1"/>
  <c r="M3575" i="1" s="1"/>
  <c r="K3574" i="1"/>
  <c r="M3574" i="1" s="1"/>
  <c r="K3573" i="1"/>
  <c r="M3573" i="1" s="1"/>
  <c r="K3572" i="1"/>
  <c r="M3572" i="1" s="1"/>
  <c r="K3571" i="1"/>
  <c r="M3571" i="1" s="1"/>
  <c r="K3570" i="1"/>
  <c r="M3570" i="1" s="1"/>
  <c r="K3569" i="1"/>
  <c r="M3569" i="1" s="1"/>
  <c r="K3568" i="1"/>
  <c r="M3568" i="1" s="1"/>
  <c r="K3567" i="1"/>
  <c r="M3567" i="1" s="1"/>
  <c r="K3566" i="1"/>
  <c r="M3566" i="1" s="1"/>
  <c r="K3565" i="1"/>
  <c r="M3565" i="1" s="1"/>
  <c r="K3564" i="1"/>
  <c r="M3564" i="1" s="1"/>
  <c r="K3563" i="1"/>
  <c r="M3563" i="1" s="1"/>
  <c r="K3562" i="1"/>
  <c r="M3562" i="1" s="1"/>
  <c r="K3561" i="1"/>
  <c r="M3561" i="1" s="1"/>
  <c r="K3560" i="1"/>
  <c r="M3560" i="1" s="1"/>
  <c r="K3559" i="1"/>
  <c r="M3559" i="1" s="1"/>
  <c r="K3558" i="1"/>
  <c r="M3558" i="1" s="1"/>
  <c r="K3557" i="1"/>
  <c r="M3557" i="1" s="1"/>
  <c r="K3556" i="1"/>
  <c r="M3556" i="1" s="1"/>
  <c r="K3555" i="1"/>
  <c r="M3555" i="1" s="1"/>
  <c r="K3554" i="1"/>
  <c r="M3554" i="1" s="1"/>
  <c r="K3553" i="1"/>
  <c r="M3553" i="1" s="1"/>
  <c r="K3552" i="1"/>
  <c r="M3552" i="1" s="1"/>
  <c r="K3551" i="1"/>
  <c r="M3551" i="1" s="1"/>
  <c r="K3550" i="1"/>
  <c r="M3550" i="1" s="1"/>
  <c r="K3549" i="1"/>
  <c r="M3549" i="1" s="1"/>
  <c r="K3548" i="1"/>
  <c r="M3548" i="1" s="1"/>
  <c r="K3547" i="1"/>
  <c r="M3547" i="1" s="1"/>
  <c r="K3546" i="1"/>
  <c r="M3546" i="1" s="1"/>
  <c r="K3545" i="1"/>
  <c r="M3545" i="1" s="1"/>
  <c r="K3544" i="1"/>
  <c r="M3544" i="1" s="1"/>
  <c r="K3543" i="1"/>
  <c r="M3543" i="1" s="1"/>
  <c r="K3542" i="1"/>
  <c r="M3542" i="1" s="1"/>
  <c r="K3541" i="1"/>
  <c r="M3541" i="1" s="1"/>
  <c r="K3540" i="1"/>
  <c r="M3540" i="1" s="1"/>
  <c r="K3539" i="1"/>
  <c r="M3539" i="1" s="1"/>
  <c r="K3538" i="1"/>
  <c r="M3538" i="1" s="1"/>
  <c r="K3537" i="1"/>
  <c r="M3537" i="1" s="1"/>
  <c r="K3536" i="1"/>
  <c r="M3536" i="1" s="1"/>
  <c r="K3535" i="1"/>
  <c r="M3535" i="1" s="1"/>
  <c r="K3534" i="1"/>
  <c r="M3534" i="1" s="1"/>
  <c r="K3533" i="1"/>
  <c r="M3533" i="1" s="1"/>
  <c r="K3532" i="1"/>
  <c r="M3532" i="1" s="1"/>
  <c r="K3531" i="1"/>
  <c r="M3531" i="1" s="1"/>
  <c r="K3530" i="1"/>
  <c r="M3530" i="1" s="1"/>
  <c r="K3529" i="1"/>
  <c r="M3529" i="1" s="1"/>
  <c r="K3528" i="1"/>
  <c r="M3528" i="1" s="1"/>
  <c r="K3527" i="1"/>
  <c r="M3527" i="1" s="1"/>
  <c r="K3526" i="1"/>
  <c r="M3526" i="1" s="1"/>
  <c r="K3525" i="1"/>
  <c r="M3525" i="1" s="1"/>
  <c r="K3524" i="1"/>
  <c r="M3524" i="1" s="1"/>
  <c r="K3523" i="1"/>
  <c r="M3523" i="1" s="1"/>
  <c r="K3522" i="1"/>
  <c r="M3522" i="1" s="1"/>
  <c r="K3521" i="1"/>
  <c r="M3521" i="1" s="1"/>
  <c r="Q3520" i="1"/>
  <c r="T3520" i="1" s="1"/>
  <c r="G3520" i="1"/>
  <c r="K3520" i="1" s="1"/>
  <c r="M3520" i="1" s="1"/>
  <c r="K3519" i="1"/>
  <c r="M3519" i="1" s="1"/>
  <c r="K3518" i="1"/>
  <c r="M3518" i="1" s="1"/>
  <c r="K3517" i="1"/>
  <c r="M3517" i="1" s="1"/>
  <c r="K3516" i="1"/>
  <c r="M3516" i="1" s="1"/>
  <c r="K3515" i="1"/>
  <c r="M3515" i="1" s="1"/>
  <c r="K3514" i="1"/>
  <c r="M3514" i="1" s="1"/>
  <c r="K3513" i="1"/>
  <c r="M3513" i="1" s="1"/>
  <c r="K3512" i="1"/>
  <c r="M3512" i="1" s="1"/>
  <c r="K3511" i="1"/>
  <c r="M3511" i="1" s="1"/>
  <c r="K3510" i="1"/>
  <c r="M3510" i="1" s="1"/>
  <c r="K3509" i="1"/>
  <c r="M3509" i="1" s="1"/>
  <c r="K3508" i="1"/>
  <c r="M3508" i="1" s="1"/>
  <c r="Q3507" i="1"/>
  <c r="T3507" i="1" s="1"/>
  <c r="K3507" i="1"/>
  <c r="M3507" i="1" s="1"/>
  <c r="K3506" i="1"/>
  <c r="M3506" i="1" s="1"/>
  <c r="K3505" i="1"/>
  <c r="M3505" i="1" s="1"/>
  <c r="K3504" i="1"/>
  <c r="M3504" i="1" s="1"/>
  <c r="K3503" i="1"/>
  <c r="M3503" i="1" s="1"/>
  <c r="K3502" i="1"/>
  <c r="M3502" i="1" s="1"/>
  <c r="K3501" i="1"/>
  <c r="M3501" i="1" s="1"/>
  <c r="K3500" i="1"/>
  <c r="M3500" i="1" s="1"/>
  <c r="K3499" i="1"/>
  <c r="M3499" i="1" s="1"/>
  <c r="K3498" i="1"/>
  <c r="M3498" i="1" s="1"/>
  <c r="K3497" i="1"/>
  <c r="M3497" i="1" s="1"/>
  <c r="K3496" i="1"/>
  <c r="M3496" i="1" s="1"/>
  <c r="K3495" i="1"/>
  <c r="M3495" i="1" s="1"/>
  <c r="K3494" i="1"/>
  <c r="M3494" i="1" s="1"/>
  <c r="K3493" i="1"/>
  <c r="M3493" i="1" s="1"/>
  <c r="K3492" i="1"/>
  <c r="M3492" i="1" s="1"/>
  <c r="K3491" i="1"/>
  <c r="M3491" i="1" s="1"/>
  <c r="K3490" i="1"/>
  <c r="M3490" i="1" s="1"/>
  <c r="K3489" i="1"/>
  <c r="M3489" i="1" s="1"/>
  <c r="K3488" i="1"/>
  <c r="M3488" i="1" s="1"/>
  <c r="K3487" i="1"/>
  <c r="M3487" i="1" s="1"/>
  <c r="K3486" i="1"/>
  <c r="M3486" i="1" s="1"/>
  <c r="K3485" i="1"/>
  <c r="M3485" i="1" s="1"/>
  <c r="K3484" i="1"/>
  <c r="M3484" i="1" s="1"/>
  <c r="K3483" i="1"/>
  <c r="M3483" i="1" s="1"/>
  <c r="K3482" i="1"/>
  <c r="M3482" i="1" s="1"/>
  <c r="K3481" i="1"/>
  <c r="M3481" i="1" s="1"/>
  <c r="K3480" i="1"/>
  <c r="M3480" i="1" s="1"/>
  <c r="K3479" i="1"/>
  <c r="M3479" i="1" s="1"/>
  <c r="K3478" i="1"/>
  <c r="M3478" i="1" s="1"/>
  <c r="K3477" i="1"/>
  <c r="M3477" i="1" s="1"/>
  <c r="K3476" i="1"/>
  <c r="M3476" i="1" s="1"/>
  <c r="K3475" i="1"/>
  <c r="M3475" i="1" s="1"/>
  <c r="K3474" i="1"/>
  <c r="M3474" i="1" s="1"/>
  <c r="K3473" i="1"/>
  <c r="M3473" i="1" s="1"/>
  <c r="K3472" i="1"/>
  <c r="M3472" i="1" s="1"/>
  <c r="K3471" i="1"/>
  <c r="M3471" i="1" s="1"/>
  <c r="K3470" i="1"/>
  <c r="M3470" i="1" s="1"/>
  <c r="K3469" i="1"/>
  <c r="M3469" i="1" s="1"/>
  <c r="K3468" i="1"/>
  <c r="M3468" i="1" s="1"/>
  <c r="K3467" i="1"/>
  <c r="M3467" i="1" s="1"/>
  <c r="K3466" i="1"/>
  <c r="M3466" i="1" s="1"/>
  <c r="K3465" i="1"/>
  <c r="M3465" i="1" s="1"/>
  <c r="K3464" i="1"/>
  <c r="M3464" i="1" s="1"/>
  <c r="K3463" i="1"/>
  <c r="M3463" i="1" s="1"/>
  <c r="K3462" i="1"/>
  <c r="M3462" i="1" s="1"/>
  <c r="K3461" i="1"/>
  <c r="M3461" i="1" s="1"/>
  <c r="K3460" i="1"/>
  <c r="M3460" i="1" s="1"/>
  <c r="K3459" i="1"/>
  <c r="M3459" i="1" s="1"/>
  <c r="K3458" i="1"/>
  <c r="M3458" i="1" s="1"/>
  <c r="K3457" i="1"/>
  <c r="M3457" i="1" s="1"/>
  <c r="K3456" i="1"/>
  <c r="M3456" i="1" s="1"/>
  <c r="K3455" i="1"/>
  <c r="M3455" i="1" s="1"/>
  <c r="K3454" i="1"/>
  <c r="M3454" i="1" s="1"/>
  <c r="K3453" i="1"/>
  <c r="M3453" i="1" s="1"/>
  <c r="K3452" i="1"/>
  <c r="M3452" i="1" s="1"/>
  <c r="K3451" i="1"/>
  <c r="M3451" i="1" s="1"/>
  <c r="K3450" i="1"/>
  <c r="M3450" i="1" s="1"/>
  <c r="K3449" i="1"/>
  <c r="M3449" i="1" s="1"/>
  <c r="K3448" i="1"/>
  <c r="M3448" i="1" s="1"/>
  <c r="K3447" i="1"/>
  <c r="M3447" i="1" s="1"/>
  <c r="K3446" i="1"/>
  <c r="M3446" i="1" s="1"/>
  <c r="K3445" i="1"/>
  <c r="M3445" i="1" s="1"/>
  <c r="K3444" i="1"/>
  <c r="M3444" i="1" s="1"/>
  <c r="K3443" i="1"/>
  <c r="M3443" i="1" s="1"/>
  <c r="K3442" i="1"/>
  <c r="M3442" i="1" s="1"/>
  <c r="K3441" i="1"/>
  <c r="M3441" i="1" s="1"/>
  <c r="K3440" i="1"/>
  <c r="M3440" i="1" s="1"/>
  <c r="K3439" i="1"/>
  <c r="M3439" i="1" s="1"/>
  <c r="K3438" i="1"/>
  <c r="M3438" i="1" s="1"/>
  <c r="K3437" i="1"/>
  <c r="M3437" i="1" s="1"/>
  <c r="Q3436" i="1"/>
  <c r="T3436" i="1" s="1"/>
  <c r="K3436" i="1"/>
  <c r="M3436" i="1" s="1"/>
  <c r="K3435" i="1"/>
  <c r="M3435" i="1" s="1"/>
  <c r="K3434" i="1"/>
  <c r="M3434" i="1" s="1"/>
  <c r="K3433" i="1"/>
  <c r="M3433" i="1" s="1"/>
  <c r="K3432" i="1"/>
  <c r="M3432" i="1" s="1"/>
  <c r="K3431" i="1"/>
  <c r="M3431" i="1" s="1"/>
  <c r="K3430" i="1"/>
  <c r="M3430" i="1" s="1"/>
  <c r="K3429" i="1"/>
  <c r="M3429" i="1" s="1"/>
  <c r="K3428" i="1"/>
  <c r="M3428" i="1" s="1"/>
  <c r="K3427" i="1"/>
  <c r="M3427" i="1" s="1"/>
  <c r="K3426" i="1"/>
  <c r="M3426" i="1" s="1"/>
  <c r="K3425" i="1"/>
  <c r="M3425" i="1" s="1"/>
  <c r="K3424" i="1"/>
  <c r="M3424" i="1" s="1"/>
  <c r="K3423" i="1"/>
  <c r="M3423" i="1" s="1"/>
  <c r="K3422" i="1"/>
  <c r="M3422" i="1" s="1"/>
  <c r="K3421" i="1"/>
  <c r="M3421" i="1" s="1"/>
  <c r="K3420" i="1"/>
  <c r="M3420" i="1" s="1"/>
  <c r="Q3419" i="1"/>
  <c r="T3419" i="1" s="1"/>
  <c r="K3419" i="1"/>
  <c r="M3419" i="1" s="1"/>
  <c r="K3418" i="1"/>
  <c r="M3418" i="1" s="1"/>
  <c r="K3417" i="1"/>
  <c r="M3417" i="1" s="1"/>
  <c r="K3416" i="1"/>
  <c r="M3416" i="1" s="1"/>
  <c r="K3415" i="1"/>
  <c r="M3415" i="1" s="1"/>
  <c r="K3414" i="1"/>
  <c r="M3414" i="1" s="1"/>
  <c r="K3413" i="1"/>
  <c r="M3413" i="1" s="1"/>
  <c r="K3412" i="1"/>
  <c r="M3412" i="1" s="1"/>
  <c r="K3411" i="1"/>
  <c r="M3411" i="1" s="1"/>
  <c r="K3410" i="1"/>
  <c r="M3410" i="1" s="1"/>
  <c r="K3409" i="1"/>
  <c r="M3409" i="1" s="1"/>
  <c r="K3408" i="1"/>
  <c r="M3408" i="1" s="1"/>
  <c r="K3407" i="1"/>
  <c r="M3407" i="1" s="1"/>
  <c r="K3406" i="1"/>
  <c r="M3406" i="1" s="1"/>
  <c r="K3405" i="1"/>
  <c r="M3405" i="1" s="1"/>
  <c r="K3404" i="1"/>
  <c r="M3404" i="1" s="1"/>
  <c r="K3403" i="1"/>
  <c r="M3403" i="1" s="1"/>
  <c r="K3402" i="1"/>
  <c r="M3402" i="1" s="1"/>
  <c r="K3401" i="1"/>
  <c r="M3401" i="1" s="1"/>
  <c r="K3400" i="1"/>
  <c r="M3400" i="1" s="1"/>
  <c r="K3399" i="1"/>
  <c r="M3399" i="1" s="1"/>
  <c r="K3398" i="1"/>
  <c r="M3398" i="1" s="1"/>
  <c r="K3397" i="1"/>
  <c r="M3397" i="1" s="1"/>
  <c r="K3396" i="1"/>
  <c r="M3396" i="1" s="1"/>
  <c r="K3395" i="1"/>
  <c r="M3395" i="1" s="1"/>
  <c r="K3394" i="1"/>
  <c r="M3394" i="1" s="1"/>
  <c r="K3393" i="1"/>
  <c r="M3393" i="1" s="1"/>
  <c r="K3392" i="1"/>
  <c r="M3392" i="1" s="1"/>
  <c r="K3391" i="1"/>
  <c r="M3391" i="1" s="1"/>
  <c r="K3390" i="1"/>
  <c r="M3390" i="1" s="1"/>
  <c r="K3389" i="1"/>
  <c r="M3389" i="1" s="1"/>
  <c r="Q3388" i="1"/>
  <c r="T3388" i="1" s="1"/>
  <c r="K3388" i="1"/>
  <c r="M3388" i="1" s="1"/>
  <c r="K3387" i="1"/>
  <c r="M3387" i="1" s="1"/>
  <c r="K3386" i="1"/>
  <c r="M3386" i="1" s="1"/>
  <c r="K3385" i="1"/>
  <c r="M3385" i="1" s="1"/>
  <c r="K3384" i="1"/>
  <c r="M3384" i="1" s="1"/>
  <c r="K3383" i="1"/>
  <c r="M3383" i="1" s="1"/>
  <c r="K3382" i="1"/>
  <c r="M3382" i="1" s="1"/>
  <c r="K3381" i="1"/>
  <c r="M3381" i="1" s="1"/>
  <c r="K3380" i="1"/>
  <c r="M3380" i="1" s="1"/>
  <c r="K3379" i="1"/>
  <c r="M3379" i="1" s="1"/>
  <c r="K3378" i="1"/>
  <c r="M3378" i="1" s="1"/>
  <c r="K3377" i="1"/>
  <c r="M3377" i="1" s="1"/>
  <c r="K3376" i="1"/>
  <c r="M3376" i="1" s="1"/>
  <c r="K3375" i="1"/>
  <c r="M3375" i="1" s="1"/>
  <c r="K3374" i="1"/>
  <c r="M3374" i="1" s="1"/>
  <c r="K3373" i="1"/>
  <c r="M3373" i="1" s="1"/>
  <c r="K3372" i="1"/>
  <c r="M3372" i="1" s="1"/>
  <c r="Q3371" i="1"/>
  <c r="T3371" i="1" s="1"/>
  <c r="G3371" i="1"/>
  <c r="K3371" i="1" s="1"/>
  <c r="M3371" i="1" s="1"/>
  <c r="K3370" i="1"/>
  <c r="M3370" i="1" s="1"/>
  <c r="K3369" i="1"/>
  <c r="M3369" i="1" s="1"/>
  <c r="K3368" i="1"/>
  <c r="M3368" i="1" s="1"/>
  <c r="K3367" i="1"/>
  <c r="M3367" i="1" s="1"/>
  <c r="K3366" i="1"/>
  <c r="M3366" i="1" s="1"/>
  <c r="Q3365" i="1"/>
  <c r="T3365" i="1" s="1"/>
  <c r="G3365" i="1"/>
  <c r="K3365" i="1" s="1"/>
  <c r="M3365" i="1" s="1"/>
  <c r="K3364" i="1"/>
  <c r="M3364" i="1" s="1"/>
  <c r="K3363" i="1"/>
  <c r="M3363" i="1" s="1"/>
  <c r="K3362" i="1"/>
  <c r="M3362" i="1" s="1"/>
  <c r="K3361" i="1"/>
  <c r="M3361" i="1" s="1"/>
  <c r="K3360" i="1"/>
  <c r="M3360" i="1" s="1"/>
  <c r="K3359" i="1"/>
  <c r="M3359" i="1" s="1"/>
  <c r="K3358" i="1"/>
  <c r="M3358" i="1" s="1"/>
  <c r="K3357" i="1"/>
  <c r="M3357" i="1" s="1"/>
  <c r="K3356" i="1"/>
  <c r="M3356" i="1" s="1"/>
  <c r="K3355" i="1"/>
  <c r="M3355" i="1" s="1"/>
  <c r="K3354" i="1"/>
  <c r="M3354" i="1" s="1"/>
  <c r="K3353" i="1"/>
  <c r="M3353" i="1" s="1"/>
  <c r="K3352" i="1"/>
  <c r="M3352" i="1" s="1"/>
  <c r="K3351" i="1"/>
  <c r="M3351" i="1" s="1"/>
  <c r="K3350" i="1"/>
  <c r="M3350" i="1" s="1"/>
  <c r="K3349" i="1"/>
  <c r="M3349" i="1" s="1"/>
  <c r="K3348" i="1"/>
  <c r="M3348" i="1" s="1"/>
  <c r="K3347" i="1"/>
  <c r="M3347" i="1" s="1"/>
  <c r="K3346" i="1"/>
  <c r="M3346" i="1" s="1"/>
  <c r="K3345" i="1"/>
  <c r="M3345" i="1" s="1"/>
  <c r="K3344" i="1"/>
  <c r="M3344" i="1" s="1"/>
  <c r="K3343" i="1"/>
  <c r="M3343" i="1" s="1"/>
  <c r="K3342" i="1"/>
  <c r="M3342" i="1" s="1"/>
  <c r="K3341" i="1"/>
  <c r="M3341" i="1" s="1"/>
  <c r="K3340" i="1"/>
  <c r="M3340" i="1" s="1"/>
  <c r="K3339" i="1"/>
  <c r="M3339" i="1" s="1"/>
  <c r="Q3338" i="1"/>
  <c r="T3338" i="1" s="1"/>
  <c r="K3338" i="1"/>
  <c r="M3338" i="1" s="1"/>
  <c r="K3337" i="1"/>
  <c r="M3337" i="1" s="1"/>
  <c r="K3336" i="1"/>
  <c r="M3336" i="1" s="1"/>
  <c r="K3335" i="1"/>
  <c r="M3335" i="1" s="1"/>
  <c r="K3334" i="1"/>
  <c r="M3334" i="1" s="1"/>
  <c r="K3333" i="1"/>
  <c r="M3333" i="1" s="1"/>
  <c r="K3332" i="1"/>
  <c r="M3332" i="1" s="1"/>
  <c r="K3331" i="1"/>
  <c r="M3331" i="1" s="1"/>
  <c r="K3330" i="1"/>
  <c r="M3330" i="1" s="1"/>
  <c r="K3329" i="1"/>
  <c r="M3329" i="1" s="1"/>
  <c r="K3328" i="1"/>
  <c r="M3328" i="1" s="1"/>
  <c r="K3327" i="1"/>
  <c r="M3327" i="1" s="1"/>
  <c r="K3326" i="1"/>
  <c r="M3326" i="1" s="1"/>
  <c r="K3325" i="1"/>
  <c r="M3325" i="1" s="1"/>
  <c r="K3324" i="1"/>
  <c r="M3324" i="1" s="1"/>
  <c r="K3323" i="1"/>
  <c r="M3323" i="1" s="1"/>
  <c r="K3322" i="1"/>
  <c r="M3322" i="1" s="1"/>
  <c r="K3321" i="1"/>
  <c r="M3321" i="1" s="1"/>
  <c r="K3320" i="1"/>
  <c r="M3320" i="1" s="1"/>
  <c r="K3319" i="1"/>
  <c r="M3319" i="1" s="1"/>
  <c r="K3318" i="1"/>
  <c r="M3318" i="1" s="1"/>
  <c r="K3317" i="1"/>
  <c r="M3317" i="1" s="1"/>
  <c r="K3316" i="1"/>
  <c r="M3316" i="1" s="1"/>
  <c r="K3315" i="1"/>
  <c r="M3315" i="1" s="1"/>
  <c r="Q3314" i="1"/>
  <c r="T3314" i="1" s="1"/>
  <c r="G3314" i="1"/>
  <c r="K3314" i="1" s="1"/>
  <c r="M3314" i="1" s="1"/>
  <c r="K3313" i="1"/>
  <c r="M3313" i="1" s="1"/>
  <c r="K3312" i="1"/>
  <c r="M3312" i="1" s="1"/>
  <c r="K3311" i="1"/>
  <c r="M3311" i="1" s="1"/>
  <c r="K3310" i="1"/>
  <c r="M3310" i="1" s="1"/>
  <c r="K3309" i="1"/>
  <c r="M3309" i="1" s="1"/>
  <c r="K3308" i="1"/>
  <c r="M3308" i="1" s="1"/>
  <c r="K3307" i="1"/>
  <c r="M3307" i="1" s="1"/>
  <c r="K3306" i="1"/>
  <c r="M3306" i="1" s="1"/>
  <c r="K3305" i="1"/>
  <c r="M3305" i="1" s="1"/>
  <c r="K3304" i="1"/>
  <c r="M3304" i="1" s="1"/>
  <c r="K3303" i="1"/>
  <c r="M3303" i="1" s="1"/>
  <c r="K3302" i="1"/>
  <c r="M3302" i="1" s="1"/>
  <c r="K3301" i="1"/>
  <c r="M3301" i="1" s="1"/>
  <c r="K3300" i="1"/>
  <c r="M3300" i="1" s="1"/>
  <c r="K3299" i="1"/>
  <c r="M3299" i="1" s="1"/>
  <c r="K3298" i="1"/>
  <c r="M3298" i="1" s="1"/>
  <c r="K3297" i="1"/>
  <c r="M3297" i="1" s="1"/>
  <c r="Q3296" i="1"/>
  <c r="T3296" i="1" s="1"/>
  <c r="K3296" i="1"/>
  <c r="M3296" i="1" s="1"/>
  <c r="K3295" i="1"/>
  <c r="M3295" i="1" s="1"/>
  <c r="K3294" i="1"/>
  <c r="M3294" i="1" s="1"/>
  <c r="K3293" i="1"/>
  <c r="M3293" i="1" s="1"/>
  <c r="K3292" i="1"/>
  <c r="M3292" i="1" s="1"/>
  <c r="K3291" i="1"/>
  <c r="M3291" i="1" s="1"/>
  <c r="K3290" i="1"/>
  <c r="M3290" i="1" s="1"/>
  <c r="K3289" i="1"/>
  <c r="M3289" i="1" s="1"/>
  <c r="K3288" i="1"/>
  <c r="M3288" i="1" s="1"/>
  <c r="T3287" i="1"/>
  <c r="K3287" i="1"/>
  <c r="M3287" i="1" s="1"/>
  <c r="K3286" i="1"/>
  <c r="M3286" i="1" s="1"/>
  <c r="K3285" i="1"/>
  <c r="M3285" i="1" s="1"/>
  <c r="K3284" i="1"/>
  <c r="M3284" i="1" s="1"/>
  <c r="K3283" i="1"/>
  <c r="M3283" i="1" s="1"/>
  <c r="K3282" i="1"/>
  <c r="M3282" i="1" s="1"/>
  <c r="K3281" i="1"/>
  <c r="M3281" i="1" s="1"/>
  <c r="K3280" i="1"/>
  <c r="M3280" i="1" s="1"/>
  <c r="K3279" i="1"/>
  <c r="M3279" i="1" s="1"/>
  <c r="K3278" i="1"/>
  <c r="M3278" i="1" s="1"/>
  <c r="K3277" i="1"/>
  <c r="M3277" i="1" s="1"/>
  <c r="K3276" i="1"/>
  <c r="M3276" i="1" s="1"/>
  <c r="K3275" i="1"/>
  <c r="M3275" i="1" s="1"/>
  <c r="K3274" i="1"/>
  <c r="M3274" i="1" s="1"/>
  <c r="K3273" i="1"/>
  <c r="M3273" i="1" s="1"/>
  <c r="K3272" i="1"/>
  <c r="M3272" i="1" s="1"/>
  <c r="K3271" i="1"/>
  <c r="M3271" i="1" s="1"/>
  <c r="K3270" i="1"/>
  <c r="M3270" i="1" s="1"/>
  <c r="K3269" i="1"/>
  <c r="M3269" i="1" s="1"/>
  <c r="K3268" i="1"/>
  <c r="M3268" i="1" s="1"/>
  <c r="K3267" i="1"/>
  <c r="M3267" i="1" s="1"/>
  <c r="K3266" i="1"/>
  <c r="M3266" i="1" s="1"/>
  <c r="Q3265" i="1"/>
  <c r="T3265" i="1" s="1"/>
  <c r="I3265" i="1"/>
  <c r="K3265" i="1" s="1"/>
  <c r="M3265" i="1" s="1"/>
  <c r="K3264" i="1"/>
  <c r="M3264" i="1" s="1"/>
  <c r="K3263" i="1"/>
  <c r="M3263" i="1" s="1"/>
  <c r="K3262" i="1"/>
  <c r="M3262" i="1" s="1"/>
  <c r="K3261" i="1"/>
  <c r="M3261" i="1" s="1"/>
  <c r="K3260" i="1"/>
  <c r="M3260" i="1" s="1"/>
  <c r="K3259" i="1"/>
  <c r="M3259" i="1" s="1"/>
  <c r="K3258" i="1"/>
  <c r="M3258" i="1" s="1"/>
  <c r="K3257" i="1"/>
  <c r="M3257" i="1" s="1"/>
  <c r="K3256" i="1"/>
  <c r="M3256" i="1" s="1"/>
  <c r="K3255" i="1"/>
  <c r="M3255" i="1" s="1"/>
  <c r="K3254" i="1"/>
  <c r="M3254" i="1" s="1"/>
  <c r="K3253" i="1"/>
  <c r="M3253" i="1" s="1"/>
  <c r="K3252" i="1"/>
  <c r="M3252" i="1" s="1"/>
  <c r="K3251" i="1"/>
  <c r="M3251" i="1" s="1"/>
  <c r="K3250" i="1"/>
  <c r="M3250" i="1" s="1"/>
  <c r="Q3249" i="1"/>
  <c r="T3249" i="1" s="1"/>
  <c r="K3249" i="1"/>
  <c r="M3249" i="1" s="1"/>
  <c r="K3248" i="1"/>
  <c r="M3248" i="1" s="1"/>
  <c r="K3247" i="1"/>
  <c r="M3247" i="1" s="1"/>
  <c r="K3246" i="1"/>
  <c r="M3246" i="1" s="1"/>
  <c r="K3245" i="1"/>
  <c r="M3245" i="1" s="1"/>
  <c r="K3244" i="1"/>
  <c r="M3244" i="1" s="1"/>
  <c r="K3243" i="1"/>
  <c r="M3243" i="1" s="1"/>
  <c r="K3242" i="1"/>
  <c r="M3242" i="1" s="1"/>
  <c r="K3241" i="1"/>
  <c r="M3241" i="1" s="1"/>
  <c r="K3240" i="1"/>
  <c r="M3240" i="1" s="1"/>
  <c r="K3239" i="1"/>
  <c r="M3239" i="1" s="1"/>
  <c r="K3238" i="1"/>
  <c r="M3238" i="1" s="1"/>
  <c r="K3237" i="1"/>
  <c r="M3237" i="1" s="1"/>
  <c r="K3236" i="1"/>
  <c r="M3236" i="1" s="1"/>
  <c r="K3235" i="1"/>
  <c r="M3235" i="1" s="1"/>
  <c r="K3234" i="1"/>
  <c r="M3234" i="1" s="1"/>
  <c r="K3233" i="1"/>
  <c r="M3233" i="1" s="1"/>
  <c r="K3232" i="1"/>
  <c r="M3232" i="1" s="1"/>
  <c r="K3231" i="1"/>
  <c r="M3231" i="1" s="1"/>
  <c r="K3230" i="1"/>
  <c r="M3230" i="1" s="1"/>
  <c r="K3229" i="1"/>
  <c r="M3229" i="1" s="1"/>
  <c r="K3228" i="1"/>
  <c r="M3228" i="1" s="1"/>
  <c r="K3227" i="1"/>
  <c r="M3227" i="1" s="1"/>
  <c r="K3226" i="1"/>
  <c r="M3226" i="1" s="1"/>
  <c r="K3225" i="1"/>
  <c r="M3225" i="1" s="1"/>
  <c r="K3224" i="1"/>
  <c r="M3224" i="1" s="1"/>
  <c r="K3223" i="1"/>
  <c r="M3223" i="1" s="1"/>
  <c r="K3222" i="1"/>
  <c r="M3222" i="1" s="1"/>
  <c r="K3221" i="1"/>
  <c r="M3221" i="1" s="1"/>
  <c r="K3220" i="1"/>
  <c r="M3220" i="1" s="1"/>
  <c r="K3219" i="1"/>
  <c r="M3219" i="1" s="1"/>
  <c r="K3218" i="1"/>
  <c r="M3218" i="1" s="1"/>
  <c r="K3217" i="1"/>
  <c r="M3217" i="1" s="1"/>
  <c r="K3216" i="1"/>
  <c r="M3216" i="1" s="1"/>
  <c r="K3215" i="1"/>
  <c r="M3215" i="1" s="1"/>
  <c r="K3214" i="1"/>
  <c r="M3214" i="1" s="1"/>
  <c r="K3213" i="1"/>
  <c r="M3213" i="1" s="1"/>
  <c r="K3212" i="1"/>
  <c r="M3212" i="1" s="1"/>
  <c r="K3211" i="1"/>
  <c r="M3211" i="1" s="1"/>
  <c r="K3210" i="1"/>
  <c r="M3210" i="1" s="1"/>
  <c r="K3209" i="1"/>
  <c r="M3209" i="1" s="1"/>
  <c r="K3208" i="1"/>
  <c r="M3208" i="1" s="1"/>
  <c r="K3207" i="1"/>
  <c r="M3207" i="1" s="1"/>
  <c r="K3206" i="1"/>
  <c r="M3206" i="1" s="1"/>
  <c r="K3205" i="1"/>
  <c r="M3205" i="1" s="1"/>
  <c r="K3204" i="1"/>
  <c r="M3204" i="1" s="1"/>
  <c r="K3203" i="1"/>
  <c r="M3203" i="1" s="1"/>
  <c r="K3202" i="1"/>
  <c r="M3202" i="1" s="1"/>
  <c r="K3201" i="1"/>
  <c r="M3201" i="1" s="1"/>
  <c r="K3200" i="1"/>
  <c r="M3200" i="1" s="1"/>
  <c r="K3199" i="1"/>
  <c r="M3199" i="1" s="1"/>
  <c r="K3198" i="1"/>
  <c r="M3198" i="1" s="1"/>
  <c r="K3197" i="1"/>
  <c r="M3197" i="1" s="1"/>
  <c r="K3196" i="1"/>
  <c r="M3196" i="1" s="1"/>
  <c r="K3195" i="1"/>
  <c r="M3195" i="1" s="1"/>
  <c r="K3194" i="1"/>
  <c r="M3194" i="1" s="1"/>
  <c r="K3193" i="1"/>
  <c r="M3193" i="1" s="1"/>
  <c r="K3192" i="1"/>
  <c r="M3192" i="1" s="1"/>
  <c r="K3191" i="1"/>
  <c r="M3191" i="1" s="1"/>
  <c r="K3190" i="1"/>
  <c r="M3190" i="1" s="1"/>
  <c r="O3189" i="1"/>
  <c r="K3189" i="1"/>
  <c r="M3189" i="1" s="1"/>
  <c r="K3188" i="1"/>
  <c r="M3188" i="1" s="1"/>
  <c r="K3187" i="1"/>
  <c r="M3187" i="1" s="1"/>
  <c r="K3186" i="1"/>
  <c r="M3186" i="1" s="1"/>
  <c r="K3185" i="1"/>
  <c r="M3185" i="1" s="1"/>
  <c r="K3184" i="1"/>
  <c r="M3184" i="1" s="1"/>
  <c r="K3183" i="1"/>
  <c r="M3183" i="1" s="1"/>
  <c r="K3182" i="1"/>
  <c r="M3182" i="1" s="1"/>
  <c r="K3181" i="1"/>
  <c r="M3181" i="1" s="1"/>
  <c r="K3180" i="1"/>
  <c r="M3180" i="1" s="1"/>
  <c r="K3179" i="1"/>
  <c r="M3179" i="1" s="1"/>
  <c r="K3178" i="1"/>
  <c r="M3178" i="1" s="1"/>
  <c r="K3177" i="1"/>
  <c r="M3177" i="1" s="1"/>
  <c r="K3176" i="1"/>
  <c r="M3176" i="1" s="1"/>
  <c r="K3175" i="1"/>
  <c r="M3175" i="1" s="1"/>
  <c r="K3174" i="1"/>
  <c r="M3174" i="1" s="1"/>
  <c r="K3173" i="1"/>
  <c r="M3173" i="1" s="1"/>
  <c r="T3172" i="1"/>
  <c r="K3172" i="1"/>
  <c r="M3172" i="1" s="1"/>
  <c r="K3171" i="1"/>
  <c r="M3171" i="1" s="1"/>
  <c r="K3170" i="1"/>
  <c r="M3170" i="1" s="1"/>
  <c r="K3169" i="1"/>
  <c r="M3169" i="1" s="1"/>
  <c r="K3168" i="1"/>
  <c r="M3168" i="1" s="1"/>
  <c r="K3167" i="1"/>
  <c r="M3167" i="1" s="1"/>
  <c r="K3166" i="1"/>
  <c r="M3166" i="1" s="1"/>
  <c r="K3165" i="1"/>
  <c r="M3165" i="1" s="1"/>
  <c r="K3164" i="1"/>
  <c r="M3164" i="1" s="1"/>
  <c r="K3163" i="1"/>
  <c r="M3163" i="1" s="1"/>
  <c r="K3162" i="1"/>
  <c r="M3162" i="1" s="1"/>
  <c r="K3161" i="1"/>
  <c r="M3161" i="1" s="1"/>
  <c r="K3160" i="1"/>
  <c r="M3160" i="1" s="1"/>
  <c r="K3159" i="1"/>
  <c r="M3159" i="1" s="1"/>
  <c r="K3158" i="1"/>
  <c r="M3158" i="1" s="1"/>
  <c r="K3157" i="1"/>
  <c r="M3157" i="1" s="1"/>
  <c r="K3156" i="1"/>
  <c r="M3156" i="1" s="1"/>
  <c r="K3155" i="1"/>
  <c r="M3155" i="1" s="1"/>
  <c r="K3154" i="1"/>
  <c r="M3154" i="1" s="1"/>
  <c r="K3153" i="1"/>
  <c r="M3153" i="1" s="1"/>
  <c r="K3152" i="1"/>
  <c r="M3152" i="1" s="1"/>
  <c r="K3151" i="1"/>
  <c r="M3151" i="1" s="1"/>
  <c r="K3150" i="1"/>
  <c r="M3150" i="1" s="1"/>
  <c r="K3149" i="1"/>
  <c r="M3149" i="1" s="1"/>
  <c r="K3148" i="1"/>
  <c r="M3148" i="1" s="1"/>
  <c r="K3147" i="1"/>
  <c r="M3147" i="1" s="1"/>
  <c r="K3146" i="1"/>
  <c r="M3146" i="1" s="1"/>
  <c r="K3145" i="1"/>
  <c r="M3145" i="1" s="1"/>
  <c r="K3144" i="1"/>
  <c r="M3144" i="1" s="1"/>
  <c r="K3143" i="1"/>
  <c r="M3143" i="1" s="1"/>
  <c r="K3142" i="1"/>
  <c r="M3142" i="1" s="1"/>
  <c r="K3141" i="1"/>
  <c r="M3141" i="1" s="1"/>
  <c r="K3140" i="1"/>
  <c r="M3140" i="1" s="1"/>
  <c r="K3139" i="1"/>
  <c r="M3139" i="1" s="1"/>
  <c r="K3138" i="1"/>
  <c r="M3138" i="1" s="1"/>
  <c r="K3137" i="1"/>
  <c r="M3137" i="1" s="1"/>
  <c r="K3136" i="1"/>
  <c r="M3136" i="1" s="1"/>
  <c r="K3135" i="1"/>
  <c r="M3135" i="1" s="1"/>
  <c r="K3134" i="1"/>
  <c r="M3134" i="1" s="1"/>
  <c r="K3133" i="1"/>
  <c r="M3133" i="1" s="1"/>
  <c r="K3132" i="1"/>
  <c r="M3132" i="1" s="1"/>
  <c r="K3131" i="1"/>
  <c r="M3131" i="1" s="1"/>
  <c r="K3130" i="1"/>
  <c r="M3130" i="1" s="1"/>
  <c r="K3129" i="1"/>
  <c r="M3129" i="1" s="1"/>
  <c r="K3128" i="1"/>
  <c r="M3128" i="1" s="1"/>
  <c r="K3127" i="1"/>
  <c r="M3127" i="1" s="1"/>
  <c r="K3126" i="1"/>
  <c r="M3126" i="1" s="1"/>
  <c r="K3125" i="1"/>
  <c r="M3125" i="1" s="1"/>
  <c r="K3124" i="1"/>
  <c r="M3124" i="1" s="1"/>
  <c r="K3123" i="1"/>
  <c r="M3123" i="1" s="1"/>
  <c r="K3122" i="1"/>
  <c r="M3122" i="1" s="1"/>
  <c r="K3121" i="1"/>
  <c r="M3121" i="1" s="1"/>
  <c r="K3120" i="1"/>
  <c r="M3120" i="1" s="1"/>
  <c r="K3119" i="1"/>
  <c r="M3119" i="1" s="1"/>
  <c r="K3118" i="1"/>
  <c r="M3118" i="1" s="1"/>
  <c r="K3117" i="1"/>
  <c r="M3117" i="1" s="1"/>
  <c r="K3116" i="1"/>
  <c r="M3116" i="1" s="1"/>
  <c r="K3115" i="1"/>
  <c r="M3115" i="1" s="1"/>
  <c r="K3114" i="1"/>
  <c r="M3114" i="1" s="1"/>
  <c r="K3113" i="1"/>
  <c r="M3113" i="1" s="1"/>
  <c r="K3112" i="1"/>
  <c r="M3112" i="1" s="1"/>
  <c r="K3111" i="1"/>
  <c r="M3111" i="1" s="1"/>
  <c r="K3110" i="1"/>
  <c r="M3110" i="1" s="1"/>
  <c r="K3109" i="1"/>
  <c r="M3109" i="1" s="1"/>
  <c r="K3108" i="1"/>
  <c r="M3108" i="1" s="1"/>
  <c r="K3107" i="1"/>
  <c r="M3107" i="1" s="1"/>
  <c r="K3106" i="1"/>
  <c r="M3106" i="1" s="1"/>
  <c r="K3105" i="1"/>
  <c r="M3105" i="1" s="1"/>
  <c r="K3104" i="1"/>
  <c r="M3104" i="1" s="1"/>
  <c r="K3103" i="1"/>
  <c r="M3103" i="1" s="1"/>
  <c r="K3102" i="1"/>
  <c r="M3102" i="1" s="1"/>
  <c r="K3101" i="1"/>
  <c r="M3101" i="1" s="1"/>
  <c r="K3100" i="1"/>
  <c r="M3100" i="1" s="1"/>
  <c r="T3099" i="1"/>
  <c r="K3099" i="1"/>
  <c r="M3099" i="1" s="1"/>
  <c r="K3098" i="1"/>
  <c r="M3098" i="1" s="1"/>
  <c r="K3097" i="1"/>
  <c r="M3097" i="1" s="1"/>
  <c r="K3096" i="1"/>
  <c r="M3096" i="1" s="1"/>
  <c r="K3095" i="1"/>
  <c r="M3095" i="1" s="1"/>
  <c r="K3094" i="1"/>
  <c r="M3094" i="1" s="1"/>
  <c r="K3093" i="1"/>
  <c r="M3093" i="1" s="1"/>
  <c r="K3092" i="1"/>
  <c r="M3092" i="1" s="1"/>
  <c r="T3091" i="1"/>
  <c r="K3091" i="1"/>
  <c r="M3091" i="1" s="1"/>
  <c r="K3090" i="1"/>
  <c r="M3090" i="1" s="1"/>
  <c r="T3089" i="1"/>
  <c r="K3089" i="1"/>
  <c r="M3089" i="1" s="1"/>
  <c r="K3088" i="1"/>
  <c r="M3088" i="1" s="1"/>
  <c r="K3087" i="1"/>
  <c r="M3087" i="1" s="1"/>
  <c r="K3086" i="1"/>
  <c r="M3086" i="1" s="1"/>
  <c r="K3085" i="1"/>
  <c r="M3085" i="1" s="1"/>
  <c r="K3084" i="1"/>
  <c r="M3084" i="1" s="1"/>
  <c r="K3083" i="1"/>
  <c r="M3083" i="1" s="1"/>
  <c r="K3082" i="1"/>
  <c r="M3082" i="1" s="1"/>
  <c r="K3081" i="1"/>
  <c r="M3081" i="1" s="1"/>
  <c r="K3080" i="1"/>
  <c r="M3080" i="1" s="1"/>
  <c r="K3079" i="1"/>
  <c r="M3079" i="1" s="1"/>
  <c r="K3078" i="1"/>
  <c r="M3078" i="1" s="1"/>
  <c r="K3077" i="1"/>
  <c r="M3077" i="1" s="1"/>
  <c r="K3076" i="1"/>
  <c r="M3076" i="1" s="1"/>
  <c r="K3075" i="1"/>
  <c r="M3075" i="1" s="1"/>
  <c r="K3074" i="1"/>
  <c r="M3074" i="1" s="1"/>
  <c r="K3073" i="1"/>
  <c r="M3073" i="1" s="1"/>
  <c r="K3072" i="1"/>
  <c r="M3072" i="1" s="1"/>
  <c r="Q3071" i="1"/>
  <c r="T3071" i="1" s="1"/>
  <c r="K3071" i="1"/>
  <c r="M3071" i="1" s="1"/>
  <c r="K3070" i="1"/>
  <c r="M3070" i="1" s="1"/>
  <c r="K3069" i="1"/>
  <c r="M3069" i="1" s="1"/>
  <c r="K3068" i="1"/>
  <c r="M3068" i="1" s="1"/>
  <c r="K3067" i="1"/>
  <c r="M3067" i="1" s="1"/>
  <c r="K3066" i="1"/>
  <c r="M3066" i="1" s="1"/>
  <c r="K3065" i="1"/>
  <c r="M3065" i="1" s="1"/>
  <c r="K3064" i="1"/>
  <c r="M3064" i="1" s="1"/>
  <c r="K3063" i="1"/>
  <c r="M3063" i="1" s="1"/>
  <c r="K3062" i="1"/>
  <c r="M3062" i="1" s="1"/>
  <c r="K3061" i="1"/>
  <c r="M3061" i="1" s="1"/>
  <c r="K3060" i="1"/>
  <c r="M3060" i="1" s="1"/>
  <c r="K3059" i="1"/>
  <c r="M3059" i="1" s="1"/>
  <c r="K3058" i="1"/>
  <c r="M3058" i="1" s="1"/>
  <c r="Q3057" i="1"/>
  <c r="T3057" i="1" s="1"/>
  <c r="G3057" i="1"/>
  <c r="K3057" i="1" s="1"/>
  <c r="M3057" i="1" s="1"/>
  <c r="K3056" i="1"/>
  <c r="M3056" i="1" s="1"/>
  <c r="K3055" i="1"/>
  <c r="M3055" i="1" s="1"/>
  <c r="K3054" i="1"/>
  <c r="M3054" i="1" s="1"/>
  <c r="K3053" i="1"/>
  <c r="M3053" i="1" s="1"/>
  <c r="K3052" i="1"/>
  <c r="M3052" i="1" s="1"/>
  <c r="K3051" i="1"/>
  <c r="M3051" i="1" s="1"/>
  <c r="K3050" i="1"/>
  <c r="M3050" i="1" s="1"/>
  <c r="T3049" i="1"/>
  <c r="K3049" i="1"/>
  <c r="M3049" i="1" s="1"/>
  <c r="K3048" i="1"/>
  <c r="M3048" i="1" s="1"/>
  <c r="K3047" i="1"/>
  <c r="M3047" i="1" s="1"/>
  <c r="K3046" i="1"/>
  <c r="M3046" i="1" s="1"/>
  <c r="K3045" i="1"/>
  <c r="M3045" i="1" s="1"/>
  <c r="K3044" i="1"/>
  <c r="M3044" i="1" s="1"/>
  <c r="K3043" i="1"/>
  <c r="M3043" i="1" s="1"/>
  <c r="K3042" i="1"/>
  <c r="M3042" i="1" s="1"/>
  <c r="K3041" i="1"/>
  <c r="M3041" i="1" s="1"/>
  <c r="K3040" i="1"/>
  <c r="M3040" i="1" s="1"/>
  <c r="K3039" i="1"/>
  <c r="M3039" i="1" s="1"/>
  <c r="K3038" i="1"/>
  <c r="M3038" i="1" s="1"/>
  <c r="K3037" i="1"/>
  <c r="M3037" i="1" s="1"/>
  <c r="K3036" i="1"/>
  <c r="M3036" i="1" s="1"/>
  <c r="K3035" i="1"/>
  <c r="M3035" i="1" s="1"/>
  <c r="K3034" i="1"/>
  <c r="M3034" i="1" s="1"/>
  <c r="K3033" i="1"/>
  <c r="M3033" i="1" s="1"/>
  <c r="K3032" i="1"/>
  <c r="M3032" i="1" s="1"/>
  <c r="K3031" i="1"/>
  <c r="M3031" i="1" s="1"/>
  <c r="K3030" i="1"/>
  <c r="M3030" i="1" s="1"/>
  <c r="K3029" i="1"/>
  <c r="M3029" i="1" s="1"/>
  <c r="K3028" i="1"/>
  <c r="M3028" i="1" s="1"/>
  <c r="K3027" i="1"/>
  <c r="M3027" i="1" s="1"/>
  <c r="K3026" i="1"/>
  <c r="M3026" i="1" s="1"/>
  <c r="K3025" i="1"/>
  <c r="M3025" i="1" s="1"/>
  <c r="K3024" i="1"/>
  <c r="M3024" i="1" s="1"/>
  <c r="K3023" i="1"/>
  <c r="M3023" i="1" s="1"/>
  <c r="K3022" i="1"/>
  <c r="M3022" i="1" s="1"/>
  <c r="K3021" i="1"/>
  <c r="M3021" i="1" s="1"/>
  <c r="K3020" i="1"/>
  <c r="M3020" i="1" s="1"/>
  <c r="K3019" i="1"/>
  <c r="M3019" i="1" s="1"/>
  <c r="K3018" i="1"/>
  <c r="M3018" i="1" s="1"/>
  <c r="K3017" i="1"/>
  <c r="M3017" i="1" s="1"/>
  <c r="K3016" i="1"/>
  <c r="M3016" i="1" s="1"/>
  <c r="K3015" i="1"/>
  <c r="M3015" i="1" s="1"/>
  <c r="K3014" i="1"/>
  <c r="M3014" i="1" s="1"/>
  <c r="K3013" i="1"/>
  <c r="M3013" i="1" s="1"/>
  <c r="K3012" i="1"/>
  <c r="M3012" i="1" s="1"/>
  <c r="K3011" i="1"/>
  <c r="M3011" i="1" s="1"/>
  <c r="K3010" i="1"/>
  <c r="M3010" i="1" s="1"/>
  <c r="K3009" i="1"/>
  <c r="M3009" i="1" s="1"/>
  <c r="K3008" i="1"/>
  <c r="M3008" i="1" s="1"/>
  <c r="K3007" i="1"/>
  <c r="M3007" i="1" s="1"/>
  <c r="K3006" i="1"/>
  <c r="M3006" i="1" s="1"/>
  <c r="K3005" i="1"/>
  <c r="M3005" i="1" s="1"/>
  <c r="K3004" i="1"/>
  <c r="M3004" i="1" s="1"/>
  <c r="K3003" i="1"/>
  <c r="M3003" i="1" s="1"/>
  <c r="K3002" i="1"/>
  <c r="M3002" i="1" s="1"/>
  <c r="K3001" i="1"/>
  <c r="M3001" i="1" s="1"/>
  <c r="K3000" i="1"/>
  <c r="M3000" i="1" s="1"/>
  <c r="K2999" i="1"/>
  <c r="M2999" i="1" s="1"/>
  <c r="Q2998" i="1"/>
  <c r="T2998" i="1" s="1"/>
  <c r="K2998" i="1"/>
  <c r="M2998" i="1" s="1"/>
  <c r="K2997" i="1"/>
  <c r="M2997" i="1" s="1"/>
  <c r="K2996" i="1"/>
  <c r="M2996" i="1" s="1"/>
  <c r="K2995" i="1"/>
  <c r="M2995" i="1" s="1"/>
  <c r="K2994" i="1"/>
  <c r="M2994" i="1" s="1"/>
  <c r="K2993" i="1"/>
  <c r="M2993" i="1" s="1"/>
  <c r="K2992" i="1"/>
  <c r="M2992" i="1" s="1"/>
  <c r="K2991" i="1"/>
  <c r="M2991" i="1" s="1"/>
  <c r="T2990" i="1"/>
  <c r="K2990" i="1"/>
  <c r="M2990" i="1" s="1"/>
  <c r="K2989" i="1"/>
  <c r="M2989" i="1" s="1"/>
  <c r="K2988" i="1"/>
  <c r="M2988" i="1" s="1"/>
  <c r="K2987" i="1"/>
  <c r="M2987" i="1" s="1"/>
  <c r="K2986" i="1"/>
  <c r="M2986" i="1" s="1"/>
  <c r="T2985" i="1"/>
  <c r="G2985" i="1"/>
  <c r="K2985" i="1" s="1"/>
  <c r="M2985" i="1" s="1"/>
  <c r="K2984" i="1"/>
  <c r="M2984" i="1" s="1"/>
  <c r="K2983" i="1"/>
  <c r="M2983" i="1" s="1"/>
  <c r="K2982" i="1"/>
  <c r="M2982" i="1" s="1"/>
  <c r="K2981" i="1"/>
  <c r="M2981" i="1" s="1"/>
  <c r="K2980" i="1"/>
  <c r="M2980" i="1" s="1"/>
  <c r="K2979" i="1"/>
  <c r="M2979" i="1" s="1"/>
  <c r="K2978" i="1"/>
  <c r="M2978" i="1" s="1"/>
  <c r="K2977" i="1"/>
  <c r="M2977" i="1" s="1"/>
  <c r="K2976" i="1"/>
  <c r="M2976" i="1" s="1"/>
  <c r="Q2975" i="1"/>
  <c r="T2975" i="1" s="1"/>
  <c r="K2975" i="1"/>
  <c r="M2975" i="1" s="1"/>
  <c r="K2974" i="1"/>
  <c r="M2974" i="1" s="1"/>
  <c r="K2973" i="1"/>
  <c r="M2973" i="1" s="1"/>
  <c r="K2972" i="1"/>
  <c r="M2972" i="1" s="1"/>
  <c r="T2971" i="1"/>
  <c r="K2971" i="1"/>
  <c r="M2971" i="1" s="1"/>
  <c r="K2970" i="1"/>
  <c r="M2970" i="1" s="1"/>
  <c r="K2969" i="1"/>
  <c r="M2969" i="1" s="1"/>
  <c r="K2968" i="1"/>
  <c r="M2968" i="1" s="1"/>
  <c r="Q2967" i="1"/>
  <c r="T2967" i="1" s="1"/>
  <c r="K2967" i="1"/>
  <c r="M2967" i="1" s="1"/>
  <c r="K2966" i="1"/>
  <c r="M2966" i="1" s="1"/>
  <c r="Q2965" i="1"/>
  <c r="T2965" i="1" s="1"/>
  <c r="K2965" i="1"/>
  <c r="M2965" i="1" s="1"/>
  <c r="K2964" i="1"/>
  <c r="M2964" i="1" s="1"/>
  <c r="Q2963" i="1"/>
  <c r="T2963" i="1" s="1"/>
  <c r="H2963" i="1"/>
  <c r="K2963" i="1" s="1"/>
  <c r="F2963" i="1"/>
  <c r="K2962" i="1"/>
  <c r="M2962" i="1" s="1"/>
  <c r="K2961" i="1"/>
  <c r="M2961" i="1" s="1"/>
  <c r="Q2960" i="1"/>
  <c r="T2960" i="1" s="1"/>
  <c r="H2960" i="1"/>
  <c r="K2960" i="1" s="1"/>
  <c r="F2960" i="1"/>
  <c r="K2959" i="1"/>
  <c r="M2959" i="1" s="1"/>
  <c r="K2958" i="1"/>
  <c r="M2958" i="1" s="1"/>
  <c r="K2957" i="1"/>
  <c r="M2957" i="1" s="1"/>
  <c r="K2956" i="1"/>
  <c r="M2956" i="1" s="1"/>
  <c r="K2955" i="1"/>
  <c r="M2955" i="1" s="1"/>
  <c r="K2954" i="1"/>
  <c r="M2954" i="1" s="1"/>
  <c r="K2953" i="1"/>
  <c r="M2953" i="1" s="1"/>
  <c r="K2952" i="1"/>
  <c r="M2952" i="1" s="1"/>
  <c r="K2951" i="1"/>
  <c r="M2951" i="1" s="1"/>
  <c r="K2950" i="1"/>
  <c r="M2950" i="1" s="1"/>
  <c r="K2949" i="1"/>
  <c r="M2949" i="1" s="1"/>
  <c r="K2948" i="1"/>
  <c r="M2948" i="1" s="1"/>
  <c r="K2947" i="1"/>
  <c r="M2947" i="1" s="1"/>
  <c r="K2946" i="1"/>
  <c r="M2946" i="1" s="1"/>
  <c r="Q2945" i="1"/>
  <c r="T2945" i="1" s="1"/>
  <c r="H2945" i="1"/>
  <c r="K2945" i="1" s="1"/>
  <c r="F2945" i="1"/>
  <c r="K2944" i="1"/>
  <c r="M2944" i="1" s="1"/>
  <c r="K2943" i="1"/>
  <c r="M2943" i="1" s="1"/>
  <c r="K2942" i="1"/>
  <c r="M2942" i="1" s="1"/>
  <c r="K2941" i="1"/>
  <c r="M2941" i="1" s="1"/>
  <c r="K2940" i="1"/>
  <c r="M2940" i="1" s="1"/>
  <c r="K2939" i="1"/>
  <c r="M2939" i="1" s="1"/>
  <c r="K2938" i="1"/>
  <c r="M2938" i="1" s="1"/>
  <c r="K2937" i="1"/>
  <c r="M2937" i="1" s="1"/>
  <c r="K2936" i="1"/>
  <c r="M2936" i="1" s="1"/>
  <c r="T2935" i="1"/>
  <c r="H2935" i="1"/>
  <c r="K2935" i="1" s="1"/>
  <c r="F2935" i="1"/>
  <c r="K2934" i="1"/>
  <c r="M2934" i="1" s="1"/>
  <c r="T2933" i="1"/>
  <c r="H2933" i="1"/>
  <c r="K2933" i="1" s="1"/>
  <c r="F2933" i="1"/>
  <c r="K2932" i="1"/>
  <c r="M2932" i="1" s="1"/>
  <c r="K2931" i="1"/>
  <c r="M2931" i="1" s="1"/>
  <c r="K2930" i="1"/>
  <c r="M2930" i="1" s="1"/>
  <c r="K2929" i="1"/>
  <c r="M2929" i="1" s="1"/>
  <c r="K2928" i="1"/>
  <c r="M2928" i="1" s="1"/>
  <c r="K2927" i="1"/>
  <c r="M2927" i="1" s="1"/>
  <c r="K2926" i="1"/>
  <c r="M2926" i="1" s="1"/>
  <c r="K2925" i="1"/>
  <c r="M2925" i="1" s="1"/>
  <c r="K2924" i="1"/>
  <c r="M2924" i="1" s="1"/>
  <c r="Q2923" i="1"/>
  <c r="T2923" i="1" s="1"/>
  <c r="N2923" i="1"/>
  <c r="K2923" i="1"/>
  <c r="M2923" i="1" s="1"/>
  <c r="K2922" i="1"/>
  <c r="M2922" i="1" s="1"/>
  <c r="K2921" i="1"/>
  <c r="M2921" i="1" s="1"/>
  <c r="K2920" i="1"/>
  <c r="M2920" i="1" s="1"/>
  <c r="K2919" i="1"/>
  <c r="M2919" i="1" s="1"/>
  <c r="K2918" i="1"/>
  <c r="M2918" i="1" s="1"/>
  <c r="K2917" i="1"/>
  <c r="M2917" i="1" s="1"/>
  <c r="K2916" i="1"/>
  <c r="M2916" i="1" s="1"/>
  <c r="K2915" i="1"/>
  <c r="M2915" i="1" s="1"/>
  <c r="K2914" i="1"/>
  <c r="M2914" i="1" s="1"/>
  <c r="T2913" i="1"/>
  <c r="K2913" i="1"/>
  <c r="M2913" i="1" s="1"/>
  <c r="K2912" i="1"/>
  <c r="M2912" i="1" s="1"/>
  <c r="K2911" i="1"/>
  <c r="M2911" i="1" s="1"/>
  <c r="K2910" i="1"/>
  <c r="M2910" i="1" s="1"/>
  <c r="T2909" i="1"/>
  <c r="K2909" i="1"/>
  <c r="M2909" i="1" s="1"/>
  <c r="K2908" i="1"/>
  <c r="M2908" i="1" s="1"/>
  <c r="K2907" i="1"/>
  <c r="M2907" i="1" s="1"/>
  <c r="T2906" i="1"/>
  <c r="K2906" i="1"/>
  <c r="M2906" i="1" s="1"/>
  <c r="K2905" i="1"/>
  <c r="M2905" i="1" s="1"/>
  <c r="K2904" i="1"/>
  <c r="M2904" i="1" s="1"/>
  <c r="K2903" i="1"/>
  <c r="M2903" i="1" s="1"/>
  <c r="K2902" i="1"/>
  <c r="M2902" i="1" s="1"/>
  <c r="K2901" i="1"/>
  <c r="M2901" i="1" s="1"/>
  <c r="K2900" i="1"/>
  <c r="M2900" i="1" s="1"/>
  <c r="K2899" i="1"/>
  <c r="M2899" i="1" s="1"/>
  <c r="K2898" i="1"/>
  <c r="M2898" i="1" s="1"/>
  <c r="K2897" i="1"/>
  <c r="M2897" i="1" s="1"/>
  <c r="K2896" i="1"/>
  <c r="M2896" i="1" s="1"/>
  <c r="K2895" i="1"/>
  <c r="M2895" i="1" s="1"/>
  <c r="K2894" i="1"/>
  <c r="M2894" i="1" s="1"/>
  <c r="K2893" i="1"/>
  <c r="M2893" i="1" s="1"/>
  <c r="K2892" i="1"/>
  <c r="M2892" i="1" s="1"/>
  <c r="K2891" i="1"/>
  <c r="M2891" i="1" s="1"/>
  <c r="K2890" i="1"/>
  <c r="M2890" i="1" s="1"/>
  <c r="K2889" i="1"/>
  <c r="M2889" i="1" s="1"/>
  <c r="K2888" i="1"/>
  <c r="M2888" i="1" s="1"/>
  <c r="K2887" i="1"/>
  <c r="M2887" i="1" s="1"/>
  <c r="K2886" i="1"/>
  <c r="M2886" i="1" s="1"/>
  <c r="K2885" i="1"/>
  <c r="M2885" i="1" s="1"/>
  <c r="K2884" i="1"/>
  <c r="M2884" i="1" s="1"/>
  <c r="K2883" i="1"/>
  <c r="M2883" i="1" s="1"/>
  <c r="K2882" i="1"/>
  <c r="M2882" i="1" s="1"/>
  <c r="K2881" i="1"/>
  <c r="M2881" i="1" s="1"/>
  <c r="K2880" i="1"/>
  <c r="M2880" i="1" s="1"/>
  <c r="K2879" i="1"/>
  <c r="M2879" i="1" s="1"/>
  <c r="K2878" i="1"/>
  <c r="M2878" i="1" s="1"/>
  <c r="K2877" i="1"/>
  <c r="M2877" i="1" s="1"/>
  <c r="K2876" i="1"/>
  <c r="M2876" i="1" s="1"/>
  <c r="K2875" i="1"/>
  <c r="M2875" i="1" s="1"/>
  <c r="K2874" i="1"/>
  <c r="M2874" i="1" s="1"/>
  <c r="K2873" i="1"/>
  <c r="M2873" i="1" s="1"/>
  <c r="K2872" i="1"/>
  <c r="M2872" i="1" s="1"/>
  <c r="T2871" i="1"/>
  <c r="K2871" i="1"/>
  <c r="M2871" i="1" s="1"/>
  <c r="K2870" i="1"/>
  <c r="M2870" i="1" s="1"/>
  <c r="K2869" i="1"/>
  <c r="M2869" i="1" s="1"/>
  <c r="K2868" i="1"/>
  <c r="M2868" i="1" s="1"/>
  <c r="K2867" i="1"/>
  <c r="M2867" i="1" s="1"/>
  <c r="K2866" i="1"/>
  <c r="M2866" i="1" s="1"/>
  <c r="K2865" i="1"/>
  <c r="M2865" i="1" s="1"/>
  <c r="K2864" i="1"/>
  <c r="M2864" i="1" s="1"/>
  <c r="K2863" i="1"/>
  <c r="M2863" i="1" s="1"/>
  <c r="K2862" i="1"/>
  <c r="M2862" i="1" s="1"/>
  <c r="K2861" i="1"/>
  <c r="M2861" i="1" s="1"/>
  <c r="K2860" i="1"/>
  <c r="M2860" i="1" s="1"/>
  <c r="K2859" i="1"/>
  <c r="M2859" i="1" s="1"/>
  <c r="K2858" i="1"/>
  <c r="M2858" i="1" s="1"/>
  <c r="K2857" i="1"/>
  <c r="M2857" i="1" s="1"/>
  <c r="K2856" i="1"/>
  <c r="M2856" i="1" s="1"/>
  <c r="K2855" i="1"/>
  <c r="M2855" i="1" s="1"/>
  <c r="K2854" i="1"/>
  <c r="M2854" i="1" s="1"/>
  <c r="K2853" i="1"/>
  <c r="M2853" i="1" s="1"/>
  <c r="K2852" i="1"/>
  <c r="M2852" i="1" s="1"/>
  <c r="K2851" i="1"/>
  <c r="M2851" i="1" s="1"/>
  <c r="K2850" i="1"/>
  <c r="M2850" i="1" s="1"/>
  <c r="K2849" i="1"/>
  <c r="M2849" i="1" s="1"/>
  <c r="K2848" i="1"/>
  <c r="M2848" i="1" s="1"/>
  <c r="K2847" i="1"/>
  <c r="M2847" i="1" s="1"/>
  <c r="K2846" i="1"/>
  <c r="M2846" i="1" s="1"/>
  <c r="K2845" i="1"/>
  <c r="M2845" i="1" s="1"/>
  <c r="K2844" i="1"/>
  <c r="M2844" i="1" s="1"/>
  <c r="K2843" i="1"/>
  <c r="M2843" i="1" s="1"/>
  <c r="K2842" i="1"/>
  <c r="M2842" i="1" s="1"/>
  <c r="K2841" i="1"/>
  <c r="M2841" i="1" s="1"/>
  <c r="K2840" i="1"/>
  <c r="M2840" i="1" s="1"/>
  <c r="K2839" i="1"/>
  <c r="M2839" i="1" s="1"/>
  <c r="K2838" i="1"/>
  <c r="M2838" i="1" s="1"/>
  <c r="K2837" i="1"/>
  <c r="M2837" i="1" s="1"/>
  <c r="K2836" i="1"/>
  <c r="M2836" i="1" s="1"/>
  <c r="K2835" i="1"/>
  <c r="M2835" i="1" s="1"/>
  <c r="K2834" i="1"/>
  <c r="M2834" i="1" s="1"/>
  <c r="K2833" i="1"/>
  <c r="M2833" i="1" s="1"/>
  <c r="K2832" i="1"/>
  <c r="M2832" i="1" s="1"/>
  <c r="K2831" i="1"/>
  <c r="M2831" i="1" s="1"/>
  <c r="K2830" i="1"/>
  <c r="M2830" i="1" s="1"/>
  <c r="K2829" i="1"/>
  <c r="M2829" i="1" s="1"/>
  <c r="K2828" i="1"/>
  <c r="M2828" i="1" s="1"/>
  <c r="K2827" i="1"/>
  <c r="M2827" i="1" s="1"/>
  <c r="K2826" i="1"/>
  <c r="M2826" i="1" s="1"/>
  <c r="K2825" i="1"/>
  <c r="M2825" i="1" s="1"/>
  <c r="K2824" i="1"/>
  <c r="M2824" i="1" s="1"/>
  <c r="K2823" i="1"/>
  <c r="M2823" i="1" s="1"/>
  <c r="K2822" i="1"/>
  <c r="M2822" i="1" s="1"/>
  <c r="K2821" i="1"/>
  <c r="M2821" i="1" s="1"/>
  <c r="K2820" i="1"/>
  <c r="M2820" i="1" s="1"/>
  <c r="K2819" i="1"/>
  <c r="M2819" i="1" s="1"/>
  <c r="K2818" i="1"/>
  <c r="M2818" i="1" s="1"/>
  <c r="K2817" i="1"/>
  <c r="M2817" i="1" s="1"/>
  <c r="Q2816" i="1"/>
  <c r="T2816" i="1" s="1"/>
  <c r="K2816" i="1"/>
  <c r="M2816" i="1" s="1"/>
  <c r="K2815" i="1"/>
  <c r="M2815" i="1" s="1"/>
  <c r="K2814" i="1"/>
  <c r="M2814" i="1" s="1"/>
  <c r="K2813" i="1"/>
  <c r="M2813" i="1" s="1"/>
  <c r="K2812" i="1"/>
  <c r="M2812" i="1" s="1"/>
  <c r="K2811" i="1"/>
  <c r="M2811" i="1" s="1"/>
  <c r="K2810" i="1"/>
  <c r="M2810" i="1" s="1"/>
  <c r="K2809" i="1"/>
  <c r="M2809" i="1" s="1"/>
  <c r="K2808" i="1"/>
  <c r="M2808" i="1" s="1"/>
  <c r="K2807" i="1"/>
  <c r="M2807" i="1" s="1"/>
  <c r="K2806" i="1"/>
  <c r="M2806" i="1" s="1"/>
  <c r="K2805" i="1"/>
  <c r="M2805" i="1" s="1"/>
  <c r="K2804" i="1"/>
  <c r="M2804" i="1" s="1"/>
  <c r="T2803" i="1"/>
  <c r="K2803" i="1"/>
  <c r="F2803" i="1"/>
  <c r="K2802" i="1"/>
  <c r="M2802" i="1" s="1"/>
  <c r="K2801" i="1"/>
  <c r="M2801" i="1" s="1"/>
  <c r="K2800" i="1"/>
  <c r="M2800" i="1" s="1"/>
  <c r="K2799" i="1"/>
  <c r="M2799" i="1" s="1"/>
  <c r="K2798" i="1"/>
  <c r="M2798" i="1" s="1"/>
  <c r="K2797" i="1"/>
  <c r="M2797" i="1" s="1"/>
  <c r="K2796" i="1"/>
  <c r="M2796" i="1" s="1"/>
  <c r="K2795" i="1"/>
  <c r="M2795" i="1" s="1"/>
  <c r="K2794" i="1"/>
  <c r="M2794" i="1" s="1"/>
  <c r="K2793" i="1"/>
  <c r="M2793" i="1" s="1"/>
  <c r="K2792" i="1"/>
  <c r="M2792" i="1" s="1"/>
  <c r="K2791" i="1"/>
  <c r="M2791" i="1" s="1"/>
  <c r="K2790" i="1"/>
  <c r="M2790" i="1" s="1"/>
  <c r="K2789" i="1"/>
  <c r="M2789" i="1" s="1"/>
  <c r="K2788" i="1"/>
  <c r="M2788" i="1" s="1"/>
  <c r="K2787" i="1"/>
  <c r="M2787" i="1" s="1"/>
  <c r="K2786" i="1"/>
  <c r="M2786" i="1" s="1"/>
  <c r="K2784" i="1"/>
  <c r="M2784" i="1" s="1"/>
  <c r="T2783" i="1"/>
  <c r="K2783" i="1"/>
  <c r="M2783" i="1" s="1"/>
  <c r="K2782" i="1"/>
  <c r="M2782" i="1" s="1"/>
  <c r="K2781" i="1"/>
  <c r="M2781" i="1" s="1"/>
  <c r="K2780" i="1"/>
  <c r="M2780" i="1" s="1"/>
  <c r="K2779" i="1"/>
  <c r="M2779" i="1" s="1"/>
  <c r="K2778" i="1"/>
  <c r="M2778" i="1" s="1"/>
  <c r="K2777" i="1"/>
  <c r="M2777" i="1" s="1"/>
  <c r="K2776" i="1"/>
  <c r="M2776" i="1" s="1"/>
  <c r="K2775" i="1"/>
  <c r="M2775" i="1" s="1"/>
  <c r="K2774" i="1"/>
  <c r="M2774" i="1" s="1"/>
  <c r="K2773" i="1"/>
  <c r="M2773" i="1" s="1"/>
  <c r="K2772" i="1"/>
  <c r="M2772" i="1" s="1"/>
  <c r="K2771" i="1"/>
  <c r="M2771" i="1" s="1"/>
  <c r="K2770" i="1"/>
  <c r="M2770" i="1" s="1"/>
  <c r="K2769" i="1"/>
  <c r="M2769" i="1" s="1"/>
  <c r="K2768" i="1"/>
  <c r="M2768" i="1" s="1"/>
  <c r="K2767" i="1"/>
  <c r="M2767" i="1" s="1"/>
  <c r="K2766" i="1"/>
  <c r="M2766" i="1" s="1"/>
  <c r="K2765" i="1"/>
  <c r="M2765" i="1" s="1"/>
  <c r="K2764" i="1"/>
  <c r="M2764" i="1" s="1"/>
  <c r="T2763" i="1"/>
  <c r="K2763" i="1"/>
  <c r="M2763" i="1" s="1"/>
  <c r="K2762" i="1"/>
  <c r="M2762" i="1" s="1"/>
  <c r="K2761" i="1"/>
  <c r="M2761" i="1" s="1"/>
  <c r="K2760" i="1"/>
  <c r="M2760" i="1" s="1"/>
  <c r="K2759" i="1"/>
  <c r="M2759" i="1" s="1"/>
  <c r="K2758" i="1"/>
  <c r="M2758" i="1" s="1"/>
  <c r="K2757" i="1"/>
  <c r="M2757" i="1" s="1"/>
  <c r="K2756" i="1"/>
  <c r="M2756" i="1" s="1"/>
  <c r="K2755" i="1"/>
  <c r="M2755" i="1" s="1"/>
  <c r="K2754" i="1"/>
  <c r="M2754" i="1" s="1"/>
  <c r="K2753" i="1"/>
  <c r="M2753" i="1" s="1"/>
  <c r="K2752" i="1"/>
  <c r="M2752" i="1" s="1"/>
  <c r="K2751" i="1"/>
  <c r="M2751" i="1" s="1"/>
  <c r="K2750" i="1"/>
  <c r="M2750" i="1" s="1"/>
  <c r="K2749" i="1"/>
  <c r="M2749" i="1" s="1"/>
  <c r="K2748" i="1"/>
  <c r="M2748" i="1" s="1"/>
  <c r="K2747" i="1"/>
  <c r="M2747" i="1" s="1"/>
  <c r="K2746" i="1"/>
  <c r="M2746" i="1" s="1"/>
  <c r="K2745" i="1"/>
  <c r="M2745" i="1" s="1"/>
  <c r="K2744" i="1"/>
  <c r="M2744" i="1" s="1"/>
  <c r="K2743" i="1"/>
  <c r="M2743" i="1" s="1"/>
  <c r="K2742" i="1"/>
  <c r="M2742" i="1" s="1"/>
  <c r="K2741" i="1"/>
  <c r="M2741" i="1" s="1"/>
  <c r="K2740" i="1"/>
  <c r="M2740" i="1" s="1"/>
  <c r="K2739" i="1"/>
  <c r="M2739" i="1" s="1"/>
  <c r="K2738" i="1"/>
  <c r="M2738" i="1" s="1"/>
  <c r="K2737" i="1"/>
  <c r="M2737" i="1" s="1"/>
  <c r="K2736" i="1"/>
  <c r="M2736" i="1" s="1"/>
  <c r="K2735" i="1"/>
  <c r="M2735" i="1" s="1"/>
  <c r="K2734" i="1"/>
  <c r="M2734" i="1" s="1"/>
  <c r="K2733" i="1"/>
  <c r="M2733" i="1" s="1"/>
  <c r="K2732" i="1"/>
  <c r="M2732" i="1" s="1"/>
  <c r="K2731" i="1"/>
  <c r="M2731" i="1" s="1"/>
  <c r="K2730" i="1"/>
  <c r="M2730" i="1" s="1"/>
  <c r="K2729" i="1"/>
  <c r="M2729" i="1" s="1"/>
  <c r="K2728" i="1"/>
  <c r="M2728" i="1" s="1"/>
  <c r="K2727" i="1"/>
  <c r="M2727" i="1" s="1"/>
  <c r="K2726" i="1"/>
  <c r="M2726" i="1" s="1"/>
  <c r="K2725" i="1"/>
  <c r="M2725" i="1" s="1"/>
  <c r="K2724" i="1"/>
  <c r="M2724" i="1" s="1"/>
  <c r="K2723" i="1"/>
  <c r="M2723" i="1" s="1"/>
  <c r="K2722" i="1"/>
  <c r="M2722" i="1" s="1"/>
  <c r="K2721" i="1"/>
  <c r="M2721" i="1" s="1"/>
  <c r="K2720" i="1"/>
  <c r="M2720" i="1" s="1"/>
  <c r="K2719" i="1"/>
  <c r="M2719" i="1" s="1"/>
  <c r="K2718" i="1"/>
  <c r="M2718" i="1" s="1"/>
  <c r="K2717" i="1"/>
  <c r="M2717" i="1" s="1"/>
  <c r="K2716" i="1"/>
  <c r="M2716" i="1" s="1"/>
  <c r="K2715" i="1"/>
  <c r="M2715" i="1" s="1"/>
  <c r="K2714" i="1"/>
  <c r="M2714" i="1" s="1"/>
  <c r="K2713" i="1"/>
  <c r="M2713" i="1" s="1"/>
  <c r="K2712" i="1"/>
  <c r="M2712" i="1" s="1"/>
  <c r="K2711" i="1"/>
  <c r="M2711" i="1" s="1"/>
  <c r="K2710" i="1"/>
  <c r="M2710" i="1" s="1"/>
  <c r="K2709" i="1"/>
  <c r="M2709" i="1" s="1"/>
  <c r="K2708" i="1"/>
  <c r="M2708" i="1" s="1"/>
  <c r="K2707" i="1"/>
  <c r="M2707" i="1" s="1"/>
  <c r="K2706" i="1"/>
  <c r="M2706" i="1" s="1"/>
  <c r="K2705" i="1"/>
  <c r="M2705" i="1" s="1"/>
  <c r="K2704" i="1"/>
  <c r="M2704" i="1" s="1"/>
  <c r="K2703" i="1"/>
  <c r="M2703" i="1" s="1"/>
  <c r="K2702" i="1"/>
  <c r="M2702" i="1" s="1"/>
  <c r="K2701" i="1"/>
  <c r="M2701" i="1" s="1"/>
  <c r="K2700" i="1"/>
  <c r="M2700" i="1" s="1"/>
  <c r="K2699" i="1"/>
  <c r="M2699" i="1" s="1"/>
  <c r="K2698" i="1"/>
  <c r="M2698" i="1" s="1"/>
  <c r="K2697" i="1"/>
  <c r="M2697" i="1" s="1"/>
  <c r="K2696" i="1"/>
  <c r="M2696" i="1" s="1"/>
  <c r="K2695" i="1"/>
  <c r="M2695" i="1" s="1"/>
  <c r="K2694" i="1"/>
  <c r="M2694" i="1" s="1"/>
  <c r="K2693" i="1"/>
  <c r="M2693" i="1" s="1"/>
  <c r="K2692" i="1"/>
  <c r="M2692" i="1" s="1"/>
  <c r="K2691" i="1"/>
  <c r="M2691" i="1" s="1"/>
  <c r="K2690" i="1"/>
  <c r="M2690" i="1" s="1"/>
  <c r="K2689" i="1"/>
  <c r="M2689" i="1" s="1"/>
  <c r="K2688" i="1"/>
  <c r="M2688" i="1" s="1"/>
  <c r="Q2687" i="1"/>
  <c r="T2687" i="1" s="1"/>
  <c r="K2687" i="1"/>
  <c r="F2687" i="1"/>
  <c r="K2686" i="1"/>
  <c r="M2686" i="1" s="1"/>
  <c r="K2685" i="1"/>
  <c r="M2685" i="1" s="1"/>
  <c r="K2684" i="1"/>
  <c r="M2684" i="1" s="1"/>
  <c r="K2683" i="1"/>
  <c r="M2683" i="1" s="1"/>
  <c r="K2682" i="1"/>
  <c r="M2682" i="1" s="1"/>
  <c r="K2681" i="1"/>
  <c r="M2681" i="1" s="1"/>
  <c r="K2680" i="1"/>
  <c r="M2680" i="1" s="1"/>
  <c r="K2679" i="1"/>
  <c r="M2679" i="1" s="1"/>
  <c r="K2678" i="1"/>
  <c r="M2678" i="1" s="1"/>
  <c r="K2677" i="1"/>
  <c r="M2677" i="1" s="1"/>
  <c r="K2676" i="1"/>
  <c r="M2676" i="1" s="1"/>
  <c r="T2675" i="1"/>
  <c r="K2675" i="1"/>
  <c r="M2675" i="1" s="1"/>
  <c r="K2674" i="1"/>
  <c r="M2674" i="1" s="1"/>
  <c r="K2673" i="1"/>
  <c r="M2673" i="1" s="1"/>
  <c r="K2672" i="1"/>
  <c r="M2672" i="1" s="1"/>
  <c r="K2671" i="1"/>
  <c r="M2671" i="1" s="1"/>
  <c r="K2670" i="1"/>
  <c r="M2670" i="1" s="1"/>
  <c r="K2669" i="1"/>
  <c r="M2669" i="1" s="1"/>
  <c r="K2668" i="1"/>
  <c r="M2668" i="1" s="1"/>
  <c r="K2667" i="1"/>
  <c r="M2667" i="1" s="1"/>
  <c r="K2666" i="1"/>
  <c r="M2666" i="1" s="1"/>
  <c r="K2665" i="1"/>
  <c r="M2665" i="1" s="1"/>
  <c r="K2664" i="1"/>
  <c r="M2664" i="1" s="1"/>
  <c r="K2663" i="1"/>
  <c r="M2663" i="1" s="1"/>
  <c r="K2662" i="1"/>
  <c r="M2662" i="1" s="1"/>
  <c r="K2661" i="1"/>
  <c r="M2661" i="1" s="1"/>
  <c r="K2660" i="1"/>
  <c r="M2660" i="1" s="1"/>
  <c r="K2659" i="1"/>
  <c r="M2659" i="1" s="1"/>
  <c r="K2658" i="1"/>
  <c r="M2658" i="1" s="1"/>
  <c r="K2657" i="1"/>
  <c r="M2657" i="1" s="1"/>
  <c r="T2656" i="1"/>
  <c r="K2656" i="1"/>
  <c r="M2656" i="1" s="1"/>
  <c r="K2655" i="1"/>
  <c r="M2655" i="1" s="1"/>
  <c r="K2654" i="1"/>
  <c r="M2654" i="1" s="1"/>
  <c r="Q2653" i="1"/>
  <c r="T2653" i="1" s="1"/>
  <c r="J2653" i="1"/>
  <c r="K2653" i="1" s="1"/>
  <c r="M2653" i="1" s="1"/>
  <c r="K2652" i="1"/>
  <c r="M2652" i="1" s="1"/>
  <c r="K2651" i="1"/>
  <c r="M2651" i="1" s="1"/>
  <c r="K2650" i="1"/>
  <c r="M2650" i="1" s="1"/>
  <c r="K2648" i="1"/>
  <c r="M2648" i="1" s="1"/>
  <c r="Q2647" i="1"/>
  <c r="T2647" i="1" s="1"/>
  <c r="H2647" i="1"/>
  <c r="K2647" i="1" s="1"/>
  <c r="M2647" i="1" s="1"/>
  <c r="K2646" i="1"/>
  <c r="M2646" i="1" s="1"/>
  <c r="K2645" i="1"/>
  <c r="M2645" i="1" s="1"/>
  <c r="K2644" i="1"/>
  <c r="M2644" i="1" s="1"/>
  <c r="K2643" i="1"/>
  <c r="M2643" i="1" s="1"/>
  <c r="K2642" i="1"/>
  <c r="M2642" i="1" s="1"/>
  <c r="T2641" i="1"/>
  <c r="K2641" i="1"/>
  <c r="M2641" i="1" s="1"/>
  <c r="K2640" i="1"/>
  <c r="M2640" i="1" s="1"/>
  <c r="K2639" i="1"/>
  <c r="M2639" i="1" s="1"/>
  <c r="K2638" i="1"/>
  <c r="M2638" i="1" s="1"/>
  <c r="K2637" i="1"/>
  <c r="M2637" i="1" s="1"/>
  <c r="K2636" i="1"/>
  <c r="M2636" i="1" s="1"/>
  <c r="K2635" i="1"/>
  <c r="M2635" i="1" s="1"/>
  <c r="K2634" i="1"/>
  <c r="M2634" i="1" s="1"/>
  <c r="K2633" i="1"/>
  <c r="M2633" i="1" s="1"/>
  <c r="K2632" i="1"/>
  <c r="M2632" i="1" s="1"/>
  <c r="K2631" i="1"/>
  <c r="M2631" i="1" s="1"/>
  <c r="K2630" i="1"/>
  <c r="M2630" i="1" s="1"/>
  <c r="K2629" i="1"/>
  <c r="M2629" i="1" s="1"/>
  <c r="K2628" i="1"/>
  <c r="M2628" i="1" s="1"/>
  <c r="K2627" i="1"/>
  <c r="M2627" i="1" s="1"/>
  <c r="K2626" i="1"/>
  <c r="M2626" i="1" s="1"/>
  <c r="T2625" i="1"/>
  <c r="K2625" i="1"/>
  <c r="M2625" i="1" s="1"/>
  <c r="K2624" i="1"/>
  <c r="M2624" i="1" s="1"/>
  <c r="K2623" i="1"/>
  <c r="M2623" i="1" s="1"/>
  <c r="K2622" i="1"/>
  <c r="M2622" i="1" s="1"/>
  <c r="K2621" i="1"/>
  <c r="M2621" i="1" s="1"/>
  <c r="K2620" i="1"/>
  <c r="M2620" i="1" s="1"/>
  <c r="K2619" i="1"/>
  <c r="M2619" i="1" s="1"/>
  <c r="K2618" i="1"/>
  <c r="M2618" i="1" s="1"/>
  <c r="K2617" i="1"/>
  <c r="M2617" i="1" s="1"/>
  <c r="K2616" i="1"/>
  <c r="M2616" i="1" s="1"/>
  <c r="K2615" i="1"/>
  <c r="M2615" i="1" s="1"/>
  <c r="Q2614" i="1"/>
  <c r="T2614" i="1" s="1"/>
  <c r="K2614" i="1"/>
  <c r="M2614" i="1" s="1"/>
  <c r="K2613" i="1"/>
  <c r="M2613" i="1" s="1"/>
  <c r="K2612" i="1"/>
  <c r="M2612" i="1" s="1"/>
  <c r="K2611" i="1"/>
  <c r="M2611" i="1" s="1"/>
  <c r="K2610" i="1"/>
  <c r="M2610" i="1" s="1"/>
  <c r="K2609" i="1"/>
  <c r="M2609" i="1" s="1"/>
  <c r="K2608" i="1"/>
  <c r="M2608" i="1" s="1"/>
  <c r="K2607" i="1"/>
  <c r="M2607" i="1" s="1"/>
  <c r="K2606" i="1"/>
  <c r="M2606" i="1" s="1"/>
  <c r="K2605" i="1"/>
  <c r="M2605" i="1" s="1"/>
  <c r="K2604" i="1"/>
  <c r="M2604" i="1" s="1"/>
  <c r="K2603" i="1"/>
  <c r="M2603" i="1" s="1"/>
  <c r="K2602" i="1"/>
  <c r="M2602" i="1" s="1"/>
  <c r="Q2601" i="1"/>
  <c r="T2601" i="1" s="1"/>
  <c r="G2601" i="1"/>
  <c r="K2601" i="1" s="1"/>
  <c r="M2601" i="1" s="1"/>
  <c r="K2600" i="1"/>
  <c r="M2600" i="1" s="1"/>
  <c r="K2599" i="1"/>
  <c r="M2599" i="1" s="1"/>
  <c r="K2598" i="1"/>
  <c r="M2598" i="1" s="1"/>
  <c r="K2597" i="1"/>
  <c r="M2597" i="1" s="1"/>
  <c r="K2596" i="1"/>
  <c r="M2596" i="1" s="1"/>
  <c r="K2595" i="1"/>
  <c r="M2595" i="1" s="1"/>
  <c r="K2594" i="1"/>
  <c r="M2594" i="1" s="1"/>
  <c r="K2593" i="1"/>
  <c r="M2593" i="1" s="1"/>
  <c r="K2592" i="1"/>
  <c r="M2592" i="1" s="1"/>
  <c r="K2591" i="1"/>
  <c r="M2591" i="1" s="1"/>
  <c r="K2590" i="1"/>
  <c r="M2590" i="1" s="1"/>
  <c r="K2589" i="1"/>
  <c r="M2589" i="1" s="1"/>
  <c r="Q2588" i="1"/>
  <c r="T2588" i="1" s="1"/>
  <c r="K2588" i="1"/>
  <c r="M2588" i="1" s="1"/>
  <c r="K2587" i="1"/>
  <c r="M2587" i="1" s="1"/>
  <c r="T2586" i="1"/>
  <c r="K2586" i="1"/>
  <c r="M2586" i="1" s="1"/>
  <c r="K2585" i="1"/>
  <c r="M2585" i="1" s="1"/>
  <c r="K2584" i="1"/>
  <c r="M2584" i="1" s="1"/>
  <c r="K2583" i="1"/>
  <c r="M2583" i="1" s="1"/>
  <c r="K2582" i="1"/>
  <c r="M2582" i="1" s="1"/>
  <c r="K2581" i="1"/>
  <c r="M2581" i="1" s="1"/>
  <c r="K2580" i="1"/>
  <c r="M2580" i="1" s="1"/>
  <c r="K2579" i="1"/>
  <c r="M2579" i="1" s="1"/>
  <c r="K2578" i="1"/>
  <c r="M2578" i="1" s="1"/>
  <c r="K2577" i="1"/>
  <c r="M2577" i="1" s="1"/>
  <c r="K2576" i="1"/>
  <c r="M2576" i="1" s="1"/>
  <c r="K2575" i="1"/>
  <c r="M2575" i="1" s="1"/>
  <c r="K2574" i="1"/>
  <c r="M2574" i="1" s="1"/>
  <c r="K2573" i="1"/>
  <c r="M2573" i="1" s="1"/>
  <c r="K2572" i="1"/>
  <c r="M2572" i="1" s="1"/>
  <c r="K2571" i="1"/>
  <c r="M2571" i="1" s="1"/>
  <c r="K2570" i="1"/>
  <c r="M2570" i="1" s="1"/>
  <c r="K2569" i="1"/>
  <c r="M2569" i="1" s="1"/>
  <c r="K2568" i="1"/>
  <c r="M2568" i="1" s="1"/>
  <c r="K2567" i="1"/>
  <c r="M2567" i="1" s="1"/>
  <c r="K2566" i="1"/>
  <c r="M2566" i="1" s="1"/>
  <c r="K2565" i="1"/>
  <c r="M2565" i="1" s="1"/>
  <c r="K2564" i="1"/>
  <c r="M2564" i="1" s="1"/>
  <c r="K2563" i="1"/>
  <c r="M2563" i="1" s="1"/>
  <c r="K2562" i="1"/>
  <c r="M2562" i="1" s="1"/>
  <c r="K2561" i="1"/>
  <c r="M2561" i="1" s="1"/>
  <c r="K2560" i="1"/>
  <c r="M2560" i="1" s="1"/>
  <c r="K2559" i="1"/>
  <c r="M2559" i="1" s="1"/>
  <c r="K2558" i="1"/>
  <c r="M2558" i="1" s="1"/>
  <c r="K2557" i="1"/>
  <c r="M2557" i="1" s="1"/>
  <c r="K2556" i="1"/>
  <c r="M2556" i="1" s="1"/>
  <c r="K2555" i="1"/>
  <c r="M2555" i="1" s="1"/>
  <c r="K2554" i="1"/>
  <c r="M2554" i="1" s="1"/>
  <c r="K2553" i="1"/>
  <c r="M2553" i="1" s="1"/>
  <c r="K2552" i="1"/>
  <c r="M2552" i="1" s="1"/>
  <c r="K2551" i="1"/>
  <c r="M2551" i="1" s="1"/>
  <c r="K2550" i="1"/>
  <c r="M2550" i="1" s="1"/>
  <c r="Q2549" i="1"/>
  <c r="T2549" i="1" s="1"/>
  <c r="K2549" i="1"/>
  <c r="M2549" i="1" s="1"/>
  <c r="K2548" i="1"/>
  <c r="M2548" i="1" s="1"/>
  <c r="K2547" i="1"/>
  <c r="M2547" i="1" s="1"/>
  <c r="K2546" i="1"/>
  <c r="M2546" i="1" s="1"/>
  <c r="K2545" i="1"/>
  <c r="M2545" i="1" s="1"/>
  <c r="K2544" i="1"/>
  <c r="M2544" i="1" s="1"/>
  <c r="K2543" i="1"/>
  <c r="M2543" i="1" s="1"/>
  <c r="K2542" i="1"/>
  <c r="M2542" i="1" s="1"/>
  <c r="K2541" i="1"/>
  <c r="M2541" i="1" s="1"/>
  <c r="K2540" i="1"/>
  <c r="M2540" i="1" s="1"/>
  <c r="T2539" i="1"/>
  <c r="G2539" i="1"/>
  <c r="K2539" i="1" s="1"/>
  <c r="M2539" i="1" s="1"/>
  <c r="K2538" i="1"/>
  <c r="M2538" i="1" s="1"/>
  <c r="T2537" i="1"/>
  <c r="K2537" i="1"/>
  <c r="M2537" i="1" s="1"/>
  <c r="K2536" i="1"/>
  <c r="M2536" i="1" s="1"/>
  <c r="K2535" i="1"/>
  <c r="M2535" i="1" s="1"/>
  <c r="K2534" i="1"/>
  <c r="M2534" i="1" s="1"/>
  <c r="K2533" i="1"/>
  <c r="M2533" i="1" s="1"/>
  <c r="K2532" i="1"/>
  <c r="M2532" i="1" s="1"/>
  <c r="K2531" i="1"/>
  <c r="M2531" i="1" s="1"/>
  <c r="K2530" i="1"/>
  <c r="M2530" i="1" s="1"/>
  <c r="K2529" i="1"/>
  <c r="M2529" i="1" s="1"/>
  <c r="T2528" i="1"/>
  <c r="K2528" i="1"/>
  <c r="M2528" i="1" s="1"/>
  <c r="K2527" i="1"/>
  <c r="M2527" i="1" s="1"/>
  <c r="K2526" i="1"/>
  <c r="M2526" i="1" s="1"/>
  <c r="K2525" i="1"/>
  <c r="M2525" i="1" s="1"/>
  <c r="K2524" i="1"/>
  <c r="M2524" i="1" s="1"/>
  <c r="K2523" i="1"/>
  <c r="M2523" i="1" s="1"/>
  <c r="K2522" i="1"/>
  <c r="M2522" i="1" s="1"/>
  <c r="K2521" i="1"/>
  <c r="M2521" i="1" s="1"/>
  <c r="K2520" i="1"/>
  <c r="M2520" i="1" s="1"/>
  <c r="K2519" i="1"/>
  <c r="M2519" i="1" s="1"/>
  <c r="K2518" i="1"/>
  <c r="M2518" i="1" s="1"/>
  <c r="K2517" i="1"/>
  <c r="M2517" i="1" s="1"/>
  <c r="K2516" i="1"/>
  <c r="M2516" i="1" s="1"/>
  <c r="K2515" i="1"/>
  <c r="M2515" i="1" s="1"/>
  <c r="K2514" i="1"/>
  <c r="M2514" i="1" s="1"/>
  <c r="K2513" i="1"/>
  <c r="M2513" i="1" s="1"/>
  <c r="K2512" i="1"/>
  <c r="M2512" i="1" s="1"/>
  <c r="K2511" i="1"/>
  <c r="M2511" i="1" s="1"/>
  <c r="K2510" i="1"/>
  <c r="M2510" i="1" s="1"/>
  <c r="K2509" i="1"/>
  <c r="M2509" i="1" s="1"/>
  <c r="K2508" i="1"/>
  <c r="M2508" i="1" s="1"/>
  <c r="K2507" i="1"/>
  <c r="M2507" i="1" s="1"/>
  <c r="K2506" i="1"/>
  <c r="M2506" i="1" s="1"/>
  <c r="K2505" i="1"/>
  <c r="M2505" i="1" s="1"/>
  <c r="K2504" i="1"/>
  <c r="M2504" i="1" s="1"/>
  <c r="K2503" i="1"/>
  <c r="M2503" i="1" s="1"/>
  <c r="K2502" i="1"/>
  <c r="M2502" i="1" s="1"/>
  <c r="K2501" i="1"/>
  <c r="M2501" i="1" s="1"/>
  <c r="T2500" i="1"/>
  <c r="K2500" i="1"/>
  <c r="M2500" i="1" s="1"/>
  <c r="K2499" i="1"/>
  <c r="M2499" i="1" s="1"/>
  <c r="K2498" i="1"/>
  <c r="M2498" i="1" s="1"/>
  <c r="K2497" i="1"/>
  <c r="M2497" i="1" s="1"/>
  <c r="K2496" i="1"/>
  <c r="M2496" i="1" s="1"/>
  <c r="K2495" i="1"/>
  <c r="M2495" i="1" s="1"/>
  <c r="K2494" i="1"/>
  <c r="M2494" i="1" s="1"/>
  <c r="K2493" i="1"/>
  <c r="M2493" i="1" s="1"/>
  <c r="K2492" i="1"/>
  <c r="M2492" i="1" s="1"/>
  <c r="K2491" i="1"/>
  <c r="M2491" i="1" s="1"/>
  <c r="K2490" i="1"/>
  <c r="M2490" i="1" s="1"/>
  <c r="K2489" i="1"/>
  <c r="M2489" i="1" s="1"/>
  <c r="K2488" i="1"/>
  <c r="M2488" i="1" s="1"/>
  <c r="K2487" i="1"/>
  <c r="M2487" i="1" s="1"/>
  <c r="K2486" i="1"/>
  <c r="M2486" i="1" s="1"/>
  <c r="K2485" i="1"/>
  <c r="M2485" i="1" s="1"/>
  <c r="K2484" i="1"/>
  <c r="M2484" i="1" s="1"/>
  <c r="K2483" i="1"/>
  <c r="M2483" i="1" s="1"/>
  <c r="K2482" i="1"/>
  <c r="M2482" i="1" s="1"/>
  <c r="K2481" i="1"/>
  <c r="M2481" i="1" s="1"/>
  <c r="K2480" i="1"/>
  <c r="M2480" i="1" s="1"/>
  <c r="K2479" i="1"/>
  <c r="M2479" i="1" s="1"/>
  <c r="K2478" i="1"/>
  <c r="M2478" i="1" s="1"/>
  <c r="K2477" i="1"/>
  <c r="M2477" i="1" s="1"/>
  <c r="K2476" i="1"/>
  <c r="M2476" i="1" s="1"/>
  <c r="T2475" i="1"/>
  <c r="K2475" i="1"/>
  <c r="M2475" i="1" s="1"/>
  <c r="T2474" i="1"/>
  <c r="K2474" i="1"/>
  <c r="M2474" i="1" s="1"/>
  <c r="K2473" i="1"/>
  <c r="M2473" i="1" s="1"/>
  <c r="K2472" i="1"/>
  <c r="M2472" i="1" s="1"/>
  <c r="K2471" i="1"/>
  <c r="M2471" i="1" s="1"/>
  <c r="K2470" i="1"/>
  <c r="M2470" i="1" s="1"/>
  <c r="K2469" i="1"/>
  <c r="M2469" i="1" s="1"/>
  <c r="K2468" i="1"/>
  <c r="M2468" i="1" s="1"/>
  <c r="K2467" i="1"/>
  <c r="M2467" i="1" s="1"/>
  <c r="K2466" i="1"/>
  <c r="M2466" i="1" s="1"/>
  <c r="K2465" i="1"/>
  <c r="M2465" i="1" s="1"/>
  <c r="K2464" i="1"/>
  <c r="M2464" i="1" s="1"/>
  <c r="K2463" i="1"/>
  <c r="M2463" i="1" s="1"/>
  <c r="K2462" i="1"/>
  <c r="M2462" i="1" s="1"/>
  <c r="K2461" i="1"/>
  <c r="M2461" i="1" s="1"/>
  <c r="K2460" i="1"/>
  <c r="M2460" i="1" s="1"/>
  <c r="K2459" i="1"/>
  <c r="M2459" i="1" s="1"/>
  <c r="K2458" i="1"/>
  <c r="M2458" i="1" s="1"/>
  <c r="K2457" i="1"/>
  <c r="M2457" i="1" s="1"/>
  <c r="K2456" i="1"/>
  <c r="M2456" i="1" s="1"/>
  <c r="K2455" i="1"/>
  <c r="M2455" i="1" s="1"/>
  <c r="K2454" i="1"/>
  <c r="M2454" i="1" s="1"/>
  <c r="K2453" i="1"/>
  <c r="M2453" i="1" s="1"/>
  <c r="K2452" i="1"/>
  <c r="M2452" i="1" s="1"/>
  <c r="T2451" i="1"/>
  <c r="K2451" i="1"/>
  <c r="M2451" i="1" s="1"/>
  <c r="K2450" i="1"/>
  <c r="M2450" i="1" s="1"/>
  <c r="K2449" i="1"/>
  <c r="M2449" i="1" s="1"/>
  <c r="K2448" i="1"/>
  <c r="M2448" i="1" s="1"/>
  <c r="K2447" i="1"/>
  <c r="M2447" i="1" s="1"/>
  <c r="K2446" i="1"/>
  <c r="M2446" i="1" s="1"/>
  <c r="K2445" i="1"/>
  <c r="M2445" i="1" s="1"/>
  <c r="K2444" i="1"/>
  <c r="M2444" i="1" s="1"/>
  <c r="K2443" i="1"/>
  <c r="M2443" i="1" s="1"/>
  <c r="K2442" i="1"/>
  <c r="M2442" i="1" s="1"/>
  <c r="K2441" i="1"/>
  <c r="M2441" i="1" s="1"/>
  <c r="K2440" i="1"/>
  <c r="M2440" i="1" s="1"/>
  <c r="K2439" i="1"/>
  <c r="M2439" i="1" s="1"/>
  <c r="K2438" i="1"/>
  <c r="M2438" i="1" s="1"/>
  <c r="K2437" i="1"/>
  <c r="M2437" i="1" s="1"/>
  <c r="K2436" i="1"/>
  <c r="M2436" i="1" s="1"/>
  <c r="K2435" i="1"/>
  <c r="M2435" i="1" s="1"/>
  <c r="K2434" i="1"/>
  <c r="M2434" i="1" s="1"/>
  <c r="K2433" i="1"/>
  <c r="M2433" i="1" s="1"/>
  <c r="K2432" i="1"/>
  <c r="M2432" i="1" s="1"/>
  <c r="K2431" i="1"/>
  <c r="M2431" i="1" s="1"/>
  <c r="K2430" i="1"/>
  <c r="M2430" i="1" s="1"/>
  <c r="K2429" i="1"/>
  <c r="M2429" i="1" s="1"/>
  <c r="K2428" i="1"/>
  <c r="M2428" i="1" s="1"/>
  <c r="K2427" i="1"/>
  <c r="M2427" i="1" s="1"/>
  <c r="K2426" i="1"/>
  <c r="M2426" i="1" s="1"/>
  <c r="K2425" i="1"/>
  <c r="M2425" i="1" s="1"/>
  <c r="K2424" i="1"/>
  <c r="M2424" i="1" s="1"/>
  <c r="T2423" i="1"/>
  <c r="K2423" i="1"/>
  <c r="M2423" i="1" s="1"/>
  <c r="K2422" i="1"/>
  <c r="M2422" i="1" s="1"/>
  <c r="T2421" i="1"/>
  <c r="K2421" i="1"/>
  <c r="M2421" i="1" s="1"/>
  <c r="K2420" i="1"/>
  <c r="M2420" i="1" s="1"/>
  <c r="K2419" i="1"/>
  <c r="M2419" i="1" s="1"/>
  <c r="K2418" i="1"/>
  <c r="M2418" i="1" s="1"/>
  <c r="K2417" i="1"/>
  <c r="M2417" i="1" s="1"/>
  <c r="K2416" i="1"/>
  <c r="M2416" i="1" s="1"/>
  <c r="K2415" i="1"/>
  <c r="M2415" i="1" s="1"/>
  <c r="K2414" i="1"/>
  <c r="M2414" i="1" s="1"/>
  <c r="Q2413" i="1"/>
  <c r="T2413" i="1" s="1"/>
  <c r="K2413" i="1"/>
  <c r="M2413" i="1" s="1"/>
  <c r="K2412" i="1"/>
  <c r="M2412" i="1" s="1"/>
  <c r="K2411" i="1"/>
  <c r="M2411" i="1" s="1"/>
  <c r="K2410" i="1"/>
  <c r="M2410" i="1" s="1"/>
  <c r="K2409" i="1"/>
  <c r="M2409" i="1" s="1"/>
  <c r="K2408" i="1"/>
  <c r="M2408" i="1" s="1"/>
  <c r="K2407" i="1"/>
  <c r="M2407" i="1" s="1"/>
  <c r="K2406" i="1"/>
  <c r="M2406" i="1" s="1"/>
  <c r="K2405" i="1"/>
  <c r="M2405" i="1" s="1"/>
  <c r="K2404" i="1"/>
  <c r="M2404" i="1" s="1"/>
  <c r="K2403" i="1"/>
  <c r="M2403" i="1" s="1"/>
  <c r="K2402" i="1"/>
  <c r="M2402" i="1" s="1"/>
  <c r="K2401" i="1"/>
  <c r="M2401" i="1" s="1"/>
  <c r="K2400" i="1"/>
  <c r="M2400" i="1" s="1"/>
  <c r="K2399" i="1"/>
  <c r="M2399" i="1" s="1"/>
  <c r="K2398" i="1"/>
  <c r="M2398" i="1" s="1"/>
  <c r="K2397" i="1"/>
  <c r="M2397" i="1" s="1"/>
  <c r="K2396" i="1"/>
  <c r="M2396" i="1" s="1"/>
  <c r="K2395" i="1"/>
  <c r="M2395" i="1" s="1"/>
  <c r="K2394" i="1"/>
  <c r="M2394" i="1" s="1"/>
  <c r="K2393" i="1"/>
  <c r="M2393" i="1" s="1"/>
  <c r="K2392" i="1"/>
  <c r="M2392" i="1" s="1"/>
  <c r="K2391" i="1"/>
  <c r="M2391" i="1" s="1"/>
  <c r="K2390" i="1"/>
  <c r="M2390" i="1" s="1"/>
  <c r="K2389" i="1"/>
  <c r="M2389" i="1" s="1"/>
  <c r="K2388" i="1"/>
  <c r="M2388" i="1" s="1"/>
  <c r="K2387" i="1"/>
  <c r="M2387" i="1" s="1"/>
  <c r="K2386" i="1"/>
  <c r="M2386" i="1" s="1"/>
  <c r="K2385" i="1"/>
  <c r="M2385" i="1" s="1"/>
  <c r="K2384" i="1"/>
  <c r="M2384" i="1" s="1"/>
  <c r="K2383" i="1"/>
  <c r="M2383" i="1" s="1"/>
  <c r="K2382" i="1"/>
  <c r="M2382" i="1" s="1"/>
  <c r="K2381" i="1"/>
  <c r="M2381" i="1" s="1"/>
  <c r="K2380" i="1"/>
  <c r="M2380" i="1" s="1"/>
  <c r="K2379" i="1"/>
  <c r="M2379" i="1" s="1"/>
  <c r="K2378" i="1"/>
  <c r="M2378" i="1" s="1"/>
  <c r="K2377" i="1"/>
  <c r="M2377" i="1" s="1"/>
  <c r="K2376" i="1"/>
  <c r="M2376" i="1" s="1"/>
  <c r="K2375" i="1"/>
  <c r="M2375" i="1" s="1"/>
  <c r="K2374" i="1"/>
  <c r="M2374" i="1" s="1"/>
  <c r="K2373" i="1"/>
  <c r="M2373" i="1" s="1"/>
  <c r="K2372" i="1"/>
  <c r="M2372" i="1" s="1"/>
  <c r="K2371" i="1"/>
  <c r="M2371" i="1" s="1"/>
  <c r="K2370" i="1"/>
  <c r="M2370" i="1" s="1"/>
  <c r="K2369" i="1"/>
  <c r="M2369" i="1" s="1"/>
  <c r="K2368" i="1"/>
  <c r="M2368" i="1" s="1"/>
  <c r="K2367" i="1"/>
  <c r="M2367" i="1" s="1"/>
  <c r="K2366" i="1"/>
  <c r="M2366" i="1" s="1"/>
  <c r="K2365" i="1"/>
  <c r="M2365" i="1" s="1"/>
  <c r="K2364" i="1"/>
  <c r="M2364" i="1" s="1"/>
  <c r="K2363" i="1"/>
  <c r="M2363" i="1" s="1"/>
  <c r="K2362" i="1"/>
  <c r="M2362" i="1" s="1"/>
  <c r="K2361" i="1"/>
  <c r="M2361" i="1" s="1"/>
  <c r="K2360" i="1"/>
  <c r="M2360" i="1" s="1"/>
  <c r="K2359" i="1"/>
  <c r="M2359" i="1" s="1"/>
  <c r="K2358" i="1"/>
  <c r="M2358" i="1" s="1"/>
  <c r="K2357" i="1"/>
  <c r="M2357" i="1" s="1"/>
  <c r="K2356" i="1"/>
  <c r="M2356" i="1" s="1"/>
  <c r="K2355" i="1"/>
  <c r="M2355" i="1" s="1"/>
  <c r="K2354" i="1"/>
  <c r="M2354" i="1" s="1"/>
  <c r="K2353" i="1"/>
  <c r="M2353" i="1" s="1"/>
  <c r="K2352" i="1"/>
  <c r="M2352" i="1" s="1"/>
  <c r="K2351" i="1"/>
  <c r="M2351" i="1" s="1"/>
  <c r="K2350" i="1"/>
  <c r="M2350" i="1" s="1"/>
  <c r="K2349" i="1"/>
  <c r="M2349" i="1" s="1"/>
  <c r="K2348" i="1"/>
  <c r="M2348" i="1" s="1"/>
  <c r="K2347" i="1"/>
  <c r="M2347" i="1" s="1"/>
  <c r="K2346" i="1"/>
  <c r="M2346" i="1" s="1"/>
  <c r="K2345" i="1"/>
  <c r="M2345" i="1" s="1"/>
  <c r="K2344" i="1"/>
  <c r="M2344" i="1" s="1"/>
  <c r="K2343" i="1"/>
  <c r="M2343" i="1" s="1"/>
  <c r="K2342" i="1"/>
  <c r="M2342" i="1" s="1"/>
  <c r="K2341" i="1"/>
  <c r="M2341" i="1" s="1"/>
  <c r="K2340" i="1"/>
  <c r="M2340" i="1" s="1"/>
  <c r="K2339" i="1"/>
  <c r="M2339" i="1" s="1"/>
  <c r="K2338" i="1"/>
  <c r="M2338" i="1" s="1"/>
  <c r="K2337" i="1"/>
  <c r="M2337" i="1" s="1"/>
  <c r="K2336" i="1"/>
  <c r="M2336" i="1" s="1"/>
  <c r="K2335" i="1"/>
  <c r="M2335" i="1" s="1"/>
  <c r="K2334" i="1"/>
  <c r="M2334" i="1" s="1"/>
  <c r="K2333" i="1"/>
  <c r="M2333" i="1" s="1"/>
  <c r="T2332" i="1"/>
  <c r="K2332" i="1"/>
  <c r="M2332" i="1" s="1"/>
  <c r="K2331" i="1"/>
  <c r="M2331" i="1" s="1"/>
  <c r="K2330" i="1"/>
  <c r="M2330" i="1" s="1"/>
  <c r="K2329" i="1"/>
  <c r="M2329" i="1" s="1"/>
  <c r="K2328" i="1"/>
  <c r="M2328" i="1" s="1"/>
  <c r="K2327" i="1"/>
  <c r="M2327" i="1" s="1"/>
  <c r="K2326" i="1"/>
  <c r="M2326" i="1" s="1"/>
  <c r="K2325" i="1"/>
  <c r="M2325" i="1" s="1"/>
  <c r="K2324" i="1"/>
  <c r="M2324" i="1" s="1"/>
  <c r="K2323" i="1"/>
  <c r="M2323" i="1" s="1"/>
  <c r="K2322" i="1"/>
  <c r="M2322" i="1" s="1"/>
  <c r="T2321" i="1"/>
  <c r="K2321" i="1"/>
  <c r="M2321" i="1" s="1"/>
  <c r="K2320" i="1"/>
  <c r="M2320" i="1" s="1"/>
  <c r="K2319" i="1"/>
  <c r="M2319" i="1" s="1"/>
  <c r="K2318" i="1"/>
  <c r="M2318" i="1" s="1"/>
  <c r="K2317" i="1"/>
  <c r="M2317" i="1" s="1"/>
  <c r="K2316" i="1"/>
  <c r="M2316" i="1" s="1"/>
  <c r="K2315" i="1"/>
  <c r="M2315" i="1" s="1"/>
  <c r="K2314" i="1"/>
  <c r="M2314" i="1" s="1"/>
  <c r="K2313" i="1"/>
  <c r="M2313" i="1" s="1"/>
  <c r="K2312" i="1"/>
  <c r="M2312" i="1" s="1"/>
  <c r="K2311" i="1"/>
  <c r="M2311" i="1" s="1"/>
  <c r="K2310" i="1"/>
  <c r="M2310" i="1" s="1"/>
  <c r="K2309" i="1"/>
  <c r="M2309" i="1" s="1"/>
  <c r="K2308" i="1"/>
  <c r="M2308" i="1" s="1"/>
  <c r="K2307" i="1"/>
  <c r="M2307" i="1" s="1"/>
  <c r="K2306" i="1"/>
  <c r="M2306" i="1" s="1"/>
  <c r="K2305" i="1"/>
  <c r="M2305" i="1" s="1"/>
  <c r="K2304" i="1"/>
  <c r="M2304" i="1" s="1"/>
  <c r="K2303" i="1"/>
  <c r="M2303" i="1" s="1"/>
  <c r="K2302" i="1"/>
  <c r="M2302" i="1" s="1"/>
  <c r="K2301" i="1"/>
  <c r="M2301" i="1" s="1"/>
  <c r="K2300" i="1"/>
  <c r="M2300" i="1" s="1"/>
  <c r="K2299" i="1"/>
  <c r="M2299" i="1" s="1"/>
  <c r="K2298" i="1"/>
  <c r="M2298" i="1" s="1"/>
  <c r="K2297" i="1"/>
  <c r="M2297" i="1" s="1"/>
  <c r="K2296" i="1"/>
  <c r="M2296" i="1" s="1"/>
  <c r="K2295" i="1"/>
  <c r="M2295" i="1" s="1"/>
  <c r="K2294" i="1"/>
  <c r="M2294" i="1" s="1"/>
  <c r="K2293" i="1"/>
  <c r="M2293" i="1" s="1"/>
  <c r="K2292" i="1"/>
  <c r="M2292" i="1" s="1"/>
  <c r="K2291" i="1"/>
  <c r="M2291" i="1" s="1"/>
  <c r="K2290" i="1"/>
  <c r="M2290" i="1" s="1"/>
  <c r="K2289" i="1"/>
  <c r="M2289" i="1" s="1"/>
  <c r="K2288" i="1"/>
  <c r="M2288" i="1" s="1"/>
  <c r="K2287" i="1"/>
  <c r="M2287" i="1" s="1"/>
  <c r="K2286" i="1"/>
  <c r="M2286" i="1" s="1"/>
  <c r="K2285" i="1"/>
  <c r="M2285" i="1" s="1"/>
  <c r="K2284" i="1"/>
  <c r="M2284" i="1" s="1"/>
  <c r="K2283" i="1"/>
  <c r="M2283" i="1" s="1"/>
  <c r="K2282" i="1"/>
  <c r="M2282" i="1" s="1"/>
  <c r="K2281" i="1"/>
  <c r="M2281" i="1" s="1"/>
  <c r="K2280" i="1"/>
  <c r="M2280" i="1" s="1"/>
  <c r="K2279" i="1"/>
  <c r="M2279" i="1" s="1"/>
  <c r="K2278" i="1"/>
  <c r="M2278" i="1" s="1"/>
  <c r="K2277" i="1"/>
  <c r="M2277" i="1" s="1"/>
  <c r="K2276" i="1"/>
  <c r="M2276" i="1" s="1"/>
  <c r="K2275" i="1"/>
  <c r="M2275" i="1" s="1"/>
  <c r="K2274" i="1"/>
  <c r="M2274" i="1" s="1"/>
  <c r="K2273" i="1"/>
  <c r="M2273" i="1" s="1"/>
  <c r="K2272" i="1"/>
  <c r="M2272" i="1" s="1"/>
  <c r="T2271" i="1"/>
  <c r="G2271" i="1"/>
  <c r="K2271" i="1" s="1"/>
  <c r="M2271" i="1" s="1"/>
  <c r="K2270" i="1"/>
  <c r="M2270" i="1" s="1"/>
  <c r="K2269" i="1"/>
  <c r="M2269" i="1" s="1"/>
  <c r="K2268" i="1"/>
  <c r="M2268" i="1" s="1"/>
  <c r="K2267" i="1"/>
  <c r="M2267" i="1" s="1"/>
  <c r="K2266" i="1"/>
  <c r="M2266" i="1" s="1"/>
  <c r="K2265" i="1"/>
  <c r="M2265" i="1" s="1"/>
  <c r="K2264" i="1"/>
  <c r="M2264" i="1" s="1"/>
  <c r="K2263" i="1"/>
  <c r="M2263" i="1" s="1"/>
  <c r="K2262" i="1"/>
  <c r="M2262" i="1" s="1"/>
  <c r="K2261" i="1"/>
  <c r="M2261" i="1" s="1"/>
  <c r="K2260" i="1"/>
  <c r="M2260" i="1" s="1"/>
  <c r="K2259" i="1"/>
  <c r="M2259" i="1" s="1"/>
  <c r="K2258" i="1"/>
  <c r="M2258" i="1" s="1"/>
  <c r="K2257" i="1"/>
  <c r="M2257" i="1" s="1"/>
  <c r="K2256" i="1"/>
  <c r="M2256" i="1" s="1"/>
  <c r="K2255" i="1"/>
  <c r="M2255" i="1" s="1"/>
  <c r="K2254" i="1"/>
  <c r="M2254" i="1" s="1"/>
  <c r="K2253" i="1"/>
  <c r="M2253" i="1" s="1"/>
  <c r="K2252" i="1"/>
  <c r="M2252" i="1" s="1"/>
  <c r="K2251" i="1"/>
  <c r="M2251" i="1" s="1"/>
  <c r="K2250" i="1"/>
  <c r="M2250" i="1" s="1"/>
  <c r="K2249" i="1"/>
  <c r="M2249" i="1" s="1"/>
  <c r="K2248" i="1"/>
  <c r="M2248" i="1" s="1"/>
  <c r="K2247" i="1"/>
  <c r="M2247" i="1" s="1"/>
  <c r="K2246" i="1"/>
  <c r="M2246" i="1" s="1"/>
  <c r="K2245" i="1"/>
  <c r="M2245" i="1" s="1"/>
  <c r="K2244" i="1"/>
  <c r="M2244" i="1" s="1"/>
  <c r="K2243" i="1"/>
  <c r="M2243" i="1" s="1"/>
  <c r="K2242" i="1"/>
  <c r="M2242" i="1" s="1"/>
  <c r="K2241" i="1"/>
  <c r="M2241" i="1" s="1"/>
  <c r="K2240" i="1"/>
  <c r="M2240" i="1" s="1"/>
  <c r="K2239" i="1"/>
  <c r="M2239" i="1" s="1"/>
  <c r="K2238" i="1"/>
  <c r="M2238" i="1" s="1"/>
  <c r="K2237" i="1"/>
  <c r="M2237" i="1" s="1"/>
  <c r="K2236" i="1"/>
  <c r="M2236" i="1" s="1"/>
  <c r="K2235" i="1"/>
  <c r="M2235" i="1" s="1"/>
  <c r="K2234" i="1"/>
  <c r="M2234" i="1" s="1"/>
  <c r="Q2233" i="1"/>
  <c r="T2233" i="1" s="1"/>
  <c r="G2233" i="1"/>
  <c r="K2233" i="1" s="1"/>
  <c r="M2233" i="1" s="1"/>
  <c r="K2232" i="1"/>
  <c r="M2232" i="1" s="1"/>
  <c r="Q2231" i="1"/>
  <c r="T2231" i="1" s="1"/>
  <c r="K2231" i="1"/>
  <c r="M2231" i="1" s="1"/>
  <c r="K2230" i="1"/>
  <c r="M2230" i="1" s="1"/>
  <c r="K2229" i="1"/>
  <c r="M2229" i="1" s="1"/>
  <c r="K2228" i="1"/>
  <c r="M2228" i="1" s="1"/>
  <c r="K2227" i="1"/>
  <c r="M2227" i="1" s="1"/>
  <c r="K2226" i="1"/>
  <c r="M2226" i="1" s="1"/>
  <c r="K2225" i="1"/>
  <c r="M2225" i="1" s="1"/>
  <c r="K2224" i="1"/>
  <c r="M2224" i="1" s="1"/>
  <c r="K2223" i="1"/>
  <c r="M2223" i="1" s="1"/>
  <c r="K2222" i="1"/>
  <c r="M2222" i="1" s="1"/>
  <c r="K2221" i="1"/>
  <c r="M2221" i="1" s="1"/>
  <c r="K2220" i="1"/>
  <c r="M2220" i="1" s="1"/>
  <c r="K2219" i="1"/>
  <c r="M2219" i="1" s="1"/>
  <c r="K2218" i="1"/>
  <c r="M2218" i="1" s="1"/>
  <c r="K2217" i="1"/>
  <c r="M2217" i="1" s="1"/>
  <c r="K2216" i="1"/>
  <c r="M2216" i="1" s="1"/>
  <c r="K2215" i="1"/>
  <c r="M2215" i="1" s="1"/>
  <c r="K2214" i="1"/>
  <c r="M2214" i="1" s="1"/>
  <c r="K2213" i="1"/>
  <c r="M2213" i="1" s="1"/>
  <c r="K2212" i="1"/>
  <c r="M2212" i="1" s="1"/>
  <c r="K2211" i="1"/>
  <c r="M2211" i="1" s="1"/>
  <c r="Q2210" i="1"/>
  <c r="T2210" i="1" s="1"/>
  <c r="K2210" i="1"/>
  <c r="M2210" i="1" s="1"/>
  <c r="K2209" i="1"/>
  <c r="M2209" i="1" s="1"/>
  <c r="K2208" i="1"/>
  <c r="M2208" i="1" s="1"/>
  <c r="K2207" i="1"/>
  <c r="M2207" i="1" s="1"/>
  <c r="K2206" i="1"/>
  <c r="M2206" i="1" s="1"/>
  <c r="K2205" i="1"/>
  <c r="M2205" i="1" s="1"/>
  <c r="K2204" i="1"/>
  <c r="M2204" i="1" s="1"/>
  <c r="K2203" i="1"/>
  <c r="M2203" i="1" s="1"/>
  <c r="K2202" i="1"/>
  <c r="M2202" i="1" s="1"/>
  <c r="K2201" i="1"/>
  <c r="M2201" i="1" s="1"/>
  <c r="K2200" i="1"/>
  <c r="M2200" i="1" s="1"/>
  <c r="K2199" i="1"/>
  <c r="M2199" i="1" s="1"/>
  <c r="K2198" i="1"/>
  <c r="M2198" i="1" s="1"/>
  <c r="K2197" i="1"/>
  <c r="M2197" i="1" s="1"/>
  <c r="K2196" i="1"/>
  <c r="M2196" i="1" s="1"/>
  <c r="K2195" i="1"/>
  <c r="M2195" i="1" s="1"/>
  <c r="K2194" i="1"/>
  <c r="M2194" i="1" s="1"/>
  <c r="K2193" i="1"/>
  <c r="M2193" i="1" s="1"/>
  <c r="K2192" i="1"/>
  <c r="M2192" i="1" s="1"/>
  <c r="K2191" i="1"/>
  <c r="M2191" i="1" s="1"/>
  <c r="K2190" i="1"/>
  <c r="M2190" i="1" s="1"/>
  <c r="K2189" i="1"/>
  <c r="M2189" i="1" s="1"/>
  <c r="K2188" i="1"/>
  <c r="M2188" i="1" s="1"/>
  <c r="K2187" i="1"/>
  <c r="M2187" i="1" s="1"/>
  <c r="K2186" i="1"/>
  <c r="M2186" i="1" s="1"/>
  <c r="K2185" i="1"/>
  <c r="M2185" i="1" s="1"/>
  <c r="K2184" i="1"/>
  <c r="M2184" i="1" s="1"/>
  <c r="K2183" i="1"/>
  <c r="M2183" i="1" s="1"/>
  <c r="K2182" i="1"/>
  <c r="M2182" i="1" s="1"/>
  <c r="T2181" i="1"/>
  <c r="K2181" i="1"/>
  <c r="M2181" i="1" s="1"/>
  <c r="K2180" i="1"/>
  <c r="M2180" i="1" s="1"/>
  <c r="K2179" i="1"/>
  <c r="M2179" i="1" s="1"/>
  <c r="K2178" i="1"/>
  <c r="M2178" i="1" s="1"/>
  <c r="K2177" i="1"/>
  <c r="M2177" i="1" s="1"/>
  <c r="K2176" i="1"/>
  <c r="M2176" i="1" s="1"/>
  <c r="T2175" i="1"/>
  <c r="K2175" i="1"/>
  <c r="M2175" i="1" s="1"/>
  <c r="T2174" i="1"/>
  <c r="K2174" i="1"/>
  <c r="M2174" i="1" s="1"/>
  <c r="K2173" i="1"/>
  <c r="M2173" i="1" s="1"/>
  <c r="K2172" i="1"/>
  <c r="M2172" i="1" s="1"/>
  <c r="K2171" i="1"/>
  <c r="M2171" i="1" s="1"/>
  <c r="K2170" i="1"/>
  <c r="M2170" i="1" s="1"/>
  <c r="K2169" i="1"/>
  <c r="M2169" i="1" s="1"/>
  <c r="K2168" i="1"/>
  <c r="M2168" i="1" s="1"/>
  <c r="K2167" i="1"/>
  <c r="M2167" i="1" s="1"/>
  <c r="K2166" i="1"/>
  <c r="M2166" i="1" s="1"/>
  <c r="K2165" i="1"/>
  <c r="M2165" i="1" s="1"/>
  <c r="K2164" i="1"/>
  <c r="M2164" i="1" s="1"/>
  <c r="K2163" i="1"/>
  <c r="M2163" i="1" s="1"/>
  <c r="K2162" i="1"/>
  <c r="M2162" i="1" s="1"/>
  <c r="K2161" i="1"/>
  <c r="M2161" i="1" s="1"/>
  <c r="K2160" i="1"/>
  <c r="M2160" i="1" s="1"/>
  <c r="K2159" i="1"/>
  <c r="M2159" i="1" s="1"/>
  <c r="K2158" i="1"/>
  <c r="M2158" i="1" s="1"/>
  <c r="K2157" i="1"/>
  <c r="M2157" i="1" s="1"/>
  <c r="K2156" i="1"/>
  <c r="M2156" i="1" s="1"/>
  <c r="K2155" i="1"/>
  <c r="M2155" i="1" s="1"/>
  <c r="K2154" i="1"/>
  <c r="M2154" i="1" s="1"/>
  <c r="K2153" i="1"/>
  <c r="M2153" i="1" s="1"/>
  <c r="K2152" i="1"/>
  <c r="M2152" i="1" s="1"/>
  <c r="K2151" i="1"/>
  <c r="M2151" i="1" s="1"/>
  <c r="K2150" i="1"/>
  <c r="M2150" i="1" s="1"/>
  <c r="K2149" i="1"/>
  <c r="M2149" i="1" s="1"/>
  <c r="K2148" i="1"/>
  <c r="M2148" i="1" s="1"/>
  <c r="K2147" i="1"/>
  <c r="M2147" i="1" s="1"/>
  <c r="K2146" i="1"/>
  <c r="M2146" i="1" s="1"/>
  <c r="K2145" i="1"/>
  <c r="M2145" i="1" s="1"/>
  <c r="K2144" i="1"/>
  <c r="M2144" i="1" s="1"/>
  <c r="K2143" i="1"/>
  <c r="M2143" i="1" s="1"/>
  <c r="K2142" i="1"/>
  <c r="M2142" i="1" s="1"/>
  <c r="K2141" i="1"/>
  <c r="M2141" i="1" s="1"/>
  <c r="K2140" i="1"/>
  <c r="M2140" i="1" s="1"/>
  <c r="K2139" i="1"/>
  <c r="M2139" i="1" s="1"/>
  <c r="T2138" i="1"/>
  <c r="K2138" i="1"/>
  <c r="M2138" i="1" s="1"/>
  <c r="K2137" i="1"/>
  <c r="M2137" i="1" s="1"/>
  <c r="K2136" i="1"/>
  <c r="M2136" i="1" s="1"/>
  <c r="T2135" i="1"/>
  <c r="K2135" i="1"/>
  <c r="M2135" i="1" s="1"/>
  <c r="K2134" i="1"/>
  <c r="M2134" i="1" s="1"/>
  <c r="K2133" i="1"/>
  <c r="M2133" i="1" s="1"/>
  <c r="K2132" i="1"/>
  <c r="M2132" i="1" s="1"/>
  <c r="K2131" i="1"/>
  <c r="M2131" i="1" s="1"/>
  <c r="K2130" i="1"/>
  <c r="M2130" i="1" s="1"/>
  <c r="K2129" i="1"/>
  <c r="M2129" i="1" s="1"/>
  <c r="K2128" i="1"/>
  <c r="M2128" i="1" s="1"/>
  <c r="K2127" i="1"/>
  <c r="M2127" i="1" s="1"/>
  <c r="K2126" i="1"/>
  <c r="M2126" i="1" s="1"/>
  <c r="K2125" i="1"/>
  <c r="M2125" i="1" s="1"/>
  <c r="K2124" i="1"/>
  <c r="M2124" i="1" s="1"/>
  <c r="K2123" i="1"/>
  <c r="M2123" i="1" s="1"/>
  <c r="K2122" i="1"/>
  <c r="M2122" i="1" s="1"/>
  <c r="K2121" i="1"/>
  <c r="K2120" i="1"/>
  <c r="M2120" i="1" s="1"/>
  <c r="K2119" i="1"/>
  <c r="M2119" i="1" s="1"/>
  <c r="K2118" i="1"/>
  <c r="M2118" i="1" s="1"/>
  <c r="K2117" i="1"/>
  <c r="M2117" i="1" s="1"/>
  <c r="K2116" i="1"/>
  <c r="M2116" i="1" s="1"/>
  <c r="K2115" i="1"/>
  <c r="M2115" i="1" s="1"/>
  <c r="K2114" i="1"/>
  <c r="M2114" i="1" s="1"/>
  <c r="K2113" i="1"/>
  <c r="M2113" i="1" s="1"/>
  <c r="K2112" i="1"/>
  <c r="M2112" i="1" s="1"/>
  <c r="K2111" i="1"/>
  <c r="M2111" i="1" s="1"/>
  <c r="K2110" i="1"/>
  <c r="M2110" i="1" s="1"/>
  <c r="K2109" i="1"/>
  <c r="M2109" i="1" s="1"/>
  <c r="K2108" i="1"/>
  <c r="M2108" i="1" s="1"/>
  <c r="K2107" i="1"/>
  <c r="M2107" i="1" s="1"/>
  <c r="K2106" i="1"/>
  <c r="M2106" i="1" s="1"/>
  <c r="K2105" i="1"/>
  <c r="M2105" i="1" s="1"/>
  <c r="K2104" i="1"/>
  <c r="M2104" i="1" s="1"/>
  <c r="K2103" i="1"/>
  <c r="M2103" i="1" s="1"/>
  <c r="K2102" i="1"/>
  <c r="M2102" i="1" s="1"/>
  <c r="K2101" i="1"/>
  <c r="M2101" i="1" s="1"/>
  <c r="K2100" i="1"/>
  <c r="M2100" i="1" s="1"/>
  <c r="T2099" i="1"/>
  <c r="K2099" i="1"/>
  <c r="M2099" i="1" s="1"/>
  <c r="K2098" i="1"/>
  <c r="M2098" i="1" s="1"/>
  <c r="K2097" i="1"/>
  <c r="M2097" i="1" s="1"/>
  <c r="K2096" i="1"/>
  <c r="M2096" i="1" s="1"/>
  <c r="K2095" i="1"/>
  <c r="M2095" i="1" s="1"/>
  <c r="K2094" i="1"/>
  <c r="M2094" i="1" s="1"/>
  <c r="K2093" i="1"/>
  <c r="M2093" i="1" s="1"/>
  <c r="K2092" i="1"/>
  <c r="M2092" i="1" s="1"/>
  <c r="K2091" i="1"/>
  <c r="M2091" i="1" s="1"/>
  <c r="K2090" i="1"/>
  <c r="M2090" i="1" s="1"/>
  <c r="K2089" i="1"/>
  <c r="M2089" i="1" s="1"/>
  <c r="K2088" i="1"/>
  <c r="M2088" i="1" s="1"/>
  <c r="K2087" i="1"/>
  <c r="M2087" i="1" s="1"/>
  <c r="K2086" i="1"/>
  <c r="M2086" i="1" s="1"/>
  <c r="K2085" i="1"/>
  <c r="M2085" i="1" s="1"/>
  <c r="K2084" i="1"/>
  <c r="M2084" i="1" s="1"/>
  <c r="K2083" i="1"/>
  <c r="M2083" i="1" s="1"/>
  <c r="K2082" i="1"/>
  <c r="M2082" i="1" s="1"/>
  <c r="K2081" i="1"/>
  <c r="M2081" i="1" s="1"/>
  <c r="K2080" i="1"/>
  <c r="M2080" i="1" s="1"/>
  <c r="K2079" i="1"/>
  <c r="M2079" i="1" s="1"/>
  <c r="K2078" i="1"/>
  <c r="M2078" i="1" s="1"/>
  <c r="K2077" i="1"/>
  <c r="M2077" i="1" s="1"/>
  <c r="K2076" i="1"/>
  <c r="M2076" i="1" s="1"/>
  <c r="K2075" i="1"/>
  <c r="M2075" i="1" s="1"/>
  <c r="K2074" i="1"/>
  <c r="M2074" i="1" s="1"/>
  <c r="K2073" i="1"/>
  <c r="M2073" i="1" s="1"/>
  <c r="K2072" i="1"/>
  <c r="M2072" i="1" s="1"/>
  <c r="K2071" i="1"/>
  <c r="M2071" i="1" s="1"/>
  <c r="K2070" i="1"/>
  <c r="M2070" i="1" s="1"/>
  <c r="K2069" i="1"/>
  <c r="M2069" i="1" s="1"/>
  <c r="K2068" i="1"/>
  <c r="M2068" i="1" s="1"/>
  <c r="K2067" i="1"/>
  <c r="M2067" i="1" s="1"/>
  <c r="K2066" i="1"/>
  <c r="M2066" i="1" s="1"/>
  <c r="K2065" i="1"/>
  <c r="M2065" i="1" s="1"/>
  <c r="K2064" i="1"/>
  <c r="M2064" i="1" s="1"/>
  <c r="K2063" i="1"/>
  <c r="M2063" i="1" s="1"/>
  <c r="K2062" i="1"/>
  <c r="M2062" i="1" s="1"/>
  <c r="K2061" i="1"/>
  <c r="M2061" i="1" s="1"/>
  <c r="K2060" i="1"/>
  <c r="M2060" i="1" s="1"/>
  <c r="K2059" i="1"/>
  <c r="M2059" i="1" s="1"/>
  <c r="Q2058" i="1"/>
  <c r="T2058" i="1" s="1"/>
  <c r="K2058" i="1"/>
  <c r="M2058" i="1" s="1"/>
  <c r="K2057" i="1"/>
  <c r="M2057" i="1" s="1"/>
  <c r="K2056" i="1"/>
  <c r="M2056" i="1" s="1"/>
  <c r="K2055" i="1"/>
  <c r="M2055" i="1" s="1"/>
  <c r="K2054" i="1"/>
  <c r="M2054" i="1" s="1"/>
  <c r="K2053" i="1"/>
  <c r="M2053" i="1" s="1"/>
  <c r="K2052" i="1"/>
  <c r="M2052" i="1" s="1"/>
  <c r="K2051" i="1"/>
  <c r="M2051" i="1" s="1"/>
  <c r="K2050" i="1"/>
  <c r="M2050" i="1" s="1"/>
  <c r="K2049" i="1"/>
  <c r="M2049" i="1" s="1"/>
  <c r="T2048" i="1"/>
  <c r="K2048" i="1"/>
  <c r="M2048" i="1" s="1"/>
  <c r="K2047" i="1"/>
  <c r="M2047" i="1" s="1"/>
  <c r="K2046" i="1"/>
  <c r="M2046" i="1" s="1"/>
  <c r="K2045" i="1"/>
  <c r="M2045" i="1" s="1"/>
  <c r="K2044" i="1"/>
  <c r="M2044" i="1" s="1"/>
  <c r="K2043" i="1"/>
  <c r="M2043" i="1" s="1"/>
  <c r="K2042" i="1"/>
  <c r="M2042" i="1" s="1"/>
  <c r="K2041" i="1"/>
  <c r="M2041" i="1" s="1"/>
  <c r="K2040" i="1"/>
  <c r="M2040" i="1" s="1"/>
  <c r="K2039" i="1"/>
  <c r="M2039" i="1" s="1"/>
  <c r="K2038" i="1"/>
  <c r="M2038" i="1" s="1"/>
  <c r="K2037" i="1"/>
  <c r="M2037" i="1" s="1"/>
  <c r="K2036" i="1"/>
  <c r="M2036" i="1" s="1"/>
  <c r="K2035" i="1"/>
  <c r="M2035" i="1" s="1"/>
  <c r="K2034" i="1"/>
  <c r="M2034" i="1" s="1"/>
  <c r="K2033" i="1"/>
  <c r="M2033" i="1" s="1"/>
  <c r="K2032" i="1"/>
  <c r="M2032" i="1" s="1"/>
  <c r="K2031" i="1"/>
  <c r="M2031" i="1" s="1"/>
  <c r="K2030" i="1"/>
  <c r="M2030" i="1" s="1"/>
  <c r="K2029" i="1"/>
  <c r="M2029" i="1" s="1"/>
  <c r="K2028" i="1"/>
  <c r="M2028" i="1" s="1"/>
  <c r="K2027" i="1"/>
  <c r="M2027" i="1" s="1"/>
  <c r="K2026" i="1"/>
  <c r="M2026" i="1" s="1"/>
  <c r="K2025" i="1"/>
  <c r="M2025" i="1" s="1"/>
  <c r="K2024" i="1"/>
  <c r="M2024" i="1" s="1"/>
  <c r="K2023" i="1"/>
  <c r="M2023" i="1" s="1"/>
  <c r="K2022" i="1"/>
  <c r="M2022" i="1" s="1"/>
  <c r="K2021" i="1"/>
  <c r="M2021" i="1" s="1"/>
  <c r="K2020" i="1"/>
  <c r="M2020" i="1" s="1"/>
  <c r="K2019" i="1"/>
  <c r="M2019" i="1" s="1"/>
  <c r="K2018" i="1"/>
  <c r="M2018" i="1" s="1"/>
  <c r="K2017" i="1"/>
  <c r="M2017" i="1" s="1"/>
  <c r="K2016" i="1"/>
  <c r="M2016" i="1" s="1"/>
  <c r="K2015" i="1"/>
  <c r="M2015" i="1" s="1"/>
  <c r="K2014" i="1"/>
  <c r="M2014" i="1" s="1"/>
  <c r="T2013" i="1"/>
  <c r="K2013" i="1"/>
  <c r="M2013" i="1" s="1"/>
  <c r="K2012" i="1"/>
  <c r="M2012" i="1" s="1"/>
  <c r="K2011" i="1"/>
  <c r="M2011" i="1" s="1"/>
  <c r="K2010" i="1"/>
  <c r="M2010" i="1" s="1"/>
  <c r="K2009" i="1"/>
  <c r="M2009" i="1" s="1"/>
  <c r="K2008" i="1"/>
  <c r="M2008" i="1" s="1"/>
  <c r="K2007" i="1"/>
  <c r="M2007" i="1" s="1"/>
  <c r="K2006" i="1"/>
  <c r="M2006" i="1" s="1"/>
  <c r="K2005" i="1"/>
  <c r="M2005" i="1" s="1"/>
  <c r="K2004" i="1"/>
  <c r="M2004" i="1" s="1"/>
  <c r="K2003" i="1"/>
  <c r="M2003" i="1" s="1"/>
  <c r="K2002" i="1"/>
  <c r="M2002" i="1" s="1"/>
  <c r="K2001" i="1"/>
  <c r="M2001" i="1" s="1"/>
  <c r="K2000" i="1"/>
  <c r="M2000" i="1" s="1"/>
  <c r="K1999" i="1"/>
  <c r="M1999" i="1" s="1"/>
  <c r="K1998" i="1"/>
  <c r="M1998" i="1" s="1"/>
  <c r="K1997" i="1"/>
  <c r="M1997" i="1" s="1"/>
  <c r="K1996" i="1"/>
  <c r="M1996" i="1" s="1"/>
  <c r="K1995" i="1"/>
  <c r="M1995" i="1" s="1"/>
  <c r="K1994" i="1"/>
  <c r="M1994" i="1" s="1"/>
  <c r="K1993" i="1"/>
  <c r="M1993" i="1" s="1"/>
  <c r="K1992" i="1"/>
  <c r="M1992" i="1" s="1"/>
  <c r="K1991" i="1"/>
  <c r="M1991" i="1" s="1"/>
  <c r="K1990" i="1"/>
  <c r="M1990" i="1" s="1"/>
  <c r="K1989" i="1"/>
  <c r="M1989" i="1" s="1"/>
  <c r="K1988" i="1"/>
  <c r="M1988" i="1" s="1"/>
  <c r="K1987" i="1"/>
  <c r="M1987" i="1" s="1"/>
  <c r="K1986" i="1"/>
  <c r="M1986" i="1" s="1"/>
  <c r="K1985" i="1"/>
  <c r="M1985" i="1" s="1"/>
  <c r="K1984" i="1"/>
  <c r="M1984" i="1" s="1"/>
  <c r="K1983" i="1"/>
  <c r="M1983" i="1" s="1"/>
  <c r="K1982" i="1"/>
  <c r="M1982" i="1" s="1"/>
  <c r="K1981" i="1"/>
  <c r="M1981" i="1" s="1"/>
  <c r="K1980" i="1"/>
  <c r="M1980" i="1" s="1"/>
  <c r="K1979" i="1"/>
  <c r="M1979" i="1" s="1"/>
  <c r="K1978" i="1"/>
  <c r="M1978" i="1" s="1"/>
  <c r="K1977" i="1"/>
  <c r="M1977" i="1" s="1"/>
  <c r="T1976" i="1"/>
  <c r="K1976" i="1"/>
  <c r="M1976" i="1" s="1"/>
  <c r="K1975" i="1"/>
  <c r="M1975" i="1" s="1"/>
  <c r="K1974" i="1"/>
  <c r="M1974" i="1" s="1"/>
  <c r="K1973" i="1"/>
  <c r="M1973" i="1" s="1"/>
  <c r="K1972" i="1"/>
  <c r="M1972" i="1" s="1"/>
  <c r="K1971" i="1"/>
  <c r="M1971" i="1" s="1"/>
  <c r="K1970" i="1"/>
  <c r="M1970" i="1" s="1"/>
  <c r="K1969" i="1"/>
  <c r="M1969" i="1" s="1"/>
  <c r="K1968" i="1"/>
  <c r="M1968" i="1" s="1"/>
  <c r="K1967" i="1"/>
  <c r="M1967" i="1" s="1"/>
  <c r="K1966" i="1"/>
  <c r="M1966" i="1" s="1"/>
  <c r="K1965" i="1"/>
  <c r="M1965" i="1" s="1"/>
  <c r="K1964" i="1"/>
  <c r="M1964" i="1" s="1"/>
  <c r="K1962" i="1"/>
  <c r="M1962" i="1" s="1"/>
  <c r="K1961" i="1"/>
  <c r="M1961" i="1" s="1"/>
  <c r="K1960" i="1"/>
  <c r="M1960" i="1" s="1"/>
  <c r="K1959" i="1"/>
  <c r="M1959" i="1" s="1"/>
  <c r="K1958" i="1"/>
  <c r="M1958" i="1" s="1"/>
  <c r="T1957" i="1"/>
  <c r="K1957" i="1"/>
  <c r="M1957" i="1" s="1"/>
  <c r="K1956" i="1"/>
  <c r="M1956" i="1" s="1"/>
  <c r="K1955" i="1"/>
  <c r="M1955" i="1" s="1"/>
  <c r="K1954" i="1"/>
  <c r="M1954" i="1" s="1"/>
  <c r="K1953" i="1"/>
  <c r="M1953" i="1" s="1"/>
  <c r="K1952" i="1"/>
  <c r="M1952" i="1" s="1"/>
  <c r="K1951" i="1"/>
  <c r="M1951" i="1" s="1"/>
  <c r="K1950" i="1"/>
  <c r="M1950" i="1" s="1"/>
  <c r="K1949" i="1"/>
  <c r="M1949" i="1" s="1"/>
  <c r="K1948" i="1"/>
  <c r="M1948" i="1" s="1"/>
  <c r="K1947" i="1"/>
  <c r="M1947" i="1" s="1"/>
  <c r="K1946" i="1"/>
  <c r="M1946" i="1" s="1"/>
  <c r="K1945" i="1"/>
  <c r="M1945" i="1" s="1"/>
  <c r="K1944" i="1"/>
  <c r="M1944" i="1" s="1"/>
  <c r="K1943" i="1"/>
  <c r="M1943" i="1" s="1"/>
  <c r="K1942" i="1"/>
  <c r="M1942" i="1" s="1"/>
  <c r="K1941" i="1"/>
  <c r="M1941" i="1" s="1"/>
  <c r="K1940" i="1"/>
  <c r="M1940" i="1" s="1"/>
  <c r="K1938" i="1"/>
  <c r="M1938" i="1" s="1"/>
  <c r="K1937" i="1"/>
  <c r="M1937" i="1" s="1"/>
  <c r="K1936" i="1"/>
  <c r="M1936" i="1" s="1"/>
  <c r="T1935" i="1"/>
  <c r="K1935" i="1"/>
  <c r="M1935" i="1" s="1"/>
  <c r="K1934" i="1"/>
  <c r="M1934" i="1" s="1"/>
  <c r="K1933" i="1"/>
  <c r="M1933" i="1" s="1"/>
  <c r="K1932" i="1"/>
  <c r="M1932" i="1" s="1"/>
  <c r="K1931" i="1"/>
  <c r="M1931" i="1" s="1"/>
  <c r="K1930" i="1"/>
  <c r="M1930" i="1" s="1"/>
  <c r="K1929" i="1"/>
  <c r="M1929" i="1" s="1"/>
  <c r="K1928" i="1"/>
  <c r="M1928" i="1" s="1"/>
  <c r="K1927" i="1"/>
  <c r="M1927" i="1" s="1"/>
  <c r="K1926" i="1"/>
  <c r="M1926" i="1" s="1"/>
  <c r="K1925" i="1"/>
  <c r="M1925" i="1" s="1"/>
  <c r="K1924" i="1"/>
  <c r="M1924" i="1" s="1"/>
  <c r="K1923" i="1"/>
  <c r="M1923" i="1" s="1"/>
  <c r="K1922" i="1"/>
  <c r="M1922" i="1" s="1"/>
  <c r="K1921" i="1"/>
  <c r="M1921" i="1" s="1"/>
  <c r="K1920" i="1"/>
  <c r="M1920" i="1" s="1"/>
  <c r="K1919" i="1"/>
  <c r="M1919" i="1" s="1"/>
  <c r="K1918" i="1"/>
  <c r="M1918" i="1" s="1"/>
  <c r="Q1917" i="1"/>
  <c r="T1917" i="1" s="1"/>
  <c r="K1917" i="1"/>
  <c r="M1917" i="1" s="1"/>
  <c r="K1916" i="1"/>
  <c r="M1916" i="1" s="1"/>
  <c r="K1915" i="1"/>
  <c r="M1915" i="1" s="1"/>
  <c r="K1914" i="1"/>
  <c r="M1914" i="1" s="1"/>
  <c r="K1913" i="1"/>
  <c r="M1913" i="1" s="1"/>
  <c r="K1912" i="1"/>
  <c r="M1912" i="1" s="1"/>
  <c r="K1911" i="1"/>
  <c r="M1911" i="1" s="1"/>
  <c r="K1910" i="1"/>
  <c r="M1910" i="1" s="1"/>
  <c r="K1909" i="1"/>
  <c r="M1909" i="1" s="1"/>
  <c r="K1908" i="1"/>
  <c r="M1908" i="1" s="1"/>
  <c r="K1907" i="1"/>
  <c r="M1907" i="1" s="1"/>
  <c r="K1906" i="1"/>
  <c r="M1906" i="1" s="1"/>
  <c r="K1905" i="1"/>
  <c r="M1905" i="1" s="1"/>
  <c r="K1904" i="1"/>
  <c r="M1904" i="1" s="1"/>
  <c r="K1903" i="1"/>
  <c r="M1903" i="1" s="1"/>
  <c r="K1902" i="1"/>
  <c r="M1902" i="1" s="1"/>
  <c r="K1901" i="1"/>
  <c r="M1901" i="1" s="1"/>
  <c r="K1900" i="1"/>
  <c r="M1900" i="1" s="1"/>
  <c r="K1899" i="1"/>
  <c r="M1899" i="1" s="1"/>
  <c r="K1898" i="1"/>
  <c r="M1898" i="1" s="1"/>
  <c r="K1897" i="1"/>
  <c r="M1897" i="1" s="1"/>
  <c r="K1896" i="1"/>
  <c r="M1896" i="1" s="1"/>
  <c r="K1895" i="1"/>
  <c r="M1895" i="1" s="1"/>
  <c r="K1894" i="1"/>
  <c r="M1894" i="1" s="1"/>
  <c r="K1893" i="1"/>
  <c r="M1893" i="1" s="1"/>
  <c r="K1892" i="1"/>
  <c r="M1892" i="1" s="1"/>
  <c r="Q1891" i="1"/>
  <c r="T1891" i="1" s="1"/>
  <c r="K1891" i="1"/>
  <c r="M1891" i="1" s="1"/>
  <c r="K1890" i="1"/>
  <c r="M1890" i="1" s="1"/>
  <c r="K1889" i="1"/>
  <c r="M1889" i="1" s="1"/>
  <c r="K1888" i="1"/>
  <c r="M1888" i="1" s="1"/>
  <c r="K1887" i="1"/>
  <c r="M1887" i="1" s="1"/>
  <c r="K1886" i="1"/>
  <c r="M1886" i="1" s="1"/>
  <c r="K1885" i="1"/>
  <c r="M1885" i="1" s="1"/>
  <c r="K1884" i="1"/>
  <c r="M1884" i="1" s="1"/>
  <c r="K1883" i="1"/>
  <c r="M1883" i="1" s="1"/>
  <c r="K1882" i="1"/>
  <c r="M1882" i="1" s="1"/>
  <c r="K1881" i="1"/>
  <c r="M1881" i="1" s="1"/>
  <c r="K1880" i="1"/>
  <c r="M1880" i="1" s="1"/>
  <c r="K1879" i="1"/>
  <c r="M1879" i="1" s="1"/>
  <c r="K1878" i="1"/>
  <c r="M1878" i="1" s="1"/>
  <c r="K1877" i="1"/>
  <c r="M1877" i="1" s="1"/>
  <c r="K1876" i="1"/>
  <c r="M1876" i="1" s="1"/>
  <c r="K1875" i="1"/>
  <c r="M1875" i="1" s="1"/>
  <c r="K1874" i="1"/>
  <c r="M1874" i="1" s="1"/>
  <c r="K1873" i="1"/>
  <c r="M1873" i="1" s="1"/>
  <c r="K1872" i="1"/>
  <c r="M1872" i="1" s="1"/>
  <c r="K1871" i="1"/>
  <c r="M1871" i="1" s="1"/>
  <c r="K1870" i="1"/>
  <c r="M1870" i="1" s="1"/>
  <c r="K1869" i="1"/>
  <c r="M1869" i="1" s="1"/>
  <c r="K1868" i="1"/>
  <c r="M1868" i="1" s="1"/>
  <c r="K1867" i="1"/>
  <c r="M1867" i="1" s="1"/>
  <c r="K1866" i="1"/>
  <c r="M1866" i="1" s="1"/>
  <c r="K1865" i="1"/>
  <c r="M1865" i="1" s="1"/>
  <c r="K1864" i="1"/>
  <c r="M1864" i="1" s="1"/>
  <c r="K1863" i="1"/>
  <c r="M1863" i="1" s="1"/>
  <c r="K1862" i="1"/>
  <c r="M1862" i="1" s="1"/>
  <c r="K1861" i="1"/>
  <c r="M1861" i="1" s="1"/>
  <c r="K1860" i="1"/>
  <c r="M1860" i="1" s="1"/>
  <c r="K1859" i="1"/>
  <c r="M1859" i="1" s="1"/>
  <c r="K1858" i="1"/>
  <c r="M1858" i="1" s="1"/>
  <c r="K1857" i="1"/>
  <c r="M1857" i="1" s="1"/>
  <c r="K1856" i="1"/>
  <c r="M1856" i="1" s="1"/>
  <c r="K1855" i="1"/>
  <c r="M1855" i="1" s="1"/>
  <c r="K1854" i="1"/>
  <c r="M1854" i="1" s="1"/>
  <c r="K1853" i="1"/>
  <c r="M1853" i="1" s="1"/>
  <c r="Q1852" i="1"/>
  <c r="T1852" i="1" s="1"/>
  <c r="K1852" i="1"/>
  <c r="M1852" i="1" s="1"/>
  <c r="Q1851" i="1"/>
  <c r="T1851" i="1" s="1"/>
  <c r="G1851" i="1"/>
  <c r="K1851" i="1" s="1"/>
  <c r="M1851" i="1" s="1"/>
  <c r="K1850" i="1"/>
  <c r="M1850" i="1" s="1"/>
  <c r="K1849" i="1"/>
  <c r="M1849" i="1" s="1"/>
  <c r="K1848" i="1"/>
  <c r="M1848" i="1" s="1"/>
  <c r="K1847" i="1"/>
  <c r="M1847" i="1" s="1"/>
  <c r="K1846" i="1"/>
  <c r="M1846" i="1" s="1"/>
  <c r="K1845" i="1"/>
  <c r="M1845" i="1" s="1"/>
  <c r="K1844" i="1"/>
  <c r="M1844" i="1" s="1"/>
  <c r="K1843" i="1"/>
  <c r="M1843" i="1" s="1"/>
  <c r="K1842" i="1"/>
  <c r="M1842" i="1" s="1"/>
  <c r="K1841" i="1"/>
  <c r="M1841" i="1" s="1"/>
  <c r="K1839" i="1"/>
  <c r="M1839" i="1" s="1"/>
  <c r="K1838" i="1"/>
  <c r="M1838" i="1" s="1"/>
  <c r="K1837" i="1"/>
  <c r="M1837" i="1" s="1"/>
  <c r="K1836" i="1"/>
  <c r="M1836" i="1" s="1"/>
  <c r="K1835" i="1"/>
  <c r="M1835" i="1" s="1"/>
  <c r="K1834" i="1"/>
  <c r="M1834" i="1" s="1"/>
  <c r="K1833" i="1"/>
  <c r="M1833" i="1" s="1"/>
  <c r="K1832" i="1"/>
  <c r="M1832" i="1" s="1"/>
  <c r="K1831" i="1"/>
  <c r="M1831" i="1" s="1"/>
  <c r="K1830" i="1"/>
  <c r="M1830" i="1" s="1"/>
  <c r="K1829" i="1"/>
  <c r="M1829" i="1" s="1"/>
  <c r="T1828" i="1"/>
  <c r="K1828" i="1"/>
  <c r="M1828" i="1" s="1"/>
  <c r="K1827" i="1"/>
  <c r="M1827" i="1" s="1"/>
  <c r="T1826" i="1"/>
  <c r="K1826" i="1"/>
  <c r="M1826" i="1" s="1"/>
  <c r="K1825" i="1"/>
  <c r="M1825" i="1" s="1"/>
  <c r="K1824" i="1"/>
  <c r="M1824" i="1" s="1"/>
  <c r="K1823" i="1"/>
  <c r="M1823" i="1" s="1"/>
  <c r="K1822" i="1"/>
  <c r="M1822" i="1" s="1"/>
  <c r="Q1821" i="1"/>
  <c r="T1821" i="1" s="1"/>
  <c r="K1821" i="1"/>
  <c r="M1821" i="1" s="1"/>
  <c r="K1820" i="1"/>
  <c r="M1820" i="1" s="1"/>
  <c r="K1819" i="1"/>
  <c r="M1819" i="1" s="1"/>
  <c r="K1818" i="1"/>
  <c r="M1818" i="1" s="1"/>
  <c r="K1817" i="1"/>
  <c r="M1817" i="1" s="1"/>
  <c r="K1816" i="1"/>
  <c r="M1816" i="1" s="1"/>
  <c r="K1815" i="1"/>
  <c r="M1815" i="1" s="1"/>
  <c r="K1814" i="1"/>
  <c r="M1814" i="1" s="1"/>
  <c r="K1813" i="1"/>
  <c r="M1813" i="1" s="1"/>
  <c r="K1812" i="1"/>
  <c r="M1812" i="1" s="1"/>
  <c r="K1811" i="1"/>
  <c r="M1811" i="1" s="1"/>
  <c r="K1810" i="1"/>
  <c r="M1810" i="1" s="1"/>
  <c r="K1809" i="1"/>
  <c r="M1809" i="1" s="1"/>
  <c r="K1808" i="1"/>
  <c r="M1808" i="1" s="1"/>
  <c r="K1807" i="1"/>
  <c r="M1807" i="1" s="1"/>
  <c r="K1806" i="1"/>
  <c r="M1806" i="1" s="1"/>
  <c r="K1805" i="1"/>
  <c r="M1805" i="1" s="1"/>
  <c r="T1804" i="1"/>
  <c r="K1804" i="1"/>
  <c r="M1804" i="1" s="1"/>
  <c r="K1803" i="1"/>
  <c r="M1803" i="1" s="1"/>
  <c r="K1802" i="1"/>
  <c r="M1802" i="1" s="1"/>
  <c r="K1801" i="1"/>
  <c r="M1801" i="1" s="1"/>
  <c r="K1800" i="1"/>
  <c r="M1800" i="1" s="1"/>
  <c r="K1799" i="1"/>
  <c r="M1799" i="1" s="1"/>
  <c r="K1798" i="1"/>
  <c r="M1798" i="1" s="1"/>
  <c r="K1797" i="1"/>
  <c r="M1797" i="1" s="1"/>
  <c r="K1796" i="1"/>
  <c r="M1796" i="1" s="1"/>
  <c r="K1795" i="1"/>
  <c r="M1795" i="1" s="1"/>
  <c r="K1794" i="1"/>
  <c r="M1794" i="1" s="1"/>
  <c r="K1793" i="1"/>
  <c r="M1793" i="1" s="1"/>
  <c r="K1792" i="1"/>
  <c r="M1792" i="1" s="1"/>
  <c r="T1791" i="1"/>
  <c r="N1791" i="1"/>
  <c r="K1791" i="1"/>
  <c r="M1791" i="1" s="1"/>
  <c r="K1790" i="1"/>
  <c r="M1790" i="1" s="1"/>
  <c r="K1789" i="1"/>
  <c r="M1789" i="1" s="1"/>
  <c r="K1788" i="1"/>
  <c r="M1788" i="1" s="1"/>
  <c r="K1787" i="1"/>
  <c r="M1787" i="1" s="1"/>
  <c r="K1785" i="1"/>
  <c r="M1785" i="1" s="1"/>
  <c r="K1784" i="1"/>
  <c r="M1784" i="1" s="1"/>
  <c r="K1783" i="1"/>
  <c r="M1783" i="1" s="1"/>
  <c r="K1782" i="1"/>
  <c r="M1782" i="1" s="1"/>
  <c r="K1781" i="1"/>
  <c r="M1781" i="1" s="1"/>
  <c r="K1780" i="1"/>
  <c r="M1780" i="1" s="1"/>
  <c r="K1779" i="1"/>
  <c r="M1779" i="1" s="1"/>
  <c r="K1778" i="1"/>
  <c r="M1778" i="1" s="1"/>
  <c r="K1777" i="1"/>
  <c r="M1777" i="1" s="1"/>
  <c r="K1776" i="1"/>
  <c r="M1776" i="1" s="1"/>
  <c r="K1775" i="1"/>
  <c r="M1775" i="1" s="1"/>
  <c r="K1774" i="1"/>
  <c r="M1774" i="1" s="1"/>
  <c r="K1773" i="1"/>
  <c r="M1773" i="1" s="1"/>
  <c r="K1772" i="1"/>
  <c r="M1772" i="1" s="1"/>
  <c r="K1771" i="1"/>
  <c r="M1771" i="1" s="1"/>
  <c r="Q1770" i="1"/>
  <c r="T1770" i="1" s="1"/>
  <c r="K1770" i="1"/>
  <c r="M1770" i="1" s="1"/>
  <c r="K1769" i="1"/>
  <c r="M1769" i="1" s="1"/>
  <c r="K1768" i="1"/>
  <c r="M1768" i="1" s="1"/>
  <c r="K1767" i="1"/>
  <c r="M1767" i="1" s="1"/>
  <c r="K1766" i="1"/>
  <c r="M1766" i="1" s="1"/>
  <c r="K1765" i="1"/>
  <c r="M1765" i="1" s="1"/>
  <c r="K1764" i="1"/>
  <c r="M1764" i="1" s="1"/>
  <c r="K1763" i="1"/>
  <c r="M1763" i="1" s="1"/>
  <c r="K1762" i="1"/>
  <c r="M1762" i="1" s="1"/>
  <c r="K1761" i="1"/>
  <c r="M1761" i="1" s="1"/>
  <c r="T1760" i="1"/>
  <c r="K1760" i="1"/>
  <c r="M1760" i="1" s="1"/>
  <c r="Q1759" i="1"/>
  <c r="T1759" i="1" s="1"/>
  <c r="K1759" i="1"/>
  <c r="M1759" i="1" s="1"/>
  <c r="K1758" i="1"/>
  <c r="M1758" i="1" s="1"/>
  <c r="T1757" i="1"/>
  <c r="K1757" i="1"/>
  <c r="M1757" i="1" s="1"/>
  <c r="K1756" i="1"/>
  <c r="M1756" i="1" s="1"/>
  <c r="K1755" i="1"/>
  <c r="M1755" i="1" s="1"/>
  <c r="K1754" i="1"/>
  <c r="M1754" i="1" s="1"/>
  <c r="K1753" i="1"/>
  <c r="M1753" i="1" s="1"/>
  <c r="K1752" i="1"/>
  <c r="M1752" i="1" s="1"/>
  <c r="K1751" i="1"/>
  <c r="M1751" i="1" s="1"/>
  <c r="K1750" i="1"/>
  <c r="M1750" i="1" s="1"/>
  <c r="K1749" i="1"/>
  <c r="M1749" i="1" s="1"/>
  <c r="K1748" i="1"/>
  <c r="M1748" i="1" s="1"/>
  <c r="K1747" i="1"/>
  <c r="M1747" i="1" s="1"/>
  <c r="K1746" i="1"/>
  <c r="M1746" i="1" s="1"/>
  <c r="K1745" i="1"/>
  <c r="M1745" i="1" s="1"/>
  <c r="K1744" i="1"/>
  <c r="M1744" i="1" s="1"/>
  <c r="K1743" i="1"/>
  <c r="M1743" i="1" s="1"/>
  <c r="K1742" i="1"/>
  <c r="M1742" i="1" s="1"/>
  <c r="K1741" i="1"/>
  <c r="M1741" i="1" s="1"/>
  <c r="K1740" i="1"/>
  <c r="M1740" i="1" s="1"/>
  <c r="K1739" i="1"/>
  <c r="M1739" i="1" s="1"/>
  <c r="K1738" i="1"/>
  <c r="M1738" i="1" s="1"/>
  <c r="K1737" i="1"/>
  <c r="M1737" i="1" s="1"/>
  <c r="K1736" i="1"/>
  <c r="M1736" i="1" s="1"/>
  <c r="K1735" i="1"/>
  <c r="M1735" i="1" s="1"/>
  <c r="K1734" i="1"/>
  <c r="M1734" i="1" s="1"/>
  <c r="K1733" i="1"/>
  <c r="M1733" i="1" s="1"/>
  <c r="K1732" i="1"/>
  <c r="M1732" i="1" s="1"/>
  <c r="K1731" i="1"/>
  <c r="M1731" i="1" s="1"/>
  <c r="K1730" i="1"/>
  <c r="M1730" i="1" s="1"/>
  <c r="K1729" i="1"/>
  <c r="M1729" i="1" s="1"/>
  <c r="K1727" i="1"/>
  <c r="M1727" i="1" s="1"/>
  <c r="K1726" i="1"/>
  <c r="M1726" i="1" s="1"/>
  <c r="K1725" i="1"/>
  <c r="M1725" i="1" s="1"/>
  <c r="K1724" i="1"/>
  <c r="M1724" i="1" s="1"/>
  <c r="K1723" i="1"/>
  <c r="M1723" i="1" s="1"/>
  <c r="K1722" i="1"/>
  <c r="M1722" i="1" s="1"/>
  <c r="K1721" i="1"/>
  <c r="M1721" i="1" s="1"/>
  <c r="K1720" i="1"/>
  <c r="M1720" i="1" s="1"/>
  <c r="K1719" i="1"/>
  <c r="M1719" i="1" s="1"/>
  <c r="K1718" i="1"/>
  <c r="M1718" i="1" s="1"/>
  <c r="K1717" i="1"/>
  <c r="M1717" i="1" s="1"/>
  <c r="K1716" i="1"/>
  <c r="M1716" i="1" s="1"/>
  <c r="K1715" i="1"/>
  <c r="M1715" i="1" s="1"/>
  <c r="K1714" i="1"/>
  <c r="M1714" i="1" s="1"/>
  <c r="K1713" i="1"/>
  <c r="M1713" i="1" s="1"/>
  <c r="K1712" i="1"/>
  <c r="M1712" i="1" s="1"/>
  <c r="K1711" i="1"/>
  <c r="M1711" i="1" s="1"/>
  <c r="K1710" i="1"/>
  <c r="M1710" i="1" s="1"/>
  <c r="K1709" i="1"/>
  <c r="M1709" i="1" s="1"/>
  <c r="K1708" i="1"/>
  <c r="M1708" i="1" s="1"/>
  <c r="K1707" i="1"/>
  <c r="M1707" i="1" s="1"/>
  <c r="K1706" i="1"/>
  <c r="M1706" i="1" s="1"/>
  <c r="K1705" i="1"/>
  <c r="M1705" i="1" s="1"/>
  <c r="K1704" i="1"/>
  <c r="M1704" i="1" s="1"/>
  <c r="K1703" i="1"/>
  <c r="M1703" i="1" s="1"/>
  <c r="K1702" i="1"/>
  <c r="M1702" i="1" s="1"/>
  <c r="K1701" i="1"/>
  <c r="M1701" i="1" s="1"/>
  <c r="K1700" i="1"/>
  <c r="M1700" i="1" s="1"/>
  <c r="K1699" i="1"/>
  <c r="M1699" i="1" s="1"/>
  <c r="K1698" i="1"/>
  <c r="M1698" i="1" s="1"/>
  <c r="K1697" i="1"/>
  <c r="M1697" i="1" s="1"/>
  <c r="K1696" i="1"/>
  <c r="M1696" i="1" s="1"/>
  <c r="K1695" i="1"/>
  <c r="M1695" i="1" s="1"/>
  <c r="K1694" i="1"/>
  <c r="M1694" i="1" s="1"/>
  <c r="K1693" i="1"/>
  <c r="M1693" i="1" s="1"/>
  <c r="K1692" i="1"/>
  <c r="M1692" i="1" s="1"/>
  <c r="K1691" i="1"/>
  <c r="M1691" i="1" s="1"/>
  <c r="K1690" i="1"/>
  <c r="M1690" i="1" s="1"/>
  <c r="K1689" i="1"/>
  <c r="M1689" i="1" s="1"/>
  <c r="Q1688" i="1"/>
  <c r="T1688" i="1" s="1"/>
  <c r="H1688" i="1"/>
  <c r="K1688" i="1" s="1"/>
  <c r="M1688" i="1" s="1"/>
  <c r="K1687" i="1"/>
  <c r="M1687" i="1" s="1"/>
  <c r="K1686" i="1"/>
  <c r="M1686" i="1" s="1"/>
  <c r="K1685" i="1"/>
  <c r="M1685" i="1" s="1"/>
  <c r="K1684" i="1"/>
  <c r="M1684" i="1" s="1"/>
  <c r="I1683" i="1"/>
  <c r="K1683" i="1" s="1"/>
  <c r="M1683" i="1" s="1"/>
  <c r="K1682" i="1"/>
  <c r="M1682" i="1" s="1"/>
  <c r="K1681" i="1"/>
  <c r="M1681" i="1" s="1"/>
  <c r="K1680" i="1"/>
  <c r="M1680" i="1" s="1"/>
  <c r="K1679" i="1"/>
  <c r="M1679" i="1" s="1"/>
  <c r="K1678" i="1"/>
  <c r="M1678" i="1" s="1"/>
  <c r="K1677" i="1"/>
  <c r="M1677" i="1" s="1"/>
  <c r="K1676" i="1"/>
  <c r="M1676" i="1" s="1"/>
  <c r="K1675" i="1"/>
  <c r="M1675" i="1" s="1"/>
  <c r="K1674" i="1"/>
  <c r="M1674" i="1" s="1"/>
  <c r="K1673" i="1"/>
  <c r="M1673" i="1" s="1"/>
  <c r="K1672" i="1"/>
  <c r="M1672" i="1" s="1"/>
  <c r="K1671" i="1"/>
  <c r="M1671" i="1" s="1"/>
  <c r="K1670" i="1"/>
  <c r="M1670" i="1" s="1"/>
  <c r="K1669" i="1"/>
  <c r="M1669" i="1" s="1"/>
  <c r="K1668" i="1"/>
  <c r="M1668" i="1" s="1"/>
  <c r="K1667" i="1"/>
  <c r="M1667" i="1" s="1"/>
  <c r="K1666" i="1"/>
  <c r="M1666" i="1" s="1"/>
  <c r="K1665" i="1"/>
  <c r="M1665" i="1" s="1"/>
  <c r="K1664" i="1"/>
  <c r="M1664" i="1" s="1"/>
  <c r="K1663" i="1"/>
  <c r="M1663" i="1" s="1"/>
  <c r="K1662" i="1"/>
  <c r="M1662" i="1" s="1"/>
  <c r="K1661" i="1"/>
  <c r="M1661" i="1" s="1"/>
  <c r="K1660" i="1"/>
  <c r="M1660" i="1" s="1"/>
  <c r="K1659" i="1"/>
  <c r="M1659" i="1" s="1"/>
  <c r="K1658" i="1"/>
  <c r="M1658" i="1" s="1"/>
  <c r="K1657" i="1"/>
  <c r="M1657" i="1" s="1"/>
  <c r="K1656" i="1"/>
  <c r="M1656" i="1" s="1"/>
  <c r="K1655" i="1"/>
  <c r="M1655" i="1" s="1"/>
  <c r="K1654" i="1"/>
  <c r="M1654" i="1" s="1"/>
  <c r="K1653" i="1"/>
  <c r="M1653" i="1" s="1"/>
  <c r="K1652" i="1"/>
  <c r="M1652" i="1" s="1"/>
  <c r="K1651" i="1"/>
  <c r="M1651" i="1" s="1"/>
  <c r="K1650" i="1"/>
  <c r="M1650" i="1" s="1"/>
  <c r="K1649" i="1"/>
  <c r="M1649" i="1" s="1"/>
  <c r="K1648" i="1"/>
  <c r="M1648" i="1" s="1"/>
  <c r="K1647" i="1"/>
  <c r="M1647" i="1" s="1"/>
  <c r="K1646" i="1"/>
  <c r="M1646" i="1" s="1"/>
  <c r="K1645" i="1"/>
  <c r="M1645" i="1" s="1"/>
  <c r="K1644" i="1"/>
  <c r="M1644" i="1" s="1"/>
  <c r="K1643" i="1"/>
  <c r="M1643" i="1" s="1"/>
  <c r="K1642" i="1"/>
  <c r="M1642" i="1" s="1"/>
  <c r="K1641" i="1"/>
  <c r="M1641" i="1" s="1"/>
  <c r="K1640" i="1"/>
  <c r="M1640" i="1" s="1"/>
  <c r="T1639" i="1"/>
  <c r="K1639" i="1"/>
  <c r="M1639" i="1" s="1"/>
  <c r="K1638" i="1"/>
  <c r="M1638" i="1" s="1"/>
  <c r="T1637" i="1"/>
  <c r="K1637" i="1"/>
  <c r="M1637" i="1" s="1"/>
  <c r="K1636" i="1"/>
  <c r="M1636" i="1" s="1"/>
  <c r="K1635" i="1"/>
  <c r="M1635" i="1" s="1"/>
  <c r="K1634" i="1"/>
  <c r="M1634" i="1" s="1"/>
  <c r="Q1633" i="1"/>
  <c r="T1633" i="1" s="1"/>
  <c r="K1633" i="1"/>
  <c r="M1633" i="1" s="1"/>
  <c r="K1632" i="1"/>
  <c r="M1632" i="1" s="1"/>
  <c r="K1631" i="1"/>
  <c r="M1631" i="1" s="1"/>
  <c r="K1630" i="1"/>
  <c r="M1630" i="1" s="1"/>
  <c r="K1629" i="1"/>
  <c r="M1629" i="1" s="1"/>
  <c r="K1628" i="1"/>
  <c r="M1628" i="1" s="1"/>
  <c r="K1627" i="1"/>
  <c r="M1627" i="1" s="1"/>
  <c r="K1626" i="1"/>
  <c r="M1626" i="1" s="1"/>
  <c r="K1625" i="1"/>
  <c r="M1625" i="1" s="1"/>
  <c r="K1624" i="1"/>
  <c r="M1624" i="1" s="1"/>
  <c r="K1623" i="1"/>
  <c r="M1623" i="1" s="1"/>
  <c r="K1622" i="1"/>
  <c r="M1622" i="1" s="1"/>
  <c r="K1621" i="1"/>
  <c r="M1621" i="1" s="1"/>
  <c r="K1620" i="1"/>
  <c r="M1620" i="1" s="1"/>
  <c r="K1619" i="1"/>
  <c r="M1619" i="1" s="1"/>
  <c r="K1618" i="1"/>
  <c r="M1618" i="1" s="1"/>
  <c r="K1617" i="1"/>
  <c r="M1617" i="1" s="1"/>
  <c r="K1616" i="1"/>
  <c r="M1616" i="1" s="1"/>
  <c r="K1615" i="1"/>
  <c r="M1615" i="1" s="1"/>
  <c r="K1614" i="1"/>
  <c r="M1614" i="1" s="1"/>
  <c r="K1613" i="1"/>
  <c r="M1613" i="1" s="1"/>
  <c r="K1612" i="1"/>
  <c r="M1612" i="1" s="1"/>
  <c r="K1611" i="1"/>
  <c r="M1611" i="1" s="1"/>
  <c r="K1610" i="1"/>
  <c r="M1610" i="1" s="1"/>
  <c r="Q1609" i="1"/>
  <c r="T1609" i="1" s="1"/>
  <c r="G1609" i="1"/>
  <c r="K1609" i="1" s="1"/>
  <c r="M1609" i="1" s="1"/>
  <c r="K1608" i="1"/>
  <c r="M1608" i="1" s="1"/>
  <c r="K1607" i="1"/>
  <c r="M1607" i="1" s="1"/>
  <c r="K1606" i="1"/>
  <c r="M1606" i="1" s="1"/>
  <c r="K1605" i="1"/>
  <c r="M1605" i="1" s="1"/>
  <c r="K1604" i="1"/>
  <c r="M1604" i="1" s="1"/>
  <c r="K1603" i="1"/>
  <c r="M1603" i="1" s="1"/>
  <c r="K1602" i="1"/>
  <c r="M1602" i="1" s="1"/>
  <c r="K1601" i="1"/>
  <c r="M1601" i="1" s="1"/>
  <c r="K1600" i="1"/>
  <c r="M1600" i="1" s="1"/>
  <c r="K1599" i="1"/>
  <c r="M1599" i="1" s="1"/>
  <c r="K1598" i="1"/>
  <c r="M1598" i="1" s="1"/>
  <c r="K1597" i="1"/>
  <c r="M1597" i="1" s="1"/>
  <c r="K1596" i="1"/>
  <c r="M1596" i="1" s="1"/>
  <c r="K1595" i="1"/>
  <c r="M1595" i="1" s="1"/>
  <c r="K1594" i="1"/>
  <c r="M1594" i="1" s="1"/>
  <c r="K1593" i="1"/>
  <c r="M1593" i="1" s="1"/>
  <c r="K1592" i="1"/>
  <c r="M1592" i="1" s="1"/>
  <c r="K1591" i="1"/>
  <c r="M1591" i="1" s="1"/>
  <c r="K1590" i="1"/>
  <c r="M1590" i="1" s="1"/>
  <c r="K1589" i="1"/>
  <c r="M1589" i="1" s="1"/>
  <c r="K1588" i="1"/>
  <c r="M1588" i="1" s="1"/>
  <c r="K1587" i="1"/>
  <c r="M1587" i="1" s="1"/>
  <c r="K1586" i="1"/>
  <c r="M1586" i="1" s="1"/>
  <c r="K1585" i="1"/>
  <c r="M1585" i="1" s="1"/>
  <c r="K1584" i="1"/>
  <c r="M1584" i="1" s="1"/>
  <c r="K1583" i="1"/>
  <c r="M1583" i="1" s="1"/>
  <c r="K1582" i="1"/>
  <c r="M1582" i="1" s="1"/>
  <c r="K1581" i="1"/>
  <c r="M1581" i="1" s="1"/>
  <c r="K1580" i="1"/>
  <c r="M1580" i="1" s="1"/>
  <c r="K1579" i="1"/>
  <c r="M1579" i="1" s="1"/>
  <c r="K1578" i="1"/>
  <c r="M1578" i="1" s="1"/>
  <c r="K1577" i="1"/>
  <c r="M1577" i="1" s="1"/>
  <c r="K1576" i="1"/>
  <c r="M1576" i="1" s="1"/>
  <c r="K1575" i="1"/>
  <c r="M1575" i="1" s="1"/>
  <c r="K1574" i="1"/>
  <c r="M1574" i="1" s="1"/>
  <c r="K1573" i="1"/>
  <c r="M1573" i="1" s="1"/>
  <c r="K1572" i="1"/>
  <c r="M1572" i="1" s="1"/>
  <c r="K1571" i="1"/>
  <c r="M1571" i="1" s="1"/>
  <c r="Q1570" i="1"/>
  <c r="T1570" i="1" s="1"/>
  <c r="K1570" i="1"/>
  <c r="M1570" i="1" s="1"/>
  <c r="K1569" i="1"/>
  <c r="M1569" i="1" s="1"/>
  <c r="K1568" i="1"/>
  <c r="M1568" i="1" s="1"/>
  <c r="K1567" i="1"/>
  <c r="M1567" i="1" s="1"/>
  <c r="K1566" i="1"/>
  <c r="M1566" i="1" s="1"/>
  <c r="K1565" i="1"/>
  <c r="M1565" i="1" s="1"/>
  <c r="K1564" i="1"/>
  <c r="M1564" i="1" s="1"/>
  <c r="K1563" i="1"/>
  <c r="M1563" i="1" s="1"/>
  <c r="Q1562" i="1"/>
  <c r="T1562" i="1" s="1"/>
  <c r="K1562" i="1"/>
  <c r="M1562" i="1" s="1"/>
  <c r="K1561" i="1"/>
  <c r="M1561" i="1" s="1"/>
  <c r="K1560" i="1"/>
  <c r="M1560" i="1" s="1"/>
  <c r="K1559" i="1"/>
  <c r="M1559" i="1" s="1"/>
  <c r="Q1558" i="1"/>
  <c r="T1558" i="1" s="1"/>
  <c r="K1558" i="1"/>
  <c r="M1558" i="1" s="1"/>
  <c r="K1557" i="1"/>
  <c r="M1557" i="1" s="1"/>
  <c r="Q1556" i="1"/>
  <c r="T1556" i="1" s="1"/>
  <c r="K1556" i="1"/>
  <c r="M1556" i="1" s="1"/>
  <c r="K1555" i="1"/>
  <c r="M1555" i="1" s="1"/>
  <c r="K1554" i="1"/>
  <c r="M1554" i="1" s="1"/>
  <c r="K1553" i="1"/>
  <c r="M1553" i="1" s="1"/>
  <c r="K1552" i="1"/>
  <c r="M1552" i="1" s="1"/>
  <c r="P1551" i="1"/>
  <c r="K1551" i="1"/>
  <c r="M1551" i="1" s="1"/>
  <c r="K1550" i="1"/>
  <c r="M1550" i="1" s="1"/>
  <c r="K1549" i="1"/>
  <c r="M1549" i="1" s="1"/>
  <c r="K1548" i="1"/>
  <c r="M1548" i="1" s="1"/>
  <c r="K1547" i="1"/>
  <c r="M1547" i="1" s="1"/>
  <c r="K1546" i="1"/>
  <c r="M1546" i="1" s="1"/>
  <c r="K1545" i="1"/>
  <c r="M1545" i="1" s="1"/>
  <c r="K1544" i="1"/>
  <c r="M1544" i="1" s="1"/>
  <c r="K1543" i="1"/>
  <c r="M1543" i="1" s="1"/>
  <c r="K1542" i="1"/>
  <c r="M1542" i="1" s="1"/>
  <c r="K1541" i="1"/>
  <c r="M1541" i="1" s="1"/>
  <c r="K1540" i="1"/>
  <c r="M1540" i="1" s="1"/>
  <c r="Q1539" i="1"/>
  <c r="T1539" i="1" s="1"/>
  <c r="K1539" i="1"/>
  <c r="M1539" i="1" s="1"/>
  <c r="K1538" i="1"/>
  <c r="M1538" i="1" s="1"/>
  <c r="K1537" i="1"/>
  <c r="M1537" i="1" s="1"/>
  <c r="K1536" i="1"/>
  <c r="M1536" i="1" s="1"/>
  <c r="K1535" i="1"/>
  <c r="M1535" i="1" s="1"/>
  <c r="K1534" i="1"/>
  <c r="M1534" i="1" s="1"/>
  <c r="K1533" i="1"/>
  <c r="M1533" i="1" s="1"/>
  <c r="K1532" i="1"/>
  <c r="M1532" i="1" s="1"/>
  <c r="K1531" i="1"/>
  <c r="M1531" i="1" s="1"/>
  <c r="K1530" i="1"/>
  <c r="M1530" i="1" s="1"/>
  <c r="K1529" i="1"/>
  <c r="M1529" i="1" s="1"/>
  <c r="K1528" i="1"/>
  <c r="M1528" i="1" s="1"/>
  <c r="K1527" i="1"/>
  <c r="M1527" i="1" s="1"/>
  <c r="K1526" i="1"/>
  <c r="M1526" i="1" s="1"/>
  <c r="K1525" i="1"/>
  <c r="M1525" i="1" s="1"/>
  <c r="K1524" i="1"/>
  <c r="M1524" i="1" s="1"/>
  <c r="K1523" i="1"/>
  <c r="M1523" i="1" s="1"/>
  <c r="K1522" i="1"/>
  <c r="M1522" i="1" s="1"/>
  <c r="K1521" i="1"/>
  <c r="M1521" i="1" s="1"/>
  <c r="K1520" i="1"/>
  <c r="M1520" i="1" s="1"/>
  <c r="K1519" i="1"/>
  <c r="M1519" i="1" s="1"/>
  <c r="K1518" i="1"/>
  <c r="M1518" i="1" s="1"/>
  <c r="K1517" i="1"/>
  <c r="M1517" i="1" s="1"/>
  <c r="K1516" i="1"/>
  <c r="M1516" i="1" s="1"/>
  <c r="K1515" i="1"/>
  <c r="M1515" i="1" s="1"/>
  <c r="K1514" i="1"/>
  <c r="M1514" i="1" s="1"/>
  <c r="K1513" i="1"/>
  <c r="M1513" i="1" s="1"/>
  <c r="K1512" i="1"/>
  <c r="M1512" i="1" s="1"/>
  <c r="K1511" i="1"/>
  <c r="M1511" i="1" s="1"/>
  <c r="K1510" i="1"/>
  <c r="M1510" i="1" s="1"/>
  <c r="K1509" i="1"/>
  <c r="M1509" i="1" s="1"/>
  <c r="K1508" i="1"/>
  <c r="M1508" i="1" s="1"/>
  <c r="K1507" i="1"/>
  <c r="M1507" i="1" s="1"/>
  <c r="K1506" i="1"/>
  <c r="M1506" i="1" s="1"/>
  <c r="K1505" i="1"/>
  <c r="M1505" i="1" s="1"/>
  <c r="K1504" i="1"/>
  <c r="M1504" i="1" s="1"/>
  <c r="K1503" i="1"/>
  <c r="M1503" i="1" s="1"/>
  <c r="K1502" i="1"/>
  <c r="M1502" i="1" s="1"/>
  <c r="K1501" i="1"/>
  <c r="M1501" i="1" s="1"/>
  <c r="K1500" i="1"/>
  <c r="M1500" i="1" s="1"/>
  <c r="K1499" i="1"/>
  <c r="M1499" i="1" s="1"/>
  <c r="K1498" i="1"/>
  <c r="M1498" i="1" s="1"/>
  <c r="K1497" i="1"/>
  <c r="M1497" i="1" s="1"/>
  <c r="Q1496" i="1"/>
  <c r="T1496" i="1" s="1"/>
  <c r="I1496" i="1"/>
  <c r="K1496" i="1" s="1"/>
  <c r="M1496" i="1" s="1"/>
  <c r="K1495" i="1"/>
  <c r="M1495" i="1" s="1"/>
  <c r="K1494" i="1"/>
  <c r="M1494" i="1" s="1"/>
  <c r="K1493" i="1"/>
  <c r="M1493" i="1" s="1"/>
  <c r="K1492" i="1"/>
  <c r="M1492" i="1" s="1"/>
  <c r="K1491" i="1"/>
  <c r="M1491" i="1" s="1"/>
  <c r="K1490" i="1"/>
  <c r="M1490" i="1" s="1"/>
  <c r="K1489" i="1"/>
  <c r="M1489" i="1" s="1"/>
  <c r="K1488" i="1"/>
  <c r="M1488" i="1" s="1"/>
  <c r="K1487" i="1"/>
  <c r="M1487" i="1" s="1"/>
  <c r="K1486" i="1"/>
  <c r="M1486" i="1" s="1"/>
  <c r="K1485" i="1"/>
  <c r="M1485" i="1" s="1"/>
  <c r="K1484" i="1"/>
  <c r="M1484" i="1" s="1"/>
  <c r="K1483" i="1"/>
  <c r="M1483" i="1" s="1"/>
  <c r="K1482" i="1"/>
  <c r="M1482" i="1" s="1"/>
  <c r="K1481" i="1"/>
  <c r="M1481" i="1" s="1"/>
  <c r="K1480" i="1"/>
  <c r="M1480" i="1" s="1"/>
  <c r="K1479" i="1"/>
  <c r="M1479" i="1" s="1"/>
  <c r="K1478" i="1"/>
  <c r="M1478" i="1" s="1"/>
  <c r="K1477" i="1"/>
  <c r="M1477" i="1" s="1"/>
  <c r="K1476" i="1"/>
  <c r="M1476" i="1" s="1"/>
  <c r="K1475" i="1"/>
  <c r="M1475" i="1" s="1"/>
  <c r="K1474" i="1"/>
  <c r="M1474" i="1" s="1"/>
  <c r="K1473" i="1"/>
  <c r="M1473" i="1" s="1"/>
  <c r="K1472" i="1"/>
  <c r="M1472" i="1" s="1"/>
  <c r="K1471" i="1"/>
  <c r="M1471" i="1" s="1"/>
  <c r="K1470" i="1"/>
  <c r="M1470" i="1" s="1"/>
  <c r="K1469" i="1"/>
  <c r="M1469" i="1" s="1"/>
  <c r="K1468" i="1"/>
  <c r="M1468" i="1" s="1"/>
  <c r="K1467" i="1"/>
  <c r="M1467" i="1" s="1"/>
  <c r="K1466" i="1"/>
  <c r="M1466" i="1" s="1"/>
  <c r="K1465" i="1"/>
  <c r="M1465" i="1" s="1"/>
  <c r="K1464" i="1"/>
  <c r="M1464" i="1" s="1"/>
  <c r="K1463" i="1"/>
  <c r="M1463" i="1" s="1"/>
  <c r="K1462" i="1"/>
  <c r="M1462" i="1" s="1"/>
  <c r="K1461" i="1"/>
  <c r="M1461" i="1" s="1"/>
  <c r="K1460" i="1"/>
  <c r="M1460" i="1" s="1"/>
  <c r="K1459" i="1"/>
  <c r="M1459" i="1" s="1"/>
  <c r="K1458" i="1"/>
  <c r="M1458" i="1" s="1"/>
  <c r="K1457" i="1"/>
  <c r="M1457" i="1" s="1"/>
  <c r="K1456" i="1"/>
  <c r="M1456" i="1" s="1"/>
  <c r="K1455" i="1"/>
  <c r="M1455" i="1" s="1"/>
  <c r="K1454" i="1"/>
  <c r="M1454" i="1" s="1"/>
  <c r="K1453" i="1"/>
  <c r="M1453" i="1" s="1"/>
  <c r="K1452" i="1"/>
  <c r="M1452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Q1444" i="1"/>
  <c r="T1444" i="1" s="1"/>
  <c r="I1444" i="1"/>
  <c r="K1444" i="1" s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Q1434" i="1"/>
  <c r="T1434" i="1" s="1"/>
  <c r="I1434" i="1"/>
  <c r="K1434" i="1" s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Q1416" i="1"/>
  <c r="T1416" i="1" s="1"/>
  <c r="I1416" i="1"/>
  <c r="K1416" i="1" s="1"/>
  <c r="M1416" i="1" s="1"/>
  <c r="K1415" i="1"/>
  <c r="M1415" i="1" s="1"/>
  <c r="T1414" i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T1361" i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Q1345" i="1"/>
  <c r="T1345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Q1326" i="1"/>
  <c r="T1326" i="1" s="1"/>
  <c r="G1326" i="1"/>
  <c r="K1326" i="1" s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Q1315" i="1"/>
  <c r="T1315" i="1" s="1"/>
  <c r="K1315" i="1"/>
  <c r="F1315" i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Q1306" i="1"/>
  <c r="T1306" i="1" s="1"/>
  <c r="K1306" i="1"/>
  <c r="F1306" i="1"/>
  <c r="K1305" i="1"/>
  <c r="M1305" i="1" s="1"/>
  <c r="K1304" i="1"/>
  <c r="M1304" i="1" s="1"/>
  <c r="Q1303" i="1"/>
  <c r="T1303" i="1" s="1"/>
  <c r="K1303" i="1"/>
  <c r="F1303" i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T1277" i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Q1263" i="1"/>
  <c r="T1263" i="1" s="1"/>
  <c r="K1263" i="1"/>
  <c r="F1263" i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Q1206" i="1"/>
  <c r="T1206" i="1" s="1"/>
  <c r="K1206" i="1"/>
  <c r="F1206" i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Q1189" i="1"/>
  <c r="T1189" i="1" s="1"/>
  <c r="K1189" i="1"/>
  <c r="F1189" i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Q1176" i="1"/>
  <c r="T1176" i="1" s="1"/>
  <c r="G1176" i="1"/>
  <c r="K1176" i="1" s="1"/>
  <c r="M1176" i="1" s="1"/>
  <c r="K1175" i="1"/>
  <c r="M1175" i="1" s="1"/>
  <c r="K1174" i="1"/>
  <c r="M1174" i="1" s="1"/>
  <c r="K1173" i="1"/>
  <c r="M1173" i="1" s="1"/>
  <c r="K1172" i="1"/>
  <c r="M1172" i="1" s="1"/>
  <c r="Q1171" i="1"/>
  <c r="T1171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Q1165" i="1"/>
  <c r="T1165" i="1" s="1"/>
  <c r="G1165" i="1"/>
  <c r="K1165" i="1" s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Q1158" i="1"/>
  <c r="T1158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Q1150" i="1"/>
  <c r="T1150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K1131" i="1"/>
  <c r="M1131" i="1" s="1"/>
  <c r="T1130" i="1"/>
  <c r="G1130" i="1"/>
  <c r="K1130" i="1" s="1"/>
  <c r="M1130" i="1" s="1"/>
  <c r="K1129" i="1"/>
  <c r="M1129" i="1" s="1"/>
  <c r="K1128" i="1"/>
  <c r="M1128" i="1" s="1"/>
  <c r="K1127" i="1"/>
  <c r="M1127" i="1" s="1"/>
  <c r="Q1126" i="1"/>
  <c r="T1126" i="1" s="1"/>
  <c r="K1126" i="1"/>
  <c r="M1126" i="1" s="1"/>
  <c r="K1125" i="1"/>
  <c r="M1125" i="1" s="1"/>
  <c r="K1124" i="1"/>
  <c r="M1124" i="1" s="1"/>
  <c r="K1123" i="1"/>
  <c r="M1123" i="1" s="1"/>
  <c r="K1122" i="1"/>
  <c r="M1122" i="1" s="1"/>
  <c r="K1121" i="1"/>
  <c r="M1121" i="1" s="1"/>
  <c r="K1120" i="1"/>
  <c r="M1120" i="1" s="1"/>
  <c r="K1119" i="1"/>
  <c r="M1119" i="1" s="1"/>
  <c r="T1118" i="1"/>
  <c r="K1118" i="1"/>
  <c r="M1118" i="1" s="1"/>
  <c r="K1117" i="1"/>
  <c r="M1117" i="1" s="1"/>
  <c r="K1116" i="1"/>
  <c r="M1116" i="1" s="1"/>
  <c r="K1115" i="1"/>
  <c r="M1115" i="1" s="1"/>
  <c r="K1114" i="1"/>
  <c r="M1114" i="1" s="1"/>
  <c r="K1113" i="1"/>
  <c r="M1113" i="1" s="1"/>
  <c r="K1112" i="1"/>
  <c r="M1112" i="1" s="1"/>
  <c r="K1111" i="1"/>
  <c r="M1111" i="1" s="1"/>
  <c r="K1110" i="1"/>
  <c r="M1110" i="1" s="1"/>
  <c r="K1109" i="1"/>
  <c r="M1109" i="1" s="1"/>
  <c r="K1108" i="1"/>
  <c r="M1108" i="1" s="1"/>
  <c r="K1107" i="1"/>
  <c r="M1107" i="1" s="1"/>
  <c r="K1106" i="1"/>
  <c r="M1106" i="1" s="1"/>
  <c r="K1105" i="1"/>
  <c r="M1105" i="1" s="1"/>
  <c r="K1104" i="1"/>
  <c r="M1104" i="1" s="1"/>
  <c r="K1103" i="1"/>
  <c r="M1103" i="1" s="1"/>
  <c r="K1102" i="1"/>
  <c r="M1102" i="1" s="1"/>
  <c r="K1101" i="1"/>
  <c r="M1101" i="1" s="1"/>
  <c r="K1100" i="1"/>
  <c r="M1100" i="1" s="1"/>
  <c r="K1099" i="1"/>
  <c r="M1099" i="1" s="1"/>
  <c r="K1098" i="1"/>
  <c r="M1098" i="1" s="1"/>
  <c r="K1097" i="1"/>
  <c r="M1097" i="1" s="1"/>
  <c r="Q1096" i="1"/>
  <c r="T1096" i="1" s="1"/>
  <c r="K1096" i="1"/>
  <c r="M1096" i="1" s="1"/>
  <c r="K1095" i="1"/>
  <c r="M1095" i="1" s="1"/>
  <c r="K1094" i="1"/>
  <c r="M1094" i="1" s="1"/>
  <c r="Q1093" i="1"/>
  <c r="T1093" i="1" s="1"/>
  <c r="K1093" i="1"/>
  <c r="M1093" i="1" s="1"/>
  <c r="K1092" i="1"/>
  <c r="M1092" i="1" s="1"/>
  <c r="Q1091" i="1"/>
  <c r="T1091" i="1" s="1"/>
  <c r="I1091" i="1"/>
  <c r="K1091" i="1" s="1"/>
  <c r="M1091" i="1" s="1"/>
  <c r="K1090" i="1"/>
  <c r="M1090" i="1" s="1"/>
  <c r="K1089" i="1"/>
  <c r="M1089" i="1" s="1"/>
  <c r="K1088" i="1"/>
  <c r="M1088" i="1" s="1"/>
  <c r="K1087" i="1"/>
  <c r="M1087" i="1" s="1"/>
  <c r="K1086" i="1"/>
  <c r="M1086" i="1" s="1"/>
  <c r="K1085" i="1"/>
  <c r="M1085" i="1" s="1"/>
  <c r="K1084" i="1"/>
  <c r="M1084" i="1" s="1"/>
  <c r="K1083" i="1"/>
  <c r="M1083" i="1" s="1"/>
  <c r="K1082" i="1"/>
  <c r="M1082" i="1" s="1"/>
  <c r="K1081" i="1"/>
  <c r="M1081" i="1" s="1"/>
  <c r="K1080" i="1"/>
  <c r="M1080" i="1" s="1"/>
  <c r="K1079" i="1"/>
  <c r="M1079" i="1" s="1"/>
  <c r="K1078" i="1"/>
  <c r="M1078" i="1" s="1"/>
  <c r="K1077" i="1"/>
  <c r="M1077" i="1" s="1"/>
  <c r="K1076" i="1"/>
  <c r="M1076" i="1" s="1"/>
  <c r="K1075" i="1"/>
  <c r="M1075" i="1" s="1"/>
  <c r="K1074" i="1"/>
  <c r="M1074" i="1" s="1"/>
  <c r="K1073" i="1"/>
  <c r="M1073" i="1" s="1"/>
  <c r="K1072" i="1"/>
  <c r="M1072" i="1" s="1"/>
  <c r="K1071" i="1"/>
  <c r="M1071" i="1" s="1"/>
  <c r="K1070" i="1"/>
  <c r="M1070" i="1" s="1"/>
  <c r="K1069" i="1"/>
  <c r="M1069" i="1" s="1"/>
  <c r="K1068" i="1"/>
  <c r="M1068" i="1" s="1"/>
  <c r="K1067" i="1"/>
  <c r="M1067" i="1" s="1"/>
  <c r="Q1066" i="1"/>
  <c r="T1066" i="1" s="1"/>
  <c r="K1066" i="1"/>
  <c r="M1066" i="1" s="1"/>
  <c r="K1065" i="1"/>
  <c r="M1065" i="1" s="1"/>
  <c r="K1064" i="1"/>
  <c r="M1064" i="1" s="1"/>
  <c r="K1063" i="1"/>
  <c r="M1063" i="1" s="1"/>
  <c r="K1062" i="1"/>
  <c r="M1062" i="1" s="1"/>
  <c r="K1061" i="1"/>
  <c r="M1061" i="1" s="1"/>
  <c r="K1060" i="1"/>
  <c r="M1060" i="1" s="1"/>
  <c r="K1059" i="1"/>
  <c r="M1059" i="1" s="1"/>
  <c r="K1058" i="1"/>
  <c r="M1058" i="1" s="1"/>
  <c r="K1057" i="1"/>
  <c r="M1057" i="1" s="1"/>
  <c r="K1056" i="1"/>
  <c r="M1056" i="1" s="1"/>
  <c r="K1055" i="1"/>
  <c r="M1055" i="1" s="1"/>
  <c r="T1054" i="1"/>
  <c r="K1054" i="1"/>
  <c r="M1054" i="1" s="1"/>
  <c r="K1053" i="1"/>
  <c r="M1053" i="1" s="1"/>
  <c r="K1052" i="1"/>
  <c r="M1052" i="1" s="1"/>
  <c r="K1051" i="1"/>
  <c r="M1051" i="1" s="1"/>
  <c r="K1050" i="1"/>
  <c r="M1050" i="1" s="1"/>
  <c r="K1049" i="1"/>
  <c r="M1049" i="1" s="1"/>
  <c r="K1048" i="1"/>
  <c r="M1048" i="1" s="1"/>
  <c r="K1047" i="1"/>
  <c r="M1047" i="1" s="1"/>
  <c r="K1046" i="1"/>
  <c r="M1046" i="1" s="1"/>
  <c r="K1045" i="1"/>
  <c r="M1045" i="1" s="1"/>
  <c r="K1044" i="1"/>
  <c r="M1044" i="1" s="1"/>
  <c r="K1043" i="1"/>
  <c r="M1043" i="1" s="1"/>
  <c r="K1042" i="1"/>
  <c r="M1042" i="1" s="1"/>
  <c r="K1041" i="1"/>
  <c r="M1041" i="1" s="1"/>
  <c r="K1040" i="1"/>
  <c r="M1040" i="1" s="1"/>
  <c r="K1039" i="1"/>
  <c r="M1039" i="1" s="1"/>
  <c r="K1038" i="1"/>
  <c r="M1038" i="1" s="1"/>
  <c r="K1037" i="1"/>
  <c r="M1037" i="1" s="1"/>
  <c r="K1036" i="1"/>
  <c r="M1036" i="1" s="1"/>
  <c r="K1035" i="1"/>
  <c r="M1035" i="1" s="1"/>
  <c r="K1034" i="1"/>
  <c r="M1034" i="1" s="1"/>
  <c r="K1033" i="1"/>
  <c r="M1033" i="1" s="1"/>
  <c r="M1032" i="1"/>
  <c r="K1031" i="1"/>
  <c r="M1031" i="1" s="1"/>
  <c r="Q1030" i="1"/>
  <c r="T1030" i="1" s="1"/>
  <c r="K1030" i="1"/>
  <c r="M1030" i="1" s="1"/>
  <c r="K1029" i="1"/>
  <c r="M1029" i="1" s="1"/>
  <c r="K1028" i="1"/>
  <c r="M1028" i="1" s="1"/>
  <c r="K1027" i="1"/>
  <c r="M1027" i="1" s="1"/>
  <c r="K1026" i="1"/>
  <c r="M1026" i="1" s="1"/>
  <c r="K1025" i="1"/>
  <c r="M1025" i="1" s="1"/>
  <c r="K1024" i="1"/>
  <c r="M1024" i="1" s="1"/>
  <c r="K1023" i="1"/>
  <c r="M1023" i="1" s="1"/>
  <c r="K1022" i="1"/>
  <c r="M1022" i="1" s="1"/>
  <c r="K1021" i="1"/>
  <c r="M1021" i="1" s="1"/>
  <c r="K1020" i="1"/>
  <c r="M1020" i="1" s="1"/>
  <c r="K1019" i="1"/>
  <c r="M1019" i="1" s="1"/>
  <c r="K1018" i="1"/>
  <c r="M1018" i="1" s="1"/>
  <c r="K1017" i="1"/>
  <c r="M1017" i="1" s="1"/>
  <c r="K1016" i="1"/>
  <c r="M1016" i="1" s="1"/>
  <c r="K1015" i="1"/>
  <c r="M1015" i="1" s="1"/>
  <c r="K1014" i="1"/>
  <c r="M1014" i="1" s="1"/>
  <c r="K1013" i="1"/>
  <c r="M1013" i="1" s="1"/>
  <c r="K1012" i="1"/>
  <c r="M1012" i="1" s="1"/>
  <c r="K1011" i="1"/>
  <c r="M1011" i="1" s="1"/>
  <c r="K1010" i="1"/>
  <c r="M1010" i="1" s="1"/>
  <c r="K1009" i="1"/>
  <c r="M1009" i="1" s="1"/>
  <c r="K1008" i="1"/>
  <c r="M1008" i="1" s="1"/>
  <c r="K1007" i="1"/>
  <c r="M1007" i="1" s="1"/>
  <c r="K1006" i="1"/>
  <c r="M1006" i="1" s="1"/>
  <c r="Q1005" i="1"/>
  <c r="T1005" i="1" s="1"/>
  <c r="K1005" i="1"/>
  <c r="M1005" i="1" s="1"/>
  <c r="K1004" i="1"/>
  <c r="M1004" i="1" s="1"/>
  <c r="K1003" i="1"/>
  <c r="M1003" i="1" s="1"/>
  <c r="K1002" i="1"/>
  <c r="M1002" i="1" s="1"/>
  <c r="K1001" i="1"/>
  <c r="M1001" i="1" s="1"/>
  <c r="K1000" i="1"/>
  <c r="M1000" i="1" s="1"/>
  <c r="K999" i="1"/>
  <c r="M999" i="1" s="1"/>
  <c r="K998" i="1"/>
  <c r="M998" i="1" s="1"/>
  <c r="K997" i="1"/>
  <c r="M997" i="1" s="1"/>
  <c r="K996" i="1"/>
  <c r="M996" i="1" s="1"/>
  <c r="T995" i="1"/>
  <c r="K995" i="1"/>
  <c r="M995" i="1" s="1"/>
  <c r="Q994" i="1"/>
  <c r="T994" i="1" s="1"/>
  <c r="K994" i="1"/>
  <c r="M994" i="1" s="1"/>
  <c r="K993" i="1"/>
  <c r="M993" i="1" s="1"/>
  <c r="K992" i="1"/>
  <c r="M992" i="1" s="1"/>
  <c r="K991" i="1"/>
  <c r="M991" i="1" s="1"/>
  <c r="K990" i="1"/>
  <c r="M990" i="1" s="1"/>
  <c r="K989" i="1"/>
  <c r="M989" i="1" s="1"/>
  <c r="K988" i="1"/>
  <c r="M988" i="1" s="1"/>
  <c r="K987" i="1"/>
  <c r="M987" i="1" s="1"/>
  <c r="K986" i="1"/>
  <c r="M986" i="1" s="1"/>
  <c r="K985" i="1"/>
  <c r="M985" i="1" s="1"/>
  <c r="K984" i="1"/>
  <c r="M984" i="1" s="1"/>
  <c r="K983" i="1"/>
  <c r="M983" i="1" s="1"/>
  <c r="K982" i="1"/>
  <c r="M982" i="1" s="1"/>
  <c r="K981" i="1"/>
  <c r="M981" i="1" s="1"/>
  <c r="K980" i="1"/>
  <c r="M980" i="1" s="1"/>
  <c r="K979" i="1"/>
  <c r="M979" i="1" s="1"/>
  <c r="K978" i="1"/>
  <c r="M978" i="1" s="1"/>
  <c r="K977" i="1"/>
  <c r="M977" i="1" s="1"/>
  <c r="K976" i="1"/>
  <c r="M976" i="1" s="1"/>
  <c r="K975" i="1"/>
  <c r="M975" i="1" s="1"/>
  <c r="K974" i="1"/>
  <c r="M974" i="1" s="1"/>
  <c r="K973" i="1"/>
  <c r="M973" i="1" s="1"/>
  <c r="K972" i="1"/>
  <c r="M972" i="1" s="1"/>
  <c r="K971" i="1"/>
  <c r="M971" i="1" s="1"/>
  <c r="K970" i="1"/>
  <c r="M970" i="1" s="1"/>
  <c r="K969" i="1"/>
  <c r="M969" i="1" s="1"/>
  <c r="K968" i="1"/>
  <c r="M968" i="1" s="1"/>
  <c r="K967" i="1"/>
  <c r="M967" i="1" s="1"/>
  <c r="K966" i="1"/>
  <c r="M966" i="1" s="1"/>
  <c r="K965" i="1"/>
  <c r="M965" i="1" s="1"/>
  <c r="K964" i="1"/>
  <c r="M964" i="1" s="1"/>
  <c r="K963" i="1"/>
  <c r="M963" i="1" s="1"/>
  <c r="K962" i="1"/>
  <c r="M962" i="1" s="1"/>
  <c r="K961" i="1"/>
  <c r="M961" i="1" s="1"/>
  <c r="Q960" i="1"/>
  <c r="T960" i="1" s="1"/>
  <c r="K960" i="1"/>
  <c r="M960" i="1" s="1"/>
  <c r="K959" i="1"/>
  <c r="M959" i="1" s="1"/>
  <c r="K958" i="1"/>
  <c r="M958" i="1" s="1"/>
  <c r="K957" i="1"/>
  <c r="M957" i="1" s="1"/>
  <c r="K956" i="1"/>
  <c r="M956" i="1" s="1"/>
  <c r="K955" i="1"/>
  <c r="M955" i="1" s="1"/>
  <c r="K954" i="1"/>
  <c r="M954" i="1" s="1"/>
  <c r="K953" i="1"/>
  <c r="M953" i="1" s="1"/>
  <c r="K952" i="1"/>
  <c r="M952" i="1" s="1"/>
  <c r="K951" i="1"/>
  <c r="M951" i="1" s="1"/>
  <c r="K950" i="1"/>
  <c r="M950" i="1" s="1"/>
  <c r="Q949" i="1"/>
  <c r="T949" i="1" s="1"/>
  <c r="G949" i="1"/>
  <c r="K949" i="1" s="1"/>
  <c r="M949" i="1" s="1"/>
  <c r="K948" i="1"/>
  <c r="M948" i="1" s="1"/>
  <c r="K947" i="1"/>
  <c r="M947" i="1" s="1"/>
  <c r="K946" i="1"/>
  <c r="M946" i="1" s="1"/>
  <c r="K945" i="1"/>
  <c r="M945" i="1" s="1"/>
  <c r="K944" i="1"/>
  <c r="M944" i="1" s="1"/>
  <c r="Q943" i="1"/>
  <c r="T943" i="1" s="1"/>
  <c r="I943" i="1"/>
  <c r="K943" i="1" s="1"/>
  <c r="M943" i="1" s="1"/>
  <c r="K942" i="1"/>
  <c r="M942" i="1" s="1"/>
  <c r="K941" i="1"/>
  <c r="M941" i="1" s="1"/>
  <c r="K940" i="1"/>
  <c r="M940" i="1" s="1"/>
  <c r="K939" i="1"/>
  <c r="M939" i="1" s="1"/>
  <c r="K938" i="1"/>
  <c r="M938" i="1" s="1"/>
  <c r="K937" i="1"/>
  <c r="M937" i="1" s="1"/>
  <c r="T936" i="1"/>
  <c r="K936" i="1"/>
  <c r="M936" i="1" s="1"/>
  <c r="K935" i="1"/>
  <c r="M935" i="1" s="1"/>
  <c r="T934" i="1"/>
  <c r="K934" i="1"/>
  <c r="M934" i="1" s="1"/>
  <c r="K933" i="1"/>
  <c r="M933" i="1" s="1"/>
  <c r="K932" i="1"/>
  <c r="M932" i="1" s="1"/>
  <c r="K931" i="1"/>
  <c r="M931" i="1" s="1"/>
  <c r="K930" i="1"/>
  <c r="M930" i="1" s="1"/>
  <c r="K929" i="1"/>
  <c r="M929" i="1" s="1"/>
  <c r="K928" i="1"/>
  <c r="M928" i="1" s="1"/>
  <c r="K927" i="1"/>
  <c r="M927" i="1" s="1"/>
  <c r="K926" i="1"/>
  <c r="M926" i="1" s="1"/>
  <c r="G925" i="1"/>
  <c r="K925" i="1" s="1"/>
  <c r="M925" i="1" s="1"/>
  <c r="K924" i="1"/>
  <c r="M924" i="1" s="1"/>
  <c r="K923" i="1"/>
  <c r="M923" i="1" s="1"/>
  <c r="K922" i="1"/>
  <c r="M922" i="1" s="1"/>
  <c r="K921" i="1"/>
  <c r="M921" i="1" s="1"/>
  <c r="K920" i="1"/>
  <c r="M920" i="1" s="1"/>
  <c r="K919" i="1"/>
  <c r="M919" i="1" s="1"/>
  <c r="K918" i="1"/>
  <c r="M918" i="1" s="1"/>
  <c r="K917" i="1"/>
  <c r="M917" i="1" s="1"/>
  <c r="K916" i="1"/>
  <c r="M916" i="1" s="1"/>
  <c r="K915" i="1"/>
  <c r="M915" i="1" s="1"/>
  <c r="K914" i="1"/>
  <c r="M914" i="1" s="1"/>
  <c r="Q913" i="1"/>
  <c r="T913" i="1" s="1"/>
  <c r="K913" i="1"/>
  <c r="M913" i="1" s="1"/>
  <c r="K912" i="1"/>
  <c r="M912" i="1" s="1"/>
  <c r="K911" i="1"/>
  <c r="M911" i="1" s="1"/>
  <c r="K910" i="1"/>
  <c r="M910" i="1" s="1"/>
  <c r="K909" i="1"/>
  <c r="M909" i="1" s="1"/>
  <c r="K908" i="1"/>
  <c r="M908" i="1" s="1"/>
  <c r="T907" i="1"/>
  <c r="I907" i="1"/>
  <c r="K907" i="1" s="1"/>
  <c r="M907" i="1" s="1"/>
  <c r="K906" i="1"/>
  <c r="M906" i="1" s="1"/>
  <c r="K905" i="1"/>
  <c r="M905" i="1" s="1"/>
  <c r="K904" i="1"/>
  <c r="M904" i="1" s="1"/>
  <c r="K903" i="1"/>
  <c r="M903" i="1" s="1"/>
  <c r="K902" i="1"/>
  <c r="M902" i="1" s="1"/>
  <c r="K901" i="1"/>
  <c r="M901" i="1" s="1"/>
  <c r="K900" i="1"/>
  <c r="M900" i="1" s="1"/>
  <c r="K899" i="1"/>
  <c r="M899" i="1" s="1"/>
  <c r="K898" i="1"/>
  <c r="M898" i="1" s="1"/>
  <c r="K897" i="1"/>
  <c r="M897" i="1" s="1"/>
  <c r="K896" i="1"/>
  <c r="M896" i="1" s="1"/>
  <c r="K895" i="1"/>
  <c r="M895" i="1" s="1"/>
  <c r="K894" i="1"/>
  <c r="M894" i="1" s="1"/>
  <c r="K893" i="1"/>
  <c r="M893" i="1" s="1"/>
  <c r="K892" i="1"/>
  <c r="M892" i="1" s="1"/>
  <c r="K891" i="1"/>
  <c r="M891" i="1" s="1"/>
  <c r="K890" i="1"/>
  <c r="M890" i="1" s="1"/>
  <c r="T889" i="1"/>
  <c r="K888" i="1"/>
  <c r="M888" i="1" s="1"/>
  <c r="K887" i="1"/>
  <c r="M887" i="1" s="1"/>
  <c r="K886" i="1"/>
  <c r="M886" i="1" s="1"/>
  <c r="K885" i="1"/>
  <c r="M885" i="1" s="1"/>
  <c r="K884" i="1"/>
  <c r="M884" i="1" s="1"/>
  <c r="Q883" i="1"/>
  <c r="T883" i="1" s="1"/>
  <c r="K883" i="1"/>
  <c r="M883" i="1" s="1"/>
  <c r="K882" i="1"/>
  <c r="M882" i="1" s="1"/>
  <c r="K881" i="1"/>
  <c r="M881" i="1" s="1"/>
  <c r="Q880" i="1"/>
  <c r="T880" i="1" s="1"/>
  <c r="K880" i="1"/>
  <c r="M880" i="1" s="1"/>
  <c r="K879" i="1"/>
  <c r="M879" i="1" s="1"/>
  <c r="K878" i="1"/>
  <c r="M878" i="1" s="1"/>
  <c r="K877" i="1"/>
  <c r="M877" i="1" s="1"/>
  <c r="K876" i="1"/>
  <c r="M876" i="1" s="1"/>
  <c r="K875" i="1"/>
  <c r="M875" i="1" s="1"/>
  <c r="K874" i="1"/>
  <c r="M874" i="1" s="1"/>
  <c r="K873" i="1"/>
  <c r="M873" i="1" s="1"/>
  <c r="K872" i="1"/>
  <c r="M872" i="1" s="1"/>
  <c r="K871" i="1"/>
  <c r="M871" i="1" s="1"/>
  <c r="K870" i="1"/>
  <c r="M870" i="1" s="1"/>
  <c r="K869" i="1"/>
  <c r="M869" i="1" s="1"/>
  <c r="K868" i="1"/>
  <c r="M868" i="1" s="1"/>
  <c r="K867" i="1"/>
  <c r="M867" i="1" s="1"/>
  <c r="K866" i="1"/>
  <c r="M866" i="1" s="1"/>
  <c r="K865" i="1"/>
  <c r="M865" i="1" s="1"/>
  <c r="K864" i="1"/>
  <c r="M864" i="1" s="1"/>
  <c r="K863" i="1"/>
  <c r="M863" i="1" s="1"/>
  <c r="K862" i="1"/>
  <c r="M862" i="1" s="1"/>
  <c r="K861" i="1"/>
  <c r="M861" i="1" s="1"/>
  <c r="K860" i="1"/>
  <c r="M860" i="1" s="1"/>
  <c r="K859" i="1"/>
  <c r="M859" i="1" s="1"/>
  <c r="K858" i="1"/>
  <c r="M858" i="1" s="1"/>
  <c r="K857" i="1"/>
  <c r="M857" i="1" s="1"/>
  <c r="K856" i="1"/>
  <c r="M856" i="1" s="1"/>
  <c r="K855" i="1"/>
  <c r="M855" i="1" s="1"/>
  <c r="K854" i="1"/>
  <c r="M854" i="1" s="1"/>
  <c r="K853" i="1"/>
  <c r="M853" i="1" s="1"/>
  <c r="K852" i="1"/>
  <c r="M852" i="1" s="1"/>
  <c r="K851" i="1"/>
  <c r="M851" i="1" s="1"/>
  <c r="Q850" i="1"/>
  <c r="T850" i="1" s="1"/>
  <c r="K850" i="1"/>
  <c r="M850" i="1" s="1"/>
  <c r="K849" i="1"/>
  <c r="M849" i="1" s="1"/>
  <c r="Q848" i="1"/>
  <c r="T848" i="1" s="1"/>
  <c r="K848" i="1"/>
  <c r="M848" i="1" s="1"/>
  <c r="K847" i="1"/>
  <c r="M847" i="1" s="1"/>
  <c r="K846" i="1"/>
  <c r="M846" i="1" s="1"/>
  <c r="K845" i="1"/>
  <c r="M845" i="1" s="1"/>
  <c r="K844" i="1"/>
  <c r="M844" i="1" s="1"/>
  <c r="M843" i="1"/>
  <c r="K842" i="1"/>
  <c r="M842" i="1" s="1"/>
  <c r="K841" i="1"/>
  <c r="M841" i="1" s="1"/>
  <c r="Q840" i="1"/>
  <c r="T840" i="1" s="1"/>
  <c r="K840" i="1"/>
  <c r="M840" i="1" s="1"/>
  <c r="K839" i="1"/>
  <c r="M839" i="1" s="1"/>
  <c r="K838" i="1"/>
  <c r="M838" i="1" s="1"/>
  <c r="K837" i="1"/>
  <c r="M837" i="1" s="1"/>
  <c r="K836" i="1"/>
  <c r="M836" i="1" s="1"/>
  <c r="K835" i="1"/>
  <c r="M835" i="1" s="1"/>
  <c r="K834" i="1"/>
  <c r="M834" i="1" s="1"/>
  <c r="K833" i="1"/>
  <c r="M833" i="1" s="1"/>
  <c r="K832" i="1"/>
  <c r="M832" i="1" s="1"/>
  <c r="K831" i="1"/>
  <c r="M831" i="1" s="1"/>
  <c r="K830" i="1"/>
  <c r="M830" i="1" s="1"/>
  <c r="K829" i="1"/>
  <c r="M829" i="1" s="1"/>
  <c r="K828" i="1"/>
  <c r="M828" i="1" s="1"/>
  <c r="K827" i="1"/>
  <c r="M827" i="1" s="1"/>
  <c r="K826" i="1"/>
  <c r="M826" i="1" s="1"/>
  <c r="K825" i="1"/>
  <c r="M825" i="1" s="1"/>
  <c r="K824" i="1"/>
  <c r="M824" i="1" s="1"/>
  <c r="K823" i="1"/>
  <c r="M823" i="1" s="1"/>
  <c r="K822" i="1"/>
  <c r="M822" i="1" s="1"/>
  <c r="K821" i="1"/>
  <c r="M821" i="1" s="1"/>
  <c r="K820" i="1"/>
  <c r="M820" i="1" s="1"/>
  <c r="K819" i="1"/>
  <c r="M819" i="1" s="1"/>
  <c r="K818" i="1"/>
  <c r="M818" i="1" s="1"/>
  <c r="K817" i="1"/>
  <c r="M817" i="1" s="1"/>
  <c r="K816" i="1"/>
  <c r="M816" i="1" s="1"/>
  <c r="K815" i="1"/>
  <c r="M815" i="1" s="1"/>
  <c r="K814" i="1"/>
  <c r="M814" i="1" s="1"/>
  <c r="K813" i="1"/>
  <c r="M813" i="1" s="1"/>
  <c r="K812" i="1"/>
  <c r="M812" i="1" s="1"/>
  <c r="K811" i="1"/>
  <c r="M811" i="1" s="1"/>
  <c r="K810" i="1"/>
  <c r="M810" i="1" s="1"/>
  <c r="K809" i="1"/>
  <c r="M809" i="1" s="1"/>
  <c r="K808" i="1"/>
  <c r="M808" i="1" s="1"/>
  <c r="K807" i="1"/>
  <c r="M807" i="1" s="1"/>
  <c r="K806" i="1"/>
  <c r="M806" i="1" s="1"/>
  <c r="K805" i="1"/>
  <c r="M805" i="1" s="1"/>
  <c r="K804" i="1"/>
  <c r="M804" i="1" s="1"/>
  <c r="T803" i="1"/>
  <c r="G803" i="1"/>
  <c r="K803" i="1" s="1"/>
  <c r="M803" i="1" s="1"/>
  <c r="K802" i="1"/>
  <c r="M802" i="1" s="1"/>
  <c r="K801" i="1"/>
  <c r="M801" i="1" s="1"/>
  <c r="K800" i="1"/>
  <c r="M800" i="1" s="1"/>
  <c r="K799" i="1"/>
  <c r="M799" i="1" s="1"/>
  <c r="K798" i="1"/>
  <c r="M798" i="1" s="1"/>
  <c r="K797" i="1"/>
  <c r="M797" i="1" s="1"/>
  <c r="K796" i="1"/>
  <c r="M796" i="1" s="1"/>
  <c r="K795" i="1"/>
  <c r="M795" i="1" s="1"/>
  <c r="K794" i="1"/>
  <c r="M794" i="1" s="1"/>
  <c r="K793" i="1"/>
  <c r="M793" i="1" s="1"/>
  <c r="K792" i="1"/>
  <c r="M792" i="1" s="1"/>
  <c r="K791" i="1"/>
  <c r="M791" i="1" s="1"/>
  <c r="K790" i="1"/>
  <c r="M790" i="1" s="1"/>
  <c r="K789" i="1"/>
  <c r="M789" i="1" s="1"/>
  <c r="Q788" i="1"/>
  <c r="T788" i="1" s="1"/>
  <c r="K788" i="1"/>
  <c r="M788" i="1" s="1"/>
  <c r="Q787" i="1"/>
  <c r="T787" i="1" s="1"/>
  <c r="J787" i="1"/>
  <c r="K787" i="1" s="1"/>
  <c r="M787" i="1" s="1"/>
  <c r="K786" i="1"/>
  <c r="M786" i="1" s="1"/>
  <c r="Q785" i="1"/>
  <c r="T785" i="1" s="1"/>
  <c r="N785" i="1"/>
  <c r="K785" i="1"/>
  <c r="M785" i="1" s="1"/>
  <c r="K784" i="1"/>
  <c r="M784" i="1" s="1"/>
  <c r="K783" i="1"/>
  <c r="M783" i="1" s="1"/>
  <c r="K782" i="1"/>
  <c r="M782" i="1" s="1"/>
  <c r="K781" i="1"/>
  <c r="M781" i="1" s="1"/>
  <c r="K780" i="1"/>
  <c r="M780" i="1" s="1"/>
  <c r="K779" i="1"/>
  <c r="M779" i="1" s="1"/>
  <c r="K778" i="1"/>
  <c r="M778" i="1" s="1"/>
  <c r="K777" i="1"/>
  <c r="M777" i="1" s="1"/>
  <c r="K776" i="1"/>
  <c r="M776" i="1" s="1"/>
  <c r="K775" i="1"/>
  <c r="M775" i="1" s="1"/>
  <c r="K774" i="1"/>
  <c r="M774" i="1" s="1"/>
  <c r="K773" i="1"/>
  <c r="M773" i="1" s="1"/>
  <c r="K772" i="1"/>
  <c r="M772" i="1" s="1"/>
  <c r="K771" i="1"/>
  <c r="M771" i="1" s="1"/>
  <c r="K770" i="1"/>
  <c r="M770" i="1" s="1"/>
  <c r="K769" i="1"/>
  <c r="M769" i="1" s="1"/>
  <c r="K768" i="1"/>
  <c r="M768" i="1" s="1"/>
  <c r="K767" i="1"/>
  <c r="M767" i="1" s="1"/>
  <c r="K766" i="1"/>
  <c r="M766" i="1" s="1"/>
  <c r="K765" i="1"/>
  <c r="M765" i="1" s="1"/>
  <c r="K764" i="1"/>
  <c r="M764" i="1" s="1"/>
  <c r="K763" i="1"/>
  <c r="M763" i="1" s="1"/>
  <c r="K762" i="1"/>
  <c r="M762" i="1" s="1"/>
  <c r="K761" i="1"/>
  <c r="M761" i="1" s="1"/>
  <c r="K760" i="1"/>
  <c r="M760" i="1" s="1"/>
  <c r="K759" i="1"/>
  <c r="M759" i="1" s="1"/>
  <c r="K758" i="1"/>
  <c r="M758" i="1" s="1"/>
  <c r="K757" i="1"/>
  <c r="M757" i="1" s="1"/>
  <c r="K756" i="1"/>
  <c r="M756" i="1" s="1"/>
  <c r="Q755" i="1"/>
  <c r="T755" i="1" s="1"/>
  <c r="K755" i="1"/>
  <c r="M755" i="1" s="1"/>
  <c r="K754" i="1"/>
  <c r="M754" i="1" s="1"/>
  <c r="K753" i="1"/>
  <c r="M753" i="1" s="1"/>
  <c r="K752" i="1"/>
  <c r="M752" i="1" s="1"/>
  <c r="Q751" i="1"/>
  <c r="T751" i="1" s="1"/>
  <c r="K751" i="1"/>
  <c r="M751" i="1" s="1"/>
  <c r="K750" i="1"/>
  <c r="M750" i="1" s="1"/>
  <c r="K749" i="1"/>
  <c r="M749" i="1" s="1"/>
  <c r="K748" i="1"/>
  <c r="M748" i="1" s="1"/>
  <c r="K747" i="1"/>
  <c r="M747" i="1" s="1"/>
  <c r="K746" i="1"/>
  <c r="M746" i="1" s="1"/>
  <c r="K745" i="1"/>
  <c r="M745" i="1" s="1"/>
  <c r="K744" i="1"/>
  <c r="M744" i="1" s="1"/>
  <c r="K743" i="1"/>
  <c r="M743" i="1" s="1"/>
  <c r="K742" i="1"/>
  <c r="M742" i="1" s="1"/>
  <c r="K741" i="1"/>
  <c r="M741" i="1" s="1"/>
  <c r="Q740" i="1"/>
  <c r="T740" i="1" s="1"/>
  <c r="K740" i="1"/>
  <c r="M740" i="1" s="1"/>
  <c r="K739" i="1"/>
  <c r="M739" i="1" s="1"/>
  <c r="K738" i="1"/>
  <c r="M738" i="1" s="1"/>
  <c r="K737" i="1"/>
  <c r="M737" i="1" s="1"/>
  <c r="K736" i="1"/>
  <c r="M736" i="1" s="1"/>
  <c r="Q735" i="1"/>
  <c r="T735" i="1" s="1"/>
  <c r="K735" i="1"/>
  <c r="M735" i="1" s="1"/>
  <c r="K734" i="1"/>
  <c r="M734" i="1" s="1"/>
  <c r="K733" i="1"/>
  <c r="M733" i="1" s="1"/>
  <c r="K732" i="1"/>
  <c r="M732" i="1" s="1"/>
  <c r="K731" i="1"/>
  <c r="M731" i="1" s="1"/>
  <c r="K730" i="1"/>
  <c r="M730" i="1" s="1"/>
  <c r="T729" i="1"/>
  <c r="K729" i="1"/>
  <c r="M729" i="1" s="1"/>
  <c r="K728" i="1"/>
  <c r="M728" i="1" s="1"/>
  <c r="K727" i="1"/>
  <c r="M727" i="1" s="1"/>
  <c r="K726" i="1"/>
  <c r="M726" i="1" s="1"/>
  <c r="K725" i="1"/>
  <c r="M725" i="1" s="1"/>
  <c r="K724" i="1"/>
  <c r="M724" i="1" s="1"/>
  <c r="K723" i="1"/>
  <c r="M723" i="1" s="1"/>
  <c r="K722" i="1"/>
  <c r="M722" i="1" s="1"/>
  <c r="K721" i="1"/>
  <c r="M721" i="1" s="1"/>
  <c r="K720" i="1"/>
  <c r="M720" i="1" s="1"/>
  <c r="K719" i="1"/>
  <c r="M719" i="1" s="1"/>
  <c r="K718" i="1"/>
  <c r="M718" i="1" s="1"/>
  <c r="K717" i="1"/>
  <c r="M717" i="1" s="1"/>
  <c r="K716" i="1"/>
  <c r="M716" i="1" s="1"/>
  <c r="K715" i="1"/>
  <c r="M715" i="1" s="1"/>
  <c r="Q714" i="1"/>
  <c r="T714" i="1" s="1"/>
  <c r="K714" i="1"/>
  <c r="M714" i="1" s="1"/>
  <c r="K713" i="1"/>
  <c r="M713" i="1" s="1"/>
  <c r="K712" i="1"/>
  <c r="M712" i="1" s="1"/>
  <c r="Q711" i="1"/>
  <c r="T711" i="1" s="1"/>
  <c r="K711" i="1"/>
  <c r="M711" i="1" s="1"/>
  <c r="K710" i="1"/>
  <c r="M710" i="1" s="1"/>
  <c r="K709" i="1"/>
  <c r="M709" i="1" s="1"/>
  <c r="K708" i="1"/>
  <c r="M708" i="1" s="1"/>
  <c r="K707" i="1"/>
  <c r="M707" i="1" s="1"/>
  <c r="K706" i="1"/>
  <c r="M706" i="1" s="1"/>
  <c r="K705" i="1"/>
  <c r="M705" i="1" s="1"/>
  <c r="K704" i="1"/>
  <c r="M704" i="1" s="1"/>
  <c r="K703" i="1"/>
  <c r="M703" i="1" s="1"/>
  <c r="K702" i="1"/>
  <c r="M702" i="1" s="1"/>
  <c r="K701" i="1"/>
  <c r="M701" i="1" s="1"/>
  <c r="K700" i="1"/>
  <c r="M700" i="1" s="1"/>
  <c r="K699" i="1"/>
  <c r="M699" i="1" s="1"/>
  <c r="K698" i="1"/>
  <c r="M698" i="1" s="1"/>
  <c r="K697" i="1"/>
  <c r="M697" i="1" s="1"/>
  <c r="K696" i="1"/>
  <c r="M696" i="1" s="1"/>
  <c r="K695" i="1"/>
  <c r="M695" i="1" s="1"/>
  <c r="K694" i="1"/>
  <c r="M694" i="1" s="1"/>
  <c r="Q693" i="1"/>
  <c r="T693" i="1" s="1"/>
  <c r="K693" i="1"/>
  <c r="M693" i="1" s="1"/>
  <c r="K692" i="1"/>
  <c r="M692" i="1" s="1"/>
  <c r="T691" i="1"/>
  <c r="K691" i="1"/>
  <c r="M691" i="1" s="1"/>
  <c r="Q690" i="1"/>
  <c r="T690" i="1" s="1"/>
  <c r="K690" i="1"/>
  <c r="M690" i="1" s="1"/>
  <c r="K689" i="1"/>
  <c r="M689" i="1" s="1"/>
  <c r="K688" i="1"/>
  <c r="M688" i="1" s="1"/>
  <c r="Q687" i="1"/>
  <c r="T687" i="1" s="1"/>
  <c r="G687" i="1"/>
  <c r="K687" i="1" s="1"/>
  <c r="M687" i="1" s="1"/>
  <c r="K686" i="1"/>
  <c r="M686" i="1" s="1"/>
  <c r="K685" i="1"/>
  <c r="M685" i="1" s="1"/>
  <c r="K684" i="1"/>
  <c r="M684" i="1" s="1"/>
  <c r="K683" i="1"/>
  <c r="M683" i="1" s="1"/>
  <c r="K682" i="1"/>
  <c r="M682" i="1" s="1"/>
  <c r="Q681" i="1"/>
  <c r="T681" i="1" s="1"/>
  <c r="K681" i="1"/>
  <c r="M681" i="1" s="1"/>
  <c r="K680" i="1"/>
  <c r="M680" i="1" s="1"/>
  <c r="K679" i="1"/>
  <c r="M679" i="1" s="1"/>
  <c r="K678" i="1"/>
  <c r="M678" i="1" s="1"/>
  <c r="K677" i="1"/>
  <c r="M677" i="1" s="1"/>
  <c r="K676" i="1"/>
  <c r="M676" i="1" s="1"/>
  <c r="K675" i="1"/>
  <c r="M675" i="1" s="1"/>
  <c r="K674" i="1"/>
  <c r="M674" i="1" s="1"/>
  <c r="K673" i="1"/>
  <c r="M673" i="1" s="1"/>
  <c r="Q672" i="1"/>
  <c r="T672" i="1" s="1"/>
  <c r="K672" i="1"/>
  <c r="M672" i="1" s="1"/>
  <c r="K671" i="1"/>
  <c r="M671" i="1" s="1"/>
  <c r="K670" i="1"/>
  <c r="M670" i="1" s="1"/>
  <c r="K669" i="1"/>
  <c r="M669" i="1" s="1"/>
  <c r="K668" i="1"/>
  <c r="M668" i="1" s="1"/>
  <c r="Q667" i="1"/>
  <c r="T667" i="1" s="1"/>
  <c r="K667" i="1"/>
  <c r="M667" i="1" s="1"/>
  <c r="K666" i="1"/>
  <c r="M666" i="1" s="1"/>
  <c r="K665" i="1"/>
  <c r="M665" i="1" s="1"/>
  <c r="K664" i="1"/>
  <c r="M664" i="1" s="1"/>
  <c r="K663" i="1"/>
  <c r="M663" i="1" s="1"/>
  <c r="K662" i="1"/>
  <c r="M662" i="1" s="1"/>
  <c r="K661" i="1"/>
  <c r="M661" i="1" s="1"/>
  <c r="K660" i="1"/>
  <c r="M660" i="1" s="1"/>
  <c r="K659" i="1"/>
  <c r="M659" i="1" s="1"/>
  <c r="K658" i="1"/>
  <c r="M658" i="1" s="1"/>
  <c r="K657" i="1"/>
  <c r="M657" i="1" s="1"/>
  <c r="K656" i="1"/>
  <c r="M656" i="1" s="1"/>
  <c r="K655" i="1"/>
  <c r="M655" i="1" s="1"/>
  <c r="Q654" i="1"/>
  <c r="T654" i="1" s="1"/>
  <c r="K654" i="1"/>
  <c r="M654" i="1" s="1"/>
  <c r="K653" i="1"/>
  <c r="M653" i="1" s="1"/>
  <c r="K652" i="1"/>
  <c r="M652" i="1" s="1"/>
  <c r="K651" i="1"/>
  <c r="M651" i="1" s="1"/>
  <c r="K650" i="1"/>
  <c r="M650" i="1" s="1"/>
  <c r="K649" i="1"/>
  <c r="M649" i="1" s="1"/>
  <c r="K648" i="1"/>
  <c r="M648" i="1" s="1"/>
  <c r="K647" i="1"/>
  <c r="M647" i="1" s="1"/>
  <c r="K646" i="1"/>
  <c r="M646" i="1" s="1"/>
  <c r="K645" i="1"/>
  <c r="M645" i="1" s="1"/>
  <c r="K644" i="1"/>
  <c r="M644" i="1" s="1"/>
  <c r="K643" i="1"/>
  <c r="M643" i="1" s="1"/>
  <c r="K642" i="1"/>
  <c r="M642" i="1" s="1"/>
  <c r="T641" i="1"/>
  <c r="K641" i="1"/>
  <c r="M641" i="1" s="1"/>
  <c r="K640" i="1"/>
  <c r="M640" i="1" s="1"/>
  <c r="K639" i="1"/>
  <c r="M639" i="1" s="1"/>
  <c r="K638" i="1"/>
  <c r="M638" i="1" s="1"/>
  <c r="K637" i="1"/>
  <c r="M637" i="1" s="1"/>
  <c r="K636" i="1"/>
  <c r="M636" i="1" s="1"/>
  <c r="Q635" i="1"/>
  <c r="T635" i="1" s="1"/>
  <c r="K635" i="1"/>
  <c r="M635" i="1" s="1"/>
  <c r="K634" i="1"/>
  <c r="M634" i="1" s="1"/>
  <c r="K633" i="1"/>
  <c r="M633" i="1" s="1"/>
  <c r="K632" i="1"/>
  <c r="M632" i="1" s="1"/>
  <c r="K631" i="1"/>
  <c r="M631" i="1" s="1"/>
  <c r="K630" i="1"/>
  <c r="M630" i="1" s="1"/>
  <c r="K629" i="1"/>
  <c r="M629" i="1" s="1"/>
  <c r="K628" i="1"/>
  <c r="M628" i="1" s="1"/>
  <c r="K627" i="1"/>
  <c r="M627" i="1" s="1"/>
  <c r="K626" i="1"/>
  <c r="M626" i="1" s="1"/>
  <c r="K625" i="1"/>
  <c r="M625" i="1" s="1"/>
  <c r="Q624" i="1"/>
  <c r="T624" i="1" s="1"/>
  <c r="K624" i="1"/>
  <c r="M624" i="1" s="1"/>
  <c r="K623" i="1"/>
  <c r="M623" i="1" s="1"/>
  <c r="T621" i="1"/>
  <c r="K621" i="1"/>
  <c r="M621" i="1" s="1"/>
  <c r="T620" i="1"/>
  <c r="G620" i="1"/>
  <c r="K620" i="1" s="1"/>
  <c r="M620" i="1" s="1"/>
  <c r="K619" i="1"/>
  <c r="M619" i="1" s="1"/>
  <c r="K618" i="1"/>
  <c r="M618" i="1" s="1"/>
  <c r="K617" i="1"/>
  <c r="M617" i="1" s="1"/>
  <c r="K616" i="1"/>
  <c r="M616" i="1" s="1"/>
  <c r="K615" i="1"/>
  <c r="M615" i="1" s="1"/>
  <c r="K614" i="1"/>
  <c r="M614" i="1" s="1"/>
  <c r="K613" i="1"/>
  <c r="M613" i="1" s="1"/>
  <c r="K612" i="1"/>
  <c r="M612" i="1" s="1"/>
  <c r="K611" i="1"/>
  <c r="M611" i="1" s="1"/>
  <c r="K610" i="1"/>
  <c r="M610" i="1" s="1"/>
  <c r="K609" i="1"/>
  <c r="M609" i="1" s="1"/>
  <c r="K608" i="1"/>
  <c r="M608" i="1" s="1"/>
  <c r="K607" i="1"/>
  <c r="M607" i="1" s="1"/>
  <c r="K606" i="1"/>
  <c r="M606" i="1" s="1"/>
  <c r="K605" i="1"/>
  <c r="M605" i="1" s="1"/>
  <c r="K604" i="1"/>
  <c r="M604" i="1" s="1"/>
  <c r="K603" i="1"/>
  <c r="M603" i="1" s="1"/>
  <c r="K602" i="1"/>
  <c r="M602" i="1" s="1"/>
  <c r="T601" i="1"/>
  <c r="K601" i="1"/>
  <c r="M601" i="1" s="1"/>
  <c r="K600" i="1"/>
  <c r="M600" i="1" s="1"/>
  <c r="K599" i="1"/>
  <c r="M599" i="1" s="1"/>
  <c r="K598" i="1"/>
  <c r="M598" i="1" s="1"/>
  <c r="K597" i="1"/>
  <c r="M597" i="1" s="1"/>
  <c r="K596" i="1"/>
  <c r="M596" i="1" s="1"/>
  <c r="K595" i="1"/>
  <c r="M595" i="1" s="1"/>
  <c r="K594" i="1"/>
  <c r="M594" i="1" s="1"/>
  <c r="K593" i="1"/>
  <c r="M593" i="1" s="1"/>
  <c r="K592" i="1"/>
  <c r="M592" i="1" s="1"/>
  <c r="Q591" i="1"/>
  <c r="T591" i="1" s="1"/>
  <c r="K591" i="1"/>
  <c r="M591" i="1" s="1"/>
  <c r="K590" i="1"/>
  <c r="M590" i="1" s="1"/>
  <c r="K589" i="1"/>
  <c r="M589" i="1" s="1"/>
  <c r="K588" i="1"/>
  <c r="M588" i="1" s="1"/>
  <c r="K587" i="1"/>
  <c r="M587" i="1" s="1"/>
  <c r="K586" i="1"/>
  <c r="M586" i="1" s="1"/>
  <c r="K585" i="1"/>
  <c r="M585" i="1" s="1"/>
  <c r="K584" i="1"/>
  <c r="M584" i="1" s="1"/>
  <c r="K583" i="1"/>
  <c r="M583" i="1" s="1"/>
  <c r="K582" i="1"/>
  <c r="M582" i="1" s="1"/>
  <c r="K581" i="1"/>
  <c r="M581" i="1" s="1"/>
  <c r="K580" i="1"/>
  <c r="M580" i="1" s="1"/>
  <c r="K579" i="1"/>
  <c r="M579" i="1" s="1"/>
  <c r="K578" i="1"/>
  <c r="M578" i="1" s="1"/>
  <c r="K577" i="1"/>
  <c r="M577" i="1" s="1"/>
  <c r="Q576" i="1"/>
  <c r="T576" i="1" s="1"/>
  <c r="K576" i="1"/>
  <c r="M576" i="1" s="1"/>
  <c r="K575" i="1"/>
  <c r="M575" i="1" s="1"/>
  <c r="K574" i="1"/>
  <c r="M574" i="1" s="1"/>
  <c r="K573" i="1"/>
  <c r="M573" i="1" s="1"/>
  <c r="K572" i="1"/>
  <c r="M572" i="1" s="1"/>
  <c r="K571" i="1"/>
  <c r="M571" i="1" s="1"/>
  <c r="K570" i="1"/>
  <c r="M570" i="1" s="1"/>
  <c r="Q569" i="1"/>
  <c r="T569" i="1" s="1"/>
  <c r="G569" i="1"/>
  <c r="K569" i="1" s="1"/>
  <c r="M569" i="1" s="1"/>
  <c r="K568" i="1"/>
  <c r="M568" i="1" s="1"/>
  <c r="K567" i="1"/>
  <c r="M567" i="1" s="1"/>
  <c r="K566" i="1"/>
  <c r="M566" i="1" s="1"/>
  <c r="K565" i="1"/>
  <c r="M565" i="1" s="1"/>
  <c r="K564" i="1"/>
  <c r="M564" i="1" s="1"/>
  <c r="K563" i="1"/>
  <c r="M563" i="1" s="1"/>
  <c r="K562" i="1"/>
  <c r="M562" i="1" s="1"/>
  <c r="K561" i="1"/>
  <c r="M561" i="1" s="1"/>
  <c r="K560" i="1"/>
  <c r="M560" i="1" s="1"/>
  <c r="K559" i="1"/>
  <c r="M559" i="1" s="1"/>
  <c r="K558" i="1"/>
  <c r="M558" i="1" s="1"/>
  <c r="K557" i="1"/>
  <c r="M557" i="1" s="1"/>
  <c r="K556" i="1"/>
  <c r="M556" i="1" s="1"/>
  <c r="K555" i="1"/>
  <c r="M555" i="1" s="1"/>
  <c r="K554" i="1"/>
  <c r="M554" i="1" s="1"/>
  <c r="K553" i="1"/>
  <c r="M553" i="1" s="1"/>
  <c r="K552" i="1"/>
  <c r="M552" i="1" s="1"/>
  <c r="Q551" i="1"/>
  <c r="T551" i="1" s="1"/>
  <c r="G551" i="1"/>
  <c r="K551" i="1" s="1"/>
  <c r="M551" i="1" s="1"/>
  <c r="Q550" i="1"/>
  <c r="T550" i="1" s="1"/>
  <c r="G550" i="1"/>
  <c r="K550" i="1" s="1"/>
  <c r="M550" i="1" s="1"/>
  <c r="K549" i="1"/>
  <c r="M549" i="1" s="1"/>
  <c r="K548" i="1"/>
  <c r="M548" i="1" s="1"/>
  <c r="K547" i="1"/>
  <c r="M547" i="1" s="1"/>
  <c r="K546" i="1"/>
  <c r="M546" i="1" s="1"/>
  <c r="K545" i="1"/>
  <c r="M545" i="1" s="1"/>
  <c r="K544" i="1"/>
  <c r="M544" i="1" s="1"/>
  <c r="K543" i="1"/>
  <c r="M543" i="1" s="1"/>
  <c r="Q542" i="1"/>
  <c r="T542" i="1" s="1"/>
  <c r="K542" i="1"/>
  <c r="M542" i="1" s="1"/>
  <c r="K541" i="1"/>
  <c r="M541" i="1" s="1"/>
  <c r="K540" i="1"/>
  <c r="M540" i="1" s="1"/>
  <c r="K539" i="1"/>
  <c r="M539" i="1" s="1"/>
  <c r="K538" i="1"/>
  <c r="M538" i="1" s="1"/>
  <c r="K537" i="1"/>
  <c r="M537" i="1" s="1"/>
  <c r="K536" i="1"/>
  <c r="M536" i="1" s="1"/>
  <c r="K535" i="1"/>
  <c r="M535" i="1" s="1"/>
  <c r="K534" i="1"/>
  <c r="M534" i="1" s="1"/>
  <c r="Q533" i="1"/>
  <c r="T533" i="1" s="1"/>
  <c r="G533" i="1"/>
  <c r="K533" i="1" s="1"/>
  <c r="M533" i="1" s="1"/>
  <c r="K532" i="1"/>
  <c r="M532" i="1" s="1"/>
  <c r="K531" i="1"/>
  <c r="M531" i="1" s="1"/>
  <c r="T530" i="1"/>
  <c r="K530" i="1"/>
  <c r="M530" i="1" s="1"/>
  <c r="K529" i="1"/>
  <c r="M529" i="1" s="1"/>
  <c r="K528" i="1"/>
  <c r="M528" i="1" s="1"/>
  <c r="K527" i="1"/>
  <c r="M527" i="1" s="1"/>
  <c r="K526" i="1"/>
  <c r="M526" i="1" s="1"/>
  <c r="T525" i="1"/>
  <c r="K525" i="1"/>
  <c r="M525" i="1" s="1"/>
  <c r="K524" i="1"/>
  <c r="M524" i="1" s="1"/>
  <c r="K523" i="1"/>
  <c r="M523" i="1" s="1"/>
  <c r="K522" i="1"/>
  <c r="M522" i="1" s="1"/>
  <c r="K521" i="1"/>
  <c r="M521" i="1" s="1"/>
  <c r="K520" i="1"/>
  <c r="M520" i="1" s="1"/>
  <c r="K519" i="1"/>
  <c r="M519" i="1" s="1"/>
  <c r="K518" i="1"/>
  <c r="M518" i="1" s="1"/>
  <c r="K517" i="1"/>
  <c r="M517" i="1" s="1"/>
  <c r="K516" i="1"/>
  <c r="M516" i="1" s="1"/>
  <c r="K515" i="1"/>
  <c r="M515" i="1" s="1"/>
  <c r="K514" i="1"/>
  <c r="M514" i="1" s="1"/>
  <c r="K513" i="1"/>
  <c r="M513" i="1" s="1"/>
  <c r="K512" i="1"/>
  <c r="M512" i="1" s="1"/>
  <c r="K511" i="1"/>
  <c r="M511" i="1" s="1"/>
  <c r="K510" i="1"/>
  <c r="M510" i="1" s="1"/>
  <c r="K509" i="1"/>
  <c r="M509" i="1" s="1"/>
  <c r="K508" i="1"/>
  <c r="M508" i="1" s="1"/>
  <c r="K507" i="1"/>
  <c r="M507" i="1" s="1"/>
  <c r="K506" i="1"/>
  <c r="M506" i="1" s="1"/>
  <c r="K505" i="1"/>
  <c r="M505" i="1" s="1"/>
  <c r="K504" i="1"/>
  <c r="M504" i="1" s="1"/>
  <c r="T503" i="1"/>
  <c r="K503" i="1"/>
  <c r="M503" i="1" s="1"/>
  <c r="K502" i="1"/>
  <c r="M502" i="1" s="1"/>
  <c r="K501" i="1"/>
  <c r="M501" i="1" s="1"/>
  <c r="K500" i="1"/>
  <c r="M500" i="1" s="1"/>
  <c r="K499" i="1"/>
  <c r="M499" i="1" s="1"/>
  <c r="K498" i="1"/>
  <c r="M498" i="1" s="1"/>
  <c r="K497" i="1"/>
  <c r="M497" i="1" s="1"/>
  <c r="K496" i="1"/>
  <c r="M496" i="1" s="1"/>
  <c r="K495" i="1"/>
  <c r="M495" i="1" s="1"/>
  <c r="K494" i="1"/>
  <c r="M494" i="1" s="1"/>
  <c r="K493" i="1"/>
  <c r="M493" i="1" s="1"/>
  <c r="Q492" i="1"/>
  <c r="T492" i="1" s="1"/>
  <c r="G492" i="1"/>
  <c r="K492" i="1" s="1"/>
  <c r="M492" i="1" s="1"/>
  <c r="K491" i="1"/>
  <c r="M491" i="1" s="1"/>
  <c r="K490" i="1"/>
  <c r="M490" i="1" s="1"/>
  <c r="K489" i="1"/>
  <c r="M489" i="1" s="1"/>
  <c r="K488" i="1"/>
  <c r="M488" i="1" s="1"/>
  <c r="K487" i="1"/>
  <c r="M487" i="1" s="1"/>
  <c r="K486" i="1"/>
  <c r="M486" i="1" s="1"/>
  <c r="Q485" i="1"/>
  <c r="T485" i="1" s="1"/>
  <c r="K485" i="1"/>
  <c r="M485" i="1" s="1"/>
  <c r="K484" i="1"/>
  <c r="M484" i="1" s="1"/>
  <c r="K483" i="1"/>
  <c r="M483" i="1" s="1"/>
  <c r="K482" i="1"/>
  <c r="M482" i="1" s="1"/>
  <c r="K481" i="1"/>
  <c r="M481" i="1" s="1"/>
  <c r="K480" i="1"/>
  <c r="M480" i="1" s="1"/>
  <c r="K479" i="1"/>
  <c r="M479" i="1" s="1"/>
  <c r="K478" i="1"/>
  <c r="M478" i="1" s="1"/>
  <c r="K477" i="1"/>
  <c r="M477" i="1" s="1"/>
  <c r="K476" i="1"/>
  <c r="M476" i="1" s="1"/>
  <c r="K475" i="1"/>
  <c r="M475" i="1" s="1"/>
  <c r="K474" i="1"/>
  <c r="M474" i="1" s="1"/>
  <c r="K473" i="1"/>
  <c r="M473" i="1" s="1"/>
  <c r="K472" i="1"/>
  <c r="M472" i="1" s="1"/>
  <c r="K471" i="1"/>
  <c r="M471" i="1" s="1"/>
  <c r="Q470" i="1"/>
  <c r="T470" i="1" s="1"/>
  <c r="K470" i="1"/>
  <c r="M470" i="1" s="1"/>
  <c r="K469" i="1"/>
  <c r="M469" i="1" s="1"/>
  <c r="K468" i="1"/>
  <c r="M468" i="1" s="1"/>
  <c r="K467" i="1"/>
  <c r="M467" i="1" s="1"/>
  <c r="K466" i="1"/>
  <c r="M466" i="1" s="1"/>
  <c r="K465" i="1"/>
  <c r="M465" i="1" s="1"/>
  <c r="K464" i="1"/>
  <c r="M464" i="1" s="1"/>
  <c r="K463" i="1"/>
  <c r="M463" i="1" s="1"/>
  <c r="K462" i="1"/>
  <c r="M462" i="1" s="1"/>
  <c r="K461" i="1"/>
  <c r="M461" i="1" s="1"/>
  <c r="K460" i="1"/>
  <c r="M460" i="1" s="1"/>
  <c r="K459" i="1"/>
  <c r="M459" i="1" s="1"/>
  <c r="K458" i="1"/>
  <c r="M458" i="1" s="1"/>
  <c r="K457" i="1"/>
  <c r="M457" i="1" s="1"/>
  <c r="K456" i="1"/>
  <c r="M456" i="1" s="1"/>
  <c r="K455" i="1"/>
  <c r="M455" i="1" s="1"/>
  <c r="K454" i="1"/>
  <c r="M454" i="1" s="1"/>
  <c r="K453" i="1"/>
  <c r="M453" i="1" s="1"/>
  <c r="K452" i="1"/>
  <c r="M452" i="1" s="1"/>
  <c r="K451" i="1"/>
  <c r="M451" i="1" s="1"/>
  <c r="K450" i="1"/>
  <c r="M450" i="1" s="1"/>
  <c r="K449" i="1"/>
  <c r="M449" i="1" s="1"/>
  <c r="K448" i="1"/>
  <c r="M448" i="1" s="1"/>
  <c r="K447" i="1"/>
  <c r="M447" i="1" s="1"/>
  <c r="K446" i="1"/>
  <c r="M446" i="1" s="1"/>
  <c r="K445" i="1"/>
  <c r="M445" i="1" s="1"/>
  <c r="K444" i="1"/>
  <c r="M444" i="1" s="1"/>
  <c r="K443" i="1"/>
  <c r="M443" i="1" s="1"/>
  <c r="K442" i="1"/>
  <c r="M442" i="1" s="1"/>
  <c r="K441" i="1"/>
  <c r="M441" i="1" s="1"/>
  <c r="K440" i="1"/>
  <c r="M440" i="1" s="1"/>
  <c r="K439" i="1"/>
  <c r="M439" i="1" s="1"/>
  <c r="T438" i="1"/>
  <c r="K438" i="1"/>
  <c r="M438" i="1" s="1"/>
  <c r="K437" i="1"/>
  <c r="M437" i="1" s="1"/>
  <c r="K436" i="1"/>
  <c r="M436" i="1" s="1"/>
  <c r="K435" i="1"/>
  <c r="M435" i="1" s="1"/>
  <c r="K434" i="1"/>
  <c r="M434" i="1" s="1"/>
  <c r="K433" i="1"/>
  <c r="M433" i="1" s="1"/>
  <c r="K432" i="1"/>
  <c r="M432" i="1" s="1"/>
  <c r="K431" i="1"/>
  <c r="M431" i="1" s="1"/>
  <c r="K430" i="1"/>
  <c r="M430" i="1" s="1"/>
  <c r="Q429" i="1"/>
  <c r="T429" i="1" s="1"/>
  <c r="K429" i="1"/>
  <c r="M429" i="1" s="1"/>
  <c r="K428" i="1"/>
  <c r="M428" i="1" s="1"/>
  <c r="T427" i="1"/>
  <c r="I427" i="1"/>
  <c r="K427" i="1" s="1"/>
  <c r="M427" i="1" s="1"/>
  <c r="K426" i="1"/>
  <c r="M426" i="1" s="1"/>
  <c r="K425" i="1"/>
  <c r="M425" i="1" s="1"/>
  <c r="K424" i="1"/>
  <c r="M424" i="1" s="1"/>
  <c r="Q423" i="1"/>
  <c r="T423" i="1" s="1"/>
  <c r="G423" i="1"/>
  <c r="K423" i="1" s="1"/>
  <c r="M423" i="1" s="1"/>
  <c r="K422" i="1"/>
  <c r="M422" i="1" s="1"/>
  <c r="K421" i="1"/>
  <c r="M421" i="1" s="1"/>
  <c r="Q420" i="1"/>
  <c r="T420" i="1" s="1"/>
  <c r="K420" i="1"/>
  <c r="M420" i="1" s="1"/>
  <c r="K419" i="1"/>
  <c r="M419" i="1" s="1"/>
  <c r="K418" i="1"/>
  <c r="M418" i="1" s="1"/>
  <c r="K417" i="1"/>
  <c r="M417" i="1" s="1"/>
  <c r="K416" i="1"/>
  <c r="M416" i="1" s="1"/>
  <c r="K415" i="1"/>
  <c r="M415" i="1" s="1"/>
  <c r="K414" i="1"/>
  <c r="M414" i="1" s="1"/>
  <c r="T413" i="1"/>
  <c r="K413" i="1"/>
  <c r="M413" i="1" s="1"/>
  <c r="T412" i="1"/>
  <c r="K412" i="1"/>
  <c r="M412" i="1" s="1"/>
  <c r="K411" i="1"/>
  <c r="M411" i="1" s="1"/>
  <c r="K410" i="1"/>
  <c r="M410" i="1" s="1"/>
  <c r="K409" i="1"/>
  <c r="M409" i="1" s="1"/>
  <c r="K408" i="1"/>
  <c r="M408" i="1" s="1"/>
  <c r="Q407" i="1"/>
  <c r="T407" i="1" s="1"/>
  <c r="G407" i="1"/>
  <c r="K407" i="1" s="1"/>
  <c r="M407" i="1" s="1"/>
  <c r="K406" i="1"/>
  <c r="M406" i="1" s="1"/>
  <c r="K405" i="1"/>
  <c r="M405" i="1" s="1"/>
  <c r="K404" i="1"/>
  <c r="M404" i="1" s="1"/>
  <c r="K403" i="1"/>
  <c r="M403" i="1" s="1"/>
  <c r="K402" i="1"/>
  <c r="M402" i="1" s="1"/>
  <c r="K401" i="1"/>
  <c r="M401" i="1" s="1"/>
  <c r="K400" i="1"/>
  <c r="M400" i="1" s="1"/>
  <c r="K399" i="1"/>
  <c r="M399" i="1" s="1"/>
  <c r="K398" i="1"/>
  <c r="M398" i="1" s="1"/>
  <c r="K397" i="1"/>
  <c r="M397" i="1" s="1"/>
  <c r="T396" i="1"/>
  <c r="K396" i="1"/>
  <c r="M396" i="1" s="1"/>
  <c r="K395" i="1"/>
  <c r="M395" i="1" s="1"/>
  <c r="K394" i="1"/>
  <c r="M394" i="1" s="1"/>
  <c r="K393" i="1"/>
  <c r="M393" i="1" s="1"/>
  <c r="K392" i="1"/>
  <c r="M392" i="1" s="1"/>
  <c r="K391" i="1"/>
  <c r="M391" i="1" s="1"/>
  <c r="K390" i="1"/>
  <c r="M390" i="1" s="1"/>
  <c r="K389" i="1"/>
  <c r="M389" i="1" s="1"/>
  <c r="K388" i="1"/>
  <c r="M388" i="1" s="1"/>
  <c r="K387" i="1"/>
  <c r="M387" i="1" s="1"/>
  <c r="K386" i="1"/>
  <c r="M386" i="1" s="1"/>
  <c r="K385" i="1"/>
  <c r="M385" i="1" s="1"/>
  <c r="K384" i="1"/>
  <c r="M384" i="1" s="1"/>
  <c r="K383" i="1"/>
  <c r="M383" i="1" s="1"/>
  <c r="K382" i="1"/>
  <c r="M382" i="1" s="1"/>
  <c r="Q381" i="1"/>
  <c r="T381" i="1" s="1"/>
  <c r="G381" i="1"/>
  <c r="K381" i="1" s="1"/>
  <c r="M381" i="1" s="1"/>
  <c r="K380" i="1"/>
  <c r="M380" i="1" s="1"/>
  <c r="K379" i="1"/>
  <c r="M379" i="1" s="1"/>
  <c r="K378" i="1"/>
  <c r="M378" i="1" s="1"/>
  <c r="Q377" i="1"/>
  <c r="T377" i="1" s="1"/>
  <c r="K377" i="1"/>
  <c r="M377" i="1" s="1"/>
  <c r="Q376" i="1"/>
  <c r="T376" i="1" s="1"/>
  <c r="K376" i="1"/>
  <c r="M376" i="1" s="1"/>
  <c r="K375" i="1"/>
  <c r="M375" i="1" s="1"/>
  <c r="K374" i="1"/>
  <c r="M374" i="1" s="1"/>
  <c r="K373" i="1"/>
  <c r="M373" i="1" s="1"/>
  <c r="K372" i="1"/>
  <c r="M372" i="1" s="1"/>
  <c r="K371" i="1"/>
  <c r="M371" i="1" s="1"/>
  <c r="K370" i="1"/>
  <c r="M370" i="1" s="1"/>
  <c r="K369" i="1"/>
  <c r="M369" i="1" s="1"/>
  <c r="K368" i="1"/>
  <c r="M368" i="1" s="1"/>
  <c r="Q367" i="1"/>
  <c r="T367" i="1" s="1"/>
  <c r="K367" i="1"/>
  <c r="M367" i="1" s="1"/>
  <c r="K366" i="1"/>
  <c r="M366" i="1" s="1"/>
  <c r="K365" i="1"/>
  <c r="M365" i="1" s="1"/>
  <c r="Q364" i="1"/>
  <c r="T364" i="1" s="1"/>
  <c r="H364" i="1"/>
  <c r="K364" i="1" s="1"/>
  <c r="M364" i="1" s="1"/>
  <c r="K363" i="1"/>
  <c r="M363" i="1" s="1"/>
  <c r="K362" i="1"/>
  <c r="M362" i="1" s="1"/>
  <c r="K361" i="1"/>
  <c r="M361" i="1" s="1"/>
  <c r="K360" i="1"/>
  <c r="M360" i="1" s="1"/>
  <c r="T359" i="1"/>
  <c r="H359" i="1"/>
  <c r="K359" i="1" s="1"/>
  <c r="M359" i="1" s="1"/>
  <c r="K358" i="1"/>
  <c r="M358" i="1" s="1"/>
  <c r="K357" i="1"/>
  <c r="M357" i="1" s="1"/>
  <c r="K356" i="1"/>
  <c r="M356" i="1" s="1"/>
  <c r="K355" i="1"/>
  <c r="M355" i="1" s="1"/>
  <c r="K354" i="1"/>
  <c r="M354" i="1" s="1"/>
  <c r="K353" i="1"/>
  <c r="M353" i="1" s="1"/>
  <c r="Q352" i="1"/>
  <c r="T352" i="1" s="1"/>
  <c r="K352" i="1"/>
  <c r="M352" i="1" s="1"/>
  <c r="T351" i="1"/>
  <c r="K351" i="1"/>
  <c r="M351" i="1" s="1"/>
  <c r="K350" i="1"/>
  <c r="M350" i="1" s="1"/>
  <c r="K349" i="1"/>
  <c r="M349" i="1" s="1"/>
  <c r="K348" i="1"/>
  <c r="M348" i="1" s="1"/>
  <c r="K347" i="1"/>
  <c r="M347" i="1" s="1"/>
  <c r="O346" i="1"/>
  <c r="K346" i="1"/>
  <c r="M346" i="1" s="1"/>
  <c r="K345" i="1"/>
  <c r="M345" i="1" s="1"/>
  <c r="K344" i="1"/>
  <c r="M344" i="1" s="1"/>
  <c r="K343" i="1"/>
  <c r="M343" i="1" s="1"/>
  <c r="K342" i="1"/>
  <c r="M342" i="1" s="1"/>
  <c r="K341" i="1"/>
  <c r="M341" i="1" s="1"/>
  <c r="K340" i="1"/>
  <c r="M340" i="1" s="1"/>
  <c r="K339" i="1"/>
  <c r="M339" i="1" s="1"/>
  <c r="K338" i="1"/>
  <c r="M338" i="1" s="1"/>
  <c r="Q337" i="1"/>
  <c r="T337" i="1" s="1"/>
  <c r="K337" i="1"/>
  <c r="F337" i="1"/>
  <c r="K336" i="1"/>
  <c r="M336" i="1" s="1"/>
  <c r="K335" i="1"/>
  <c r="M335" i="1" s="1"/>
  <c r="K334" i="1"/>
  <c r="M334" i="1" s="1"/>
  <c r="K333" i="1"/>
  <c r="M333" i="1" s="1"/>
  <c r="K332" i="1"/>
  <c r="M332" i="1" s="1"/>
  <c r="K331" i="1"/>
  <c r="M331" i="1" s="1"/>
  <c r="K330" i="1"/>
  <c r="M330" i="1" s="1"/>
  <c r="T329" i="1"/>
  <c r="K329" i="1"/>
  <c r="M329" i="1" s="1"/>
  <c r="K328" i="1"/>
  <c r="M328" i="1" s="1"/>
  <c r="K327" i="1"/>
  <c r="M327" i="1" s="1"/>
  <c r="K326" i="1"/>
  <c r="M326" i="1" s="1"/>
  <c r="K325" i="1"/>
  <c r="M325" i="1" s="1"/>
  <c r="Q324" i="1"/>
  <c r="T324" i="1" s="1"/>
  <c r="G324" i="1"/>
  <c r="K324" i="1" s="1"/>
  <c r="M324" i="1" s="1"/>
  <c r="K323" i="1"/>
  <c r="M323" i="1" s="1"/>
  <c r="K322" i="1"/>
  <c r="M322" i="1" s="1"/>
  <c r="K321" i="1"/>
  <c r="M321" i="1" s="1"/>
  <c r="K320" i="1"/>
  <c r="M320" i="1" s="1"/>
  <c r="Q319" i="1"/>
  <c r="T319" i="1" s="1"/>
  <c r="K319" i="1"/>
  <c r="M319" i="1" s="1"/>
  <c r="K318" i="1"/>
  <c r="M318" i="1" s="1"/>
  <c r="T317" i="1"/>
  <c r="K317" i="1"/>
  <c r="M317" i="1" s="1"/>
  <c r="K316" i="1"/>
  <c r="M316" i="1" s="1"/>
  <c r="K315" i="1"/>
  <c r="M315" i="1" s="1"/>
  <c r="K314" i="1"/>
  <c r="M314" i="1" s="1"/>
  <c r="K313" i="1"/>
  <c r="M313" i="1" s="1"/>
  <c r="K312" i="1"/>
  <c r="M312" i="1" s="1"/>
  <c r="K311" i="1"/>
  <c r="M311" i="1" s="1"/>
  <c r="K310" i="1"/>
  <c r="M310" i="1" s="1"/>
  <c r="K309" i="1"/>
  <c r="M309" i="1" s="1"/>
  <c r="K308" i="1"/>
  <c r="M308" i="1" s="1"/>
  <c r="T307" i="1"/>
  <c r="K307" i="1"/>
  <c r="M307" i="1" s="1"/>
  <c r="K306" i="1"/>
  <c r="M306" i="1" s="1"/>
  <c r="K305" i="1"/>
  <c r="M305" i="1" s="1"/>
  <c r="K304" i="1"/>
  <c r="M304" i="1" s="1"/>
  <c r="K303" i="1"/>
  <c r="M303" i="1" s="1"/>
  <c r="Q302" i="1"/>
  <c r="T302" i="1" s="1"/>
  <c r="K302" i="1"/>
  <c r="M302" i="1" s="1"/>
  <c r="K301" i="1"/>
  <c r="M301" i="1" s="1"/>
  <c r="K300" i="1"/>
  <c r="M300" i="1" s="1"/>
  <c r="K299" i="1"/>
  <c r="M299" i="1" s="1"/>
  <c r="K298" i="1"/>
  <c r="M298" i="1" s="1"/>
  <c r="T297" i="1"/>
  <c r="K297" i="1"/>
  <c r="M297" i="1" s="1"/>
  <c r="K296" i="1"/>
  <c r="M296" i="1" s="1"/>
  <c r="Q295" i="1"/>
  <c r="T295" i="1" s="1"/>
  <c r="G295" i="1"/>
  <c r="K295" i="1" s="1"/>
  <c r="M295" i="1" s="1"/>
  <c r="Q294" i="1"/>
  <c r="T294" i="1" s="1"/>
  <c r="K294" i="1"/>
  <c r="M294" i="1" s="1"/>
  <c r="K293" i="1"/>
  <c r="M293" i="1" s="1"/>
  <c r="K292" i="1"/>
  <c r="M292" i="1" s="1"/>
  <c r="K291" i="1"/>
  <c r="M291" i="1" s="1"/>
  <c r="K290" i="1"/>
  <c r="M290" i="1" s="1"/>
  <c r="K289" i="1"/>
  <c r="M289" i="1" s="1"/>
  <c r="K288" i="1"/>
  <c r="M288" i="1" s="1"/>
  <c r="K287" i="1"/>
  <c r="M287" i="1" s="1"/>
  <c r="K286" i="1"/>
  <c r="M286" i="1" s="1"/>
  <c r="K285" i="1"/>
  <c r="M285" i="1" s="1"/>
  <c r="K284" i="1"/>
  <c r="M284" i="1" s="1"/>
  <c r="K283" i="1"/>
  <c r="M283" i="1" s="1"/>
  <c r="K282" i="1"/>
  <c r="M282" i="1" s="1"/>
  <c r="K281" i="1"/>
  <c r="M281" i="1" s="1"/>
  <c r="K280" i="1"/>
  <c r="M280" i="1" s="1"/>
  <c r="T279" i="1"/>
  <c r="K278" i="1"/>
  <c r="M278" i="1" s="1"/>
  <c r="K277" i="1"/>
  <c r="M277" i="1" s="1"/>
  <c r="K276" i="1"/>
  <c r="M276" i="1" s="1"/>
  <c r="K275" i="1"/>
  <c r="M275" i="1" s="1"/>
  <c r="Q274" i="1"/>
  <c r="T274" i="1" s="1"/>
  <c r="K274" i="1"/>
  <c r="M274" i="1" s="1"/>
  <c r="K273" i="1"/>
  <c r="M273" i="1" s="1"/>
  <c r="K272" i="1"/>
  <c r="M272" i="1" s="1"/>
  <c r="K271" i="1"/>
  <c r="M271" i="1" s="1"/>
  <c r="K270" i="1"/>
  <c r="M270" i="1" s="1"/>
  <c r="K269" i="1"/>
  <c r="M269" i="1" s="1"/>
  <c r="K268" i="1"/>
  <c r="M268" i="1" s="1"/>
  <c r="K267" i="1"/>
  <c r="M267" i="1" s="1"/>
  <c r="K266" i="1"/>
  <c r="M266" i="1" s="1"/>
  <c r="K265" i="1"/>
  <c r="M265" i="1" s="1"/>
  <c r="K264" i="1"/>
  <c r="M264" i="1" s="1"/>
  <c r="K263" i="1"/>
  <c r="M263" i="1" s="1"/>
  <c r="Q262" i="1"/>
  <c r="T262" i="1" s="1"/>
  <c r="K262" i="1"/>
  <c r="M262" i="1" s="1"/>
  <c r="Q261" i="1"/>
  <c r="T261" i="1" s="1"/>
  <c r="K261" i="1"/>
  <c r="M261" i="1" s="1"/>
  <c r="K260" i="1"/>
  <c r="M260" i="1" s="1"/>
  <c r="Q259" i="1"/>
  <c r="T259" i="1" s="1"/>
  <c r="K259" i="1"/>
  <c r="M259" i="1" s="1"/>
  <c r="K258" i="1"/>
  <c r="M258" i="1" s="1"/>
  <c r="K257" i="1"/>
  <c r="M257" i="1" s="1"/>
  <c r="K256" i="1"/>
  <c r="M256" i="1" s="1"/>
  <c r="K255" i="1"/>
  <c r="M255" i="1" s="1"/>
  <c r="K254" i="1"/>
  <c r="M254" i="1" s="1"/>
  <c r="K253" i="1"/>
  <c r="M253" i="1" s="1"/>
  <c r="K252" i="1"/>
  <c r="M252" i="1" s="1"/>
  <c r="Q251" i="1"/>
  <c r="T251" i="1" s="1"/>
  <c r="K251" i="1"/>
  <c r="M251" i="1" s="1"/>
  <c r="K250" i="1"/>
  <c r="M250" i="1" s="1"/>
  <c r="K249" i="1"/>
  <c r="M249" i="1" s="1"/>
  <c r="K248" i="1"/>
  <c r="M248" i="1" s="1"/>
  <c r="K247" i="1"/>
  <c r="M247" i="1" s="1"/>
  <c r="K246" i="1"/>
  <c r="M246" i="1" s="1"/>
  <c r="K245" i="1"/>
  <c r="M245" i="1" s="1"/>
  <c r="T244" i="1"/>
  <c r="H244" i="1"/>
  <c r="G244" i="1"/>
  <c r="K243" i="1"/>
  <c r="M243" i="1" s="1"/>
  <c r="T242" i="1"/>
  <c r="H242" i="1"/>
  <c r="G242" i="1"/>
  <c r="K241" i="1"/>
  <c r="M241" i="1" s="1"/>
  <c r="K240" i="1"/>
  <c r="M240" i="1" s="1"/>
  <c r="K239" i="1"/>
  <c r="M239" i="1" s="1"/>
  <c r="K238" i="1"/>
  <c r="M238" i="1" s="1"/>
  <c r="K237" i="1"/>
  <c r="M237" i="1" s="1"/>
  <c r="K236" i="1"/>
  <c r="M236" i="1" s="1"/>
  <c r="K235" i="1"/>
  <c r="M235" i="1" s="1"/>
  <c r="K234" i="1"/>
  <c r="M234" i="1" s="1"/>
  <c r="T233" i="1"/>
  <c r="H233" i="1"/>
  <c r="G233" i="1"/>
  <c r="K232" i="1"/>
  <c r="M232" i="1" s="1"/>
  <c r="K231" i="1"/>
  <c r="M231" i="1" s="1"/>
  <c r="K230" i="1"/>
  <c r="M230" i="1" s="1"/>
  <c r="K229" i="1"/>
  <c r="M229" i="1" s="1"/>
  <c r="T228" i="1"/>
  <c r="H228" i="1"/>
  <c r="G228" i="1"/>
  <c r="K227" i="1"/>
  <c r="M227" i="1" s="1"/>
  <c r="K226" i="1"/>
  <c r="M226" i="1" s="1"/>
  <c r="K225" i="1"/>
  <c r="M225" i="1" s="1"/>
  <c r="K224" i="1"/>
  <c r="M224" i="1" s="1"/>
  <c r="K223" i="1"/>
  <c r="M223" i="1" s="1"/>
  <c r="K222" i="1"/>
  <c r="M222" i="1" s="1"/>
  <c r="K221" i="1"/>
  <c r="M221" i="1" s="1"/>
  <c r="K220" i="1"/>
  <c r="M220" i="1" s="1"/>
  <c r="T219" i="1"/>
  <c r="H219" i="1"/>
  <c r="G219" i="1"/>
  <c r="K219" i="1" s="1"/>
  <c r="M219" i="1" s="1"/>
  <c r="K218" i="1"/>
  <c r="M218" i="1" s="1"/>
  <c r="K217" i="1"/>
  <c r="M217" i="1" s="1"/>
  <c r="K216" i="1"/>
  <c r="M216" i="1" s="1"/>
  <c r="K215" i="1"/>
  <c r="M215" i="1" s="1"/>
  <c r="K214" i="1"/>
  <c r="M214" i="1" s="1"/>
  <c r="K213" i="1"/>
  <c r="M213" i="1" s="1"/>
  <c r="K212" i="1"/>
  <c r="M212" i="1" s="1"/>
  <c r="T211" i="1"/>
  <c r="H211" i="1"/>
  <c r="G211" i="1"/>
  <c r="K210" i="1"/>
  <c r="M210" i="1" s="1"/>
  <c r="K209" i="1"/>
  <c r="M209" i="1" s="1"/>
  <c r="K208" i="1"/>
  <c r="M208" i="1" s="1"/>
  <c r="K207" i="1"/>
  <c r="M207" i="1" s="1"/>
  <c r="K206" i="1"/>
  <c r="M206" i="1" s="1"/>
  <c r="K205" i="1"/>
  <c r="M205" i="1" s="1"/>
  <c r="K204" i="1"/>
  <c r="M204" i="1" s="1"/>
  <c r="K203" i="1"/>
  <c r="M203" i="1" s="1"/>
  <c r="K202" i="1"/>
  <c r="M202" i="1" s="1"/>
  <c r="K201" i="1"/>
  <c r="M201" i="1" s="1"/>
  <c r="K200" i="1"/>
  <c r="M200" i="1" s="1"/>
  <c r="Q199" i="1"/>
  <c r="T199" i="1" s="1"/>
  <c r="K199" i="1"/>
  <c r="M199" i="1" s="1"/>
  <c r="K198" i="1"/>
  <c r="M198" i="1" s="1"/>
  <c r="K197" i="1"/>
  <c r="M197" i="1" s="1"/>
  <c r="K196" i="1"/>
  <c r="M196" i="1" s="1"/>
  <c r="K195" i="1"/>
  <c r="M195" i="1" s="1"/>
  <c r="K194" i="1"/>
  <c r="M194" i="1" s="1"/>
  <c r="K193" i="1"/>
  <c r="M193" i="1" s="1"/>
  <c r="T192" i="1"/>
  <c r="K192" i="1"/>
  <c r="M192" i="1" s="1"/>
  <c r="K191" i="1"/>
  <c r="M191" i="1" s="1"/>
  <c r="K190" i="1"/>
  <c r="M190" i="1" s="1"/>
  <c r="K188" i="1"/>
  <c r="M188" i="1" s="1"/>
  <c r="K187" i="1"/>
  <c r="M187" i="1" s="1"/>
  <c r="K186" i="1"/>
  <c r="M186" i="1" s="1"/>
  <c r="K185" i="1"/>
  <c r="M185" i="1" s="1"/>
  <c r="K184" i="1"/>
  <c r="M184" i="1" s="1"/>
  <c r="K183" i="1"/>
  <c r="M183" i="1" s="1"/>
  <c r="T182" i="1"/>
  <c r="I182" i="1"/>
  <c r="K182" i="1" s="1"/>
  <c r="M182" i="1" s="1"/>
  <c r="K181" i="1"/>
  <c r="M181" i="1" s="1"/>
  <c r="K180" i="1"/>
  <c r="M180" i="1" s="1"/>
  <c r="K179" i="1"/>
  <c r="M179" i="1" s="1"/>
  <c r="Q178" i="1"/>
  <c r="T178" i="1" s="1"/>
  <c r="K178" i="1"/>
  <c r="M178" i="1" s="1"/>
  <c r="K177" i="1"/>
  <c r="M177" i="1" s="1"/>
  <c r="Q176" i="1"/>
  <c r="T176" i="1" s="1"/>
  <c r="K176" i="1"/>
  <c r="M176" i="1" s="1"/>
  <c r="T175" i="1"/>
  <c r="K175" i="1"/>
  <c r="M175" i="1" s="1"/>
  <c r="K174" i="1"/>
  <c r="M174" i="1" s="1"/>
  <c r="K173" i="1"/>
  <c r="M173" i="1" s="1"/>
  <c r="K172" i="1"/>
  <c r="M172" i="1" s="1"/>
  <c r="K171" i="1"/>
  <c r="M171" i="1" s="1"/>
  <c r="Q170" i="1"/>
  <c r="T170" i="1" s="1"/>
  <c r="K170" i="1"/>
  <c r="M170" i="1" s="1"/>
  <c r="K169" i="1"/>
  <c r="M169" i="1" s="1"/>
  <c r="K168" i="1"/>
  <c r="M168" i="1" s="1"/>
  <c r="T167" i="1"/>
  <c r="K167" i="1"/>
  <c r="M167" i="1" s="1"/>
  <c r="K166" i="1"/>
  <c r="M166" i="1" s="1"/>
  <c r="K165" i="1"/>
  <c r="M165" i="1" s="1"/>
  <c r="K164" i="1"/>
  <c r="M164" i="1" s="1"/>
  <c r="K163" i="1"/>
  <c r="M163" i="1" s="1"/>
  <c r="K162" i="1"/>
  <c r="M162" i="1" s="1"/>
  <c r="K161" i="1"/>
  <c r="M161" i="1" s="1"/>
  <c r="K160" i="1"/>
  <c r="M160" i="1" s="1"/>
  <c r="K159" i="1"/>
  <c r="M159" i="1" s="1"/>
  <c r="K158" i="1"/>
  <c r="M158" i="1" s="1"/>
  <c r="K157" i="1"/>
  <c r="M157" i="1" s="1"/>
  <c r="Q156" i="1"/>
  <c r="T156" i="1" s="1"/>
  <c r="K156" i="1"/>
  <c r="M156" i="1" s="1"/>
  <c r="K155" i="1"/>
  <c r="M155" i="1" s="1"/>
  <c r="K154" i="1"/>
  <c r="M154" i="1" s="1"/>
  <c r="Q153" i="1"/>
  <c r="T153" i="1" s="1"/>
  <c r="K153" i="1"/>
  <c r="M153" i="1" s="1"/>
  <c r="K152" i="1"/>
  <c r="M152" i="1" s="1"/>
  <c r="K151" i="1"/>
  <c r="M151" i="1" s="1"/>
  <c r="K150" i="1"/>
  <c r="M150" i="1" s="1"/>
  <c r="K149" i="1"/>
  <c r="M149" i="1" s="1"/>
  <c r="Q148" i="1"/>
  <c r="T148" i="1" s="1"/>
  <c r="K148" i="1"/>
  <c r="M148" i="1" s="1"/>
  <c r="K147" i="1"/>
  <c r="M147" i="1" s="1"/>
  <c r="K146" i="1"/>
  <c r="M146" i="1" s="1"/>
  <c r="K145" i="1"/>
  <c r="M145" i="1" s="1"/>
  <c r="K144" i="1"/>
  <c r="M144" i="1" s="1"/>
  <c r="K143" i="1"/>
  <c r="M143" i="1" s="1"/>
  <c r="Q142" i="1"/>
  <c r="T142" i="1" s="1"/>
  <c r="K142" i="1"/>
  <c r="M142" i="1" s="1"/>
  <c r="K141" i="1"/>
  <c r="M141" i="1" s="1"/>
  <c r="K140" i="1"/>
  <c r="M140" i="1" s="1"/>
  <c r="K139" i="1"/>
  <c r="M139" i="1" s="1"/>
  <c r="K138" i="1"/>
  <c r="M138" i="1" s="1"/>
  <c r="K137" i="1"/>
  <c r="M137" i="1" s="1"/>
  <c r="K136" i="1"/>
  <c r="M136" i="1" s="1"/>
  <c r="K135" i="1"/>
  <c r="M135" i="1" s="1"/>
  <c r="K134" i="1"/>
  <c r="M134" i="1" s="1"/>
  <c r="Q133" i="1"/>
  <c r="T133" i="1" s="1"/>
  <c r="K133" i="1"/>
  <c r="M133" i="1" s="1"/>
  <c r="K132" i="1"/>
  <c r="M132" i="1" s="1"/>
  <c r="K131" i="1"/>
  <c r="M131" i="1" s="1"/>
  <c r="K130" i="1"/>
  <c r="M130" i="1" s="1"/>
  <c r="K129" i="1"/>
  <c r="M129" i="1" s="1"/>
  <c r="K128" i="1"/>
  <c r="M128" i="1" s="1"/>
  <c r="K127" i="1"/>
  <c r="M127" i="1" s="1"/>
  <c r="K126" i="1"/>
  <c r="M126" i="1" s="1"/>
  <c r="K125" i="1"/>
  <c r="M125" i="1" s="1"/>
  <c r="S124" i="1"/>
  <c r="Q124" i="1"/>
  <c r="K124" i="1"/>
  <c r="M124" i="1" s="1"/>
  <c r="K123" i="1"/>
  <c r="M123" i="1" s="1"/>
  <c r="T122" i="1"/>
  <c r="K122" i="1"/>
  <c r="M122" i="1" s="1"/>
  <c r="K121" i="1"/>
  <c r="M121" i="1" s="1"/>
  <c r="K120" i="1"/>
  <c r="M120" i="1" s="1"/>
  <c r="K119" i="1"/>
  <c r="M119" i="1" s="1"/>
  <c r="K118" i="1"/>
  <c r="M118" i="1" s="1"/>
  <c r="Q117" i="1"/>
  <c r="T117" i="1" s="1"/>
  <c r="K117" i="1"/>
  <c r="M117" i="1" s="1"/>
  <c r="K116" i="1"/>
  <c r="M116" i="1" s="1"/>
  <c r="K115" i="1"/>
  <c r="M115" i="1" s="1"/>
  <c r="K114" i="1"/>
  <c r="M114" i="1" s="1"/>
  <c r="K113" i="1"/>
  <c r="M113" i="1" s="1"/>
  <c r="K112" i="1"/>
  <c r="M112" i="1" s="1"/>
  <c r="K111" i="1"/>
  <c r="M111" i="1" s="1"/>
  <c r="K110" i="1"/>
  <c r="M110" i="1" s="1"/>
  <c r="K109" i="1"/>
  <c r="M109" i="1" s="1"/>
  <c r="K108" i="1"/>
  <c r="M108" i="1" s="1"/>
  <c r="K107" i="1"/>
  <c r="M107" i="1" s="1"/>
  <c r="K106" i="1"/>
  <c r="M106" i="1" s="1"/>
  <c r="K105" i="1"/>
  <c r="M105" i="1" s="1"/>
  <c r="K104" i="1"/>
  <c r="M104" i="1" s="1"/>
  <c r="K103" i="1"/>
  <c r="M103" i="1" s="1"/>
  <c r="K102" i="1"/>
  <c r="M102" i="1" s="1"/>
  <c r="K101" i="1"/>
  <c r="M101" i="1" s="1"/>
  <c r="K100" i="1"/>
  <c r="M100" i="1" s="1"/>
  <c r="T99" i="1"/>
  <c r="K99" i="1"/>
  <c r="M99" i="1" s="1"/>
  <c r="K98" i="1"/>
  <c r="M98" i="1" s="1"/>
  <c r="K97" i="1"/>
  <c r="M97" i="1" s="1"/>
  <c r="K96" i="1"/>
  <c r="M96" i="1" s="1"/>
  <c r="T95" i="1"/>
  <c r="K95" i="1"/>
  <c r="M95" i="1" s="1"/>
  <c r="K94" i="1"/>
  <c r="M94" i="1" s="1"/>
  <c r="K93" i="1"/>
  <c r="M93" i="1" s="1"/>
  <c r="K92" i="1"/>
  <c r="M92" i="1" s="1"/>
  <c r="T91" i="1"/>
  <c r="K91" i="1"/>
  <c r="M91" i="1" s="1"/>
  <c r="K90" i="1"/>
  <c r="M90" i="1" s="1"/>
  <c r="K89" i="1"/>
  <c r="M89" i="1" s="1"/>
  <c r="K88" i="1"/>
  <c r="M88" i="1" s="1"/>
  <c r="Q87" i="1"/>
  <c r="T87" i="1" s="1"/>
  <c r="K87" i="1"/>
  <c r="M87" i="1" s="1"/>
  <c r="K86" i="1"/>
  <c r="M86" i="1" s="1"/>
  <c r="T85" i="1"/>
  <c r="K85" i="1"/>
  <c r="M85" i="1" s="1"/>
  <c r="K84" i="1"/>
  <c r="M84" i="1" s="1"/>
  <c r="K83" i="1"/>
  <c r="M83" i="1" s="1"/>
  <c r="K82" i="1"/>
  <c r="M82" i="1" s="1"/>
  <c r="K81" i="1"/>
  <c r="M81" i="1" s="1"/>
  <c r="K80" i="1"/>
  <c r="M80" i="1" s="1"/>
  <c r="K79" i="1"/>
  <c r="M79" i="1" s="1"/>
  <c r="T78" i="1"/>
  <c r="Q77" i="1"/>
  <c r="T77" i="1" s="1"/>
  <c r="K77" i="1"/>
  <c r="M77" i="1" s="1"/>
  <c r="Q76" i="1"/>
  <c r="T76" i="1" s="1"/>
  <c r="K76" i="1"/>
  <c r="M76" i="1" s="1"/>
  <c r="K75" i="1"/>
  <c r="M75" i="1" s="1"/>
  <c r="K74" i="1"/>
  <c r="M74" i="1" s="1"/>
  <c r="K73" i="1"/>
  <c r="M73" i="1" s="1"/>
  <c r="K72" i="1"/>
  <c r="M72" i="1" s="1"/>
  <c r="K71" i="1"/>
  <c r="M71" i="1" s="1"/>
  <c r="K70" i="1"/>
  <c r="M70" i="1" s="1"/>
  <c r="K69" i="1"/>
  <c r="M69" i="1" s="1"/>
  <c r="K68" i="1"/>
  <c r="M68" i="1" s="1"/>
  <c r="K67" i="1"/>
  <c r="M67" i="1" s="1"/>
  <c r="K66" i="1"/>
  <c r="M66" i="1" s="1"/>
  <c r="K65" i="1"/>
  <c r="M65" i="1" s="1"/>
  <c r="K64" i="1"/>
  <c r="M64" i="1" s="1"/>
  <c r="K63" i="1"/>
  <c r="M63" i="1" s="1"/>
  <c r="K62" i="1"/>
  <c r="M62" i="1" s="1"/>
  <c r="K61" i="1"/>
  <c r="M61" i="1" s="1"/>
  <c r="Q60" i="1"/>
  <c r="T60" i="1" s="1"/>
  <c r="G60" i="1"/>
  <c r="K60" i="1" s="1"/>
  <c r="M60" i="1" s="1"/>
  <c r="K59" i="1"/>
  <c r="M59" i="1" s="1"/>
  <c r="K58" i="1"/>
  <c r="M58" i="1" s="1"/>
  <c r="K57" i="1"/>
  <c r="M57" i="1" s="1"/>
  <c r="K56" i="1"/>
  <c r="M56" i="1" s="1"/>
  <c r="Q55" i="1"/>
  <c r="T55" i="1" s="1"/>
  <c r="K55" i="1"/>
  <c r="M55" i="1" s="1"/>
  <c r="K54" i="1"/>
  <c r="M54" i="1" s="1"/>
  <c r="K53" i="1"/>
  <c r="M53" i="1" s="1"/>
  <c r="K52" i="1"/>
  <c r="M52" i="1" s="1"/>
  <c r="K51" i="1"/>
  <c r="M51" i="1" s="1"/>
  <c r="K50" i="1"/>
  <c r="M50" i="1" s="1"/>
  <c r="T49" i="1"/>
  <c r="K48" i="1"/>
  <c r="M48" i="1" s="1"/>
  <c r="K47" i="1"/>
  <c r="M47" i="1" s="1"/>
  <c r="K46" i="1"/>
  <c r="M46" i="1" s="1"/>
  <c r="K45" i="1"/>
  <c r="M45" i="1" s="1"/>
  <c r="K44" i="1"/>
  <c r="M44" i="1" s="1"/>
  <c r="K43" i="1"/>
  <c r="M43" i="1" s="1"/>
  <c r="K42" i="1"/>
  <c r="M42" i="1" s="1"/>
  <c r="K41" i="1"/>
  <c r="M41" i="1" s="1"/>
  <c r="K40" i="1"/>
  <c r="M40" i="1" s="1"/>
  <c r="T39" i="1"/>
  <c r="K39" i="1"/>
  <c r="M39" i="1" s="1"/>
  <c r="K38" i="1"/>
  <c r="M38" i="1" s="1"/>
  <c r="K37" i="1"/>
  <c r="M37" i="1" s="1"/>
  <c r="K36" i="1"/>
  <c r="M36" i="1" s="1"/>
  <c r="K35" i="1"/>
  <c r="M35" i="1" s="1"/>
  <c r="K34" i="1"/>
  <c r="M34" i="1" s="1"/>
  <c r="K33" i="1"/>
  <c r="M33" i="1" s="1"/>
  <c r="K32" i="1"/>
  <c r="M32" i="1" s="1"/>
  <c r="K31" i="1"/>
  <c r="M31" i="1" s="1"/>
  <c r="K30" i="1"/>
  <c r="M30" i="1" s="1"/>
  <c r="K29" i="1"/>
  <c r="M29" i="1" s="1"/>
  <c r="K28" i="1"/>
  <c r="M28" i="1" s="1"/>
  <c r="K27" i="1"/>
  <c r="M27" i="1" s="1"/>
  <c r="K26" i="1"/>
  <c r="M26" i="1" s="1"/>
  <c r="K25" i="1"/>
  <c r="M25" i="1" s="1"/>
  <c r="K24" i="1"/>
  <c r="M24" i="1" s="1"/>
  <c r="K23" i="1"/>
  <c r="M23" i="1" s="1"/>
  <c r="K22" i="1"/>
  <c r="M22" i="1" s="1"/>
  <c r="K21" i="1"/>
  <c r="M21" i="1" s="1"/>
  <c r="K20" i="1"/>
  <c r="M20" i="1" s="1"/>
  <c r="K19" i="1"/>
  <c r="M19" i="1" s="1"/>
  <c r="Q18" i="1"/>
  <c r="T18" i="1" s="1"/>
  <c r="J18" i="1"/>
  <c r="I18" i="1"/>
  <c r="K18" i="1" s="1"/>
  <c r="M18" i="1" s="1"/>
  <c r="Q17" i="1"/>
  <c r="T17" i="1" s="1"/>
  <c r="K17" i="1"/>
  <c r="M17" i="1" s="1"/>
  <c r="K16" i="1"/>
  <c r="M16" i="1" s="1"/>
  <c r="K15" i="1"/>
  <c r="M15" i="1" s="1"/>
  <c r="K14" i="1"/>
  <c r="M14" i="1" s="1"/>
  <c r="K13" i="1"/>
  <c r="M13" i="1" s="1"/>
  <c r="K12" i="1"/>
  <c r="M12" i="1" s="1"/>
  <c r="K11" i="1"/>
  <c r="M11" i="1" s="1"/>
  <c r="T10" i="1"/>
  <c r="K10" i="1"/>
  <c r="M10" i="1" s="1"/>
  <c r="K9" i="1"/>
  <c r="M9" i="1" s="1"/>
  <c r="K8" i="1"/>
  <c r="M8" i="1" s="1"/>
  <c r="K7" i="1"/>
  <c r="M7" i="1" s="1"/>
  <c r="K6" i="1"/>
  <c r="M6" i="1" s="1"/>
  <c r="K5" i="1"/>
  <c r="M5" i="1" s="1"/>
  <c r="K4" i="1"/>
  <c r="M4" i="1" s="1"/>
  <c r="K3" i="1"/>
  <c r="M3" i="1" s="1"/>
  <c r="K2" i="1"/>
  <c r="M2" i="1" s="1"/>
  <c r="M4587" i="1" l="1"/>
  <c r="T124" i="1"/>
  <c r="K244" i="1"/>
  <c r="M244" i="1" s="1"/>
  <c r="M2935" i="1"/>
  <c r="M1306" i="1"/>
  <c r="K242" i="1"/>
  <c r="M242" i="1" s="1"/>
  <c r="K211" i="1"/>
  <c r="M211" i="1" s="1"/>
  <c r="K5480" i="1"/>
  <c r="M5480" i="1" s="1"/>
  <c r="M1263" i="1"/>
  <c r="M2687" i="1"/>
  <c r="M2933" i="1"/>
  <c r="M2963" i="1"/>
  <c r="K228" i="1"/>
  <c r="M228" i="1" s="1"/>
  <c r="M5609" i="1"/>
  <c r="M2945" i="1"/>
  <c r="M1189" i="1"/>
  <c r="M337" i="1"/>
  <c r="M2803" i="1"/>
  <c r="K3838" i="1"/>
  <c r="M3838" i="1" s="1"/>
  <c r="M1206" i="1"/>
  <c r="M5048" i="1"/>
  <c r="M3583" i="1"/>
  <c r="K233" i="1"/>
  <c r="M233" i="1" s="1"/>
  <c r="M1303" i="1"/>
  <c r="M1315" i="1"/>
  <c r="M2960" i="1"/>
  <c r="K4593" i="1"/>
</calcChain>
</file>

<file path=xl/sharedStrings.xml><?xml version="1.0" encoding="utf-8"?>
<sst xmlns="http://schemas.openxmlformats.org/spreadsheetml/2006/main" count="32288" uniqueCount="26947">
  <si>
    <t>FRN</t>
  </si>
  <si>
    <t>FirmName</t>
  </si>
  <si>
    <t>Website</t>
  </si>
  <si>
    <t>Staff size</t>
  </si>
  <si>
    <t>INT</t>
  </si>
  <si>
    <t>PC</t>
  </si>
  <si>
    <t>InitialFee</t>
  </si>
  <si>
    <t>PDF_initial fee</t>
  </si>
  <si>
    <t>PDF ongoing fee</t>
  </si>
  <si>
    <t>TC</t>
  </si>
  <si>
    <t>Column2</t>
  </si>
  <si>
    <t>Fee plus product annual cost</t>
  </si>
  <si>
    <t>Comments and back up</t>
  </si>
  <si>
    <t>TC backup</t>
  </si>
  <si>
    <t>PC backup</t>
  </si>
  <si>
    <t>Total Asset</t>
  </si>
  <si>
    <t>Listed</t>
  </si>
  <si>
    <t>Net Asset</t>
  </si>
  <si>
    <t>Net Asset/Total Assets</t>
  </si>
  <si>
    <t>Network</t>
  </si>
  <si>
    <t>financial stm backup  (2024 data)</t>
  </si>
  <si>
    <t>Fixed Fee</t>
  </si>
  <si>
    <t>Low Fee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</si>
  <si>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</si>
  <si>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</si>
  <si>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</si>
  <si>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</si>
  <si>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</si>
  <si>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</si>
  <si>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</si>
  <si>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</si>
  <si>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</si>
  <si>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</si>
  <si>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</si>
  <si>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</si>
  <si>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</si>
  <si>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</si>
  <si>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</si>
  <si>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</si>
  <si>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</si>
  <si>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</si>
  <si>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</si>
  <si>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</si>
  <si>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</si>
  <si>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</si>
  <si>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</si>
  <si>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</si>
  <si>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</si>
  <si>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</si>
  <si>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</si>
  <si>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</si>
  <si>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</si>
  <si>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</si>
  <si>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</si>
  <si>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</si>
  <si>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</si>
  <si>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</si>
  <si>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</si>
  <si>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</si>
  <si>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</si>
  <si>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</si>
  <si>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</si>
  <si>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</si>
  <si>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</si>
  <si>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</si>
  <si>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</si>
  <si>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</si>
  <si>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</si>
  <si>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</si>
  <si>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</si>
  <si>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</si>
  <si>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</si>
  <si>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</si>
  <si>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</si>
  <si>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</si>
  <si>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</si>
  <si>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</si>
  <si>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</si>
  <si>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</si>
  <si>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</si>
  <si>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</si>
  <si>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</si>
  <si>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</si>
  <si>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</si>
  <si>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</si>
  <si>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</si>
  <si>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</si>
  <si>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</si>
  <si>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</si>
  <si>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</si>
  <si>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</si>
  <si>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</si>
  <si>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</si>
  <si>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</si>
  <si>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</si>
  <si>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</si>
  <si>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</si>
  <si>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</si>
  <si>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</si>
  <si>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</si>
  <si>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</si>
  <si>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</si>
  <si>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</si>
  <si>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</si>
  <si>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</si>
  <si>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</si>
  <si>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</si>
  <si>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</si>
  <si>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</si>
  <si>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</si>
  <si>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</si>
  <si>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</si>
  <si>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</si>
  <si>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</si>
  <si>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</si>
  <si>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</si>
  <si>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</si>
  <si>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</si>
  <si>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</si>
  <si>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</si>
  <si>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</si>
  <si>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</si>
  <si>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</si>
  <si>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</si>
  <si>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</si>
  <si>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</si>
  <si>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</si>
  <si>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</si>
  <si>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</si>
  <si>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</si>
  <si>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</si>
  <si>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</si>
  <si>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</si>
  <si>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</si>
  <si>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</si>
  <si>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</si>
  <si>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</si>
  <si>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</si>
  <si>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</si>
  <si>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</si>
  <si>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</si>
  <si>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</si>
  <si>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</si>
  <si>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</si>
  <si>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</si>
  <si>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</si>
  <si>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</si>
  <si>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</si>
  <si>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</si>
  <si>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</si>
  <si>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</si>
  <si>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</si>
  <si>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</si>
  <si>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</si>
  <si>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</si>
  <si>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</si>
  <si>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</si>
  <si>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</si>
  <si>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</si>
  <si>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</si>
  <si>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</si>
  <si>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</si>
  <si>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</si>
  <si>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</si>
  <si>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</si>
  <si>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</si>
  <si>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</si>
  <si>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</si>
  <si>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</si>
  <si>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</si>
  <si>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</si>
  <si>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</si>
  <si>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</si>
  <si>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</si>
  <si>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</si>
  <si>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</si>
  <si>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</si>
  <si>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</si>
  <si>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</si>
  <si>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</si>
  <si>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</si>
  <si>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</si>
  <si>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</si>
  <si>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</si>
  <si>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</si>
  <si>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</si>
  <si>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</si>
  <si>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</si>
  <si>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</si>
  <si>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</si>
  <si>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</si>
  <si>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</si>
  <si>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</si>
  <si>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</si>
  <si>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</si>
  <si>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</si>
  <si>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</si>
  <si>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</si>
  <si>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</si>
  <si>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</si>
  <si>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</si>
  <si>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</si>
  <si>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</si>
  <si>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</si>
  <si>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</si>
  <si>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</si>
  <si>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</si>
  <si>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</si>
  <si>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</si>
  <si>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</si>
  <si>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</si>
  <si>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</si>
  <si>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</si>
  <si>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</si>
  <si>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</si>
  <si>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</si>
  <si>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</si>
  <si>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</si>
  <si>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</si>
  <si>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</si>
  <si>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</si>
  <si>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</si>
  <si>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</si>
  <si>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</si>
  <si>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</si>
  <si>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</si>
  <si>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</si>
  <si>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</si>
  <si>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</si>
  <si>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</si>
  <si>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</si>
  <si>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</si>
  <si>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</si>
  <si>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</si>
  <si>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</si>
  <si>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</si>
  <si>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</si>
  <si>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</si>
  <si>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</si>
  <si>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</si>
  <si>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</si>
  <si>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</si>
  <si>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</si>
  <si>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</si>
  <si>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</si>
  <si>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</si>
  <si>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</si>
  <si>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</si>
  <si>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</si>
  <si>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</si>
  <si>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</si>
  <si>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</si>
  <si>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</si>
  <si>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</si>
  <si>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</si>
  <si>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</si>
  <si>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</si>
  <si>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</si>
  <si>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</si>
  <si>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</si>
  <si>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</si>
  <si>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</si>
  <si>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</si>
  <si>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</si>
  <si>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</si>
  <si>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</si>
  <si>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</si>
  <si>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</si>
  <si>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</si>
  <si>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</si>
  <si>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</si>
  <si>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</si>
  <si>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</si>
  <si>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</si>
  <si>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</si>
  <si>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</si>
  <si>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</si>
  <si>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</si>
  <si>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</si>
  <si>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</si>
  <si>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</si>
  <si>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</si>
  <si>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</si>
  <si>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</si>
  <si>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</si>
  <si>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</si>
  <si>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</si>
  <si>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</si>
  <si>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</si>
  <si>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</si>
  <si>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</si>
  <si>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</si>
  <si>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</si>
  <si>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</si>
  <si>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</si>
  <si>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</si>
  <si>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</si>
  <si>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</si>
  <si>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</si>
  <si>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</si>
  <si>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</si>
  <si>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</si>
  <si>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</si>
  <si>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</si>
  <si>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</si>
  <si>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</si>
  <si>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</si>
  <si>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</si>
  <si>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</si>
  <si>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</si>
  <si>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</si>
  <si>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</si>
  <si>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</si>
  <si>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</si>
  <si>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</si>
  <si>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</si>
  <si>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</si>
  <si>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</si>
  <si>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</si>
  <si>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</si>
  <si>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</si>
  <si>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</si>
  <si>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</si>
  <si>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</si>
  <si>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</si>
  <si>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</si>
  <si>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</si>
  <si>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</si>
  <si>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</si>
  <si>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</si>
  <si>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</si>
  <si>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</si>
  <si>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</si>
  <si>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</si>
  <si>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</si>
  <si>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</si>
  <si>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</si>
  <si>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</si>
  <si>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</si>
  <si>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</si>
  <si>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</si>
  <si>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</si>
  <si>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</si>
  <si>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</si>
  <si>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</si>
  <si>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</si>
  <si>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</si>
  <si>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</si>
  <si>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</si>
  <si>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</si>
  <si>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</si>
  <si>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</si>
  <si>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</si>
  <si>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</si>
  <si>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</si>
  <si>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</si>
  <si>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</si>
  <si>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</si>
  <si>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</si>
  <si>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</si>
  <si>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</si>
  <si>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</si>
  <si>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</si>
  <si>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</si>
  <si>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</si>
  <si>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</si>
  <si>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</si>
  <si>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</si>
  <si>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</si>
  <si>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</si>
  <si>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</si>
  <si>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</si>
  <si>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</si>
  <si>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</si>
  <si>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</si>
  <si>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</si>
  <si>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</si>
  <si>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</si>
  <si>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</si>
  <si>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</si>
  <si>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</si>
  <si>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</si>
  <si>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</si>
  <si>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</si>
  <si>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</si>
  <si>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</si>
  <si>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</si>
  <si>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</si>
  <si>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</si>
  <si>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</si>
  <si>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</si>
  <si>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</si>
  <si>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</si>
  <si>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</si>
  <si>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</si>
  <si>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</si>
  <si>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</si>
  <si>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</si>
  <si>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</si>
  <si>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</si>
  <si>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</si>
  <si>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</si>
  <si>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</si>
  <si>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</si>
  <si>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</si>
  <si>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</si>
  <si>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</si>
  <si>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</si>
  <si>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</si>
  <si>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</si>
  <si>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</si>
  <si>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</si>
  <si>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</si>
  <si>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</si>
  <si>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</si>
  <si>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</si>
  <si>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</si>
  <si>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</si>
  <si>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</si>
  <si>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</si>
  <si>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</si>
  <si>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</si>
  <si>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</si>
  <si>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</si>
  <si>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</si>
  <si>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</si>
  <si>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</si>
  <si>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</si>
  <si>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</si>
  <si>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</si>
  <si>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</si>
  <si>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</si>
  <si>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</si>
  <si>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</si>
  <si>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</si>
  <si>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</si>
  <si>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</si>
  <si>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</si>
  <si>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</si>
  <si>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</si>
  <si>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</si>
  <si>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</si>
  <si>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</si>
  <si>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</si>
  <si>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</si>
  <si>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</si>
  <si>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</si>
  <si>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</si>
  <si>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</si>
  <si>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</si>
  <si>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</si>
  <si>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</si>
  <si>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</si>
  <si>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</si>
  <si>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</si>
  <si>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</si>
  <si>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</si>
  <si>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</si>
  <si>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</si>
  <si>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</si>
  <si>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</si>
  <si>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</si>
  <si>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</si>
  <si>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</si>
  <si>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</si>
  <si>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</si>
  <si>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</si>
  <si>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</si>
  <si>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</si>
  <si>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</si>
  <si>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</si>
  <si>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</si>
  <si>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</si>
  <si>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</si>
  <si>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</si>
  <si>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</si>
  <si>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</si>
  <si>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</si>
  <si>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</si>
  <si>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</si>
  <si>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</si>
  <si>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</si>
  <si>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</si>
  <si>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</si>
  <si>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</si>
  <si>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</si>
  <si>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</si>
  <si>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</si>
  <si>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</si>
  <si>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</si>
  <si>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</si>
  <si>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</si>
  <si>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</si>
  <si>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</si>
  <si>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</si>
  <si>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</si>
  <si>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</si>
  <si>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</si>
  <si>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</si>
  <si>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</si>
  <si>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</si>
  <si>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</si>
  <si>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</si>
  <si>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</si>
  <si>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</si>
  <si>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</si>
  <si>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</si>
  <si>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</si>
  <si>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</si>
  <si>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</si>
  <si>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</si>
  <si>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</si>
  <si>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</si>
  <si>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</si>
  <si>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</si>
  <si>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</si>
  <si>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</si>
  <si>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</si>
  <si>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</si>
  <si>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</si>
  <si>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</si>
  <si>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</si>
  <si>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</si>
  <si>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</si>
  <si>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</si>
  <si>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</si>
  <si>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</si>
  <si>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</si>
  <si>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</si>
  <si>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</si>
  <si>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</si>
  <si>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</si>
  <si>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</si>
  <si>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</si>
  <si>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</si>
  <si>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</si>
  <si>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</si>
  <si>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</si>
  <si>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</si>
  <si>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</si>
  <si>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</si>
  <si>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</si>
  <si>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</si>
  <si>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</si>
  <si>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</si>
  <si>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</si>
  <si>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</si>
  <si>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</si>
  <si>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</si>
  <si>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</si>
  <si>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</si>
  <si>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</si>
  <si>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</si>
  <si>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</si>
  <si>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</si>
  <si>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</si>
  <si>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</si>
  <si>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</si>
  <si>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</si>
  <si>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</si>
  <si>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</si>
  <si>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</si>
  <si>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</si>
  <si>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</si>
  <si>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</si>
  <si>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</si>
  <si>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</si>
  <si>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</si>
  <si>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</si>
  <si>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</si>
  <si>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</si>
  <si>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</si>
  <si>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</si>
  <si>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</si>
  <si>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</si>
  <si>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</si>
  <si>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</si>
  <si>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</si>
  <si>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</si>
  <si>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</si>
  <si>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</si>
  <si>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</si>
  <si>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</si>
  <si>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</si>
  <si>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</si>
  <si>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</si>
  <si>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</si>
  <si>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</si>
  <si>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</si>
  <si>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</si>
  <si>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</si>
  <si>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</si>
  <si>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</si>
  <si>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</si>
  <si>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</si>
  <si>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</si>
  <si>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</si>
  <si>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</si>
  <si>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</si>
  <si>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</si>
  <si>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</si>
  <si>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</si>
  <si>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</si>
  <si>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</si>
  <si>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</si>
  <si>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</si>
  <si>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</si>
  <si>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</si>
  <si>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</si>
  <si>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</si>
  <si>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</si>
  <si>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</si>
  <si>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</si>
  <si>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</si>
  <si>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</si>
  <si>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</si>
  <si>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</si>
  <si>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</si>
  <si>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</si>
  <si>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</si>
  <si>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</si>
  <si>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</si>
  <si>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</si>
  <si>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</si>
  <si>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</si>
  <si>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</si>
  <si>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</si>
  <si>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</si>
  <si>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</si>
  <si>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</si>
  <si>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</si>
  <si>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</si>
  <si>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</si>
  <si>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</si>
  <si>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</si>
  <si>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</si>
  <si>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</si>
  <si>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</si>
  <si>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</si>
  <si>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</si>
  <si>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</si>
  <si>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</si>
  <si>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</si>
  <si>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</si>
  <si>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</si>
  <si>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</si>
  <si>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</si>
  <si>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</si>
  <si>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</si>
  <si>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</si>
  <si>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</si>
  <si>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</si>
  <si>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</si>
  <si>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</si>
  <si>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</si>
  <si>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</si>
  <si>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</si>
  <si>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</si>
  <si>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</si>
  <si>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</si>
  <si>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</si>
  <si>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</si>
  <si>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</si>
  <si>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</si>
  <si>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</si>
  <si>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</si>
  <si>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</si>
  <si>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</si>
  <si>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</si>
  <si>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</si>
  <si>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</si>
  <si>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</si>
  <si>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</si>
  <si>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</si>
  <si>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</si>
  <si>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</si>
  <si>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</si>
  <si>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</si>
  <si>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</si>
  <si>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</si>
  <si>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</si>
  <si>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</si>
  <si>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</si>
  <si>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</si>
  <si>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</si>
  <si>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</si>
  <si>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</si>
  <si>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</si>
  <si>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</si>
  <si>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</si>
  <si>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</si>
  <si>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</si>
  <si>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</si>
  <si>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</si>
  <si>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</si>
  <si>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</si>
  <si>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</si>
  <si>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</si>
  <si>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</si>
  <si>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</si>
  <si>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</si>
  <si>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</si>
  <si>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</si>
  <si>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</si>
  <si>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</si>
  <si>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</si>
  <si>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</si>
  <si>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</si>
  <si>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</si>
  <si>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</si>
  <si>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</si>
  <si>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</si>
  <si>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</si>
  <si>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</si>
  <si>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</si>
  <si>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</si>
  <si>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</si>
  <si>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</si>
  <si>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</si>
  <si>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</si>
  <si>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</si>
  <si>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</si>
  <si>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</si>
  <si>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</si>
  <si>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</si>
  <si>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</si>
  <si>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</si>
  <si>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</si>
  <si>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</si>
  <si>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</si>
  <si>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</si>
  <si>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</si>
  <si>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</si>
  <si>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</si>
  <si>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</si>
  <si>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</si>
  <si>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</si>
  <si>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</si>
  <si>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</si>
  <si>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</si>
  <si>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</si>
  <si>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</si>
  <si>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</si>
  <si>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</si>
  <si>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</si>
  <si>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</si>
  <si>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</si>
  <si>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</si>
  <si>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</si>
  <si>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</si>
  <si>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</si>
  <si>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</si>
  <si>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</si>
  <si>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</si>
  <si>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</si>
  <si>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</si>
  <si>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</si>
  <si>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</si>
  <si>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</si>
  <si>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</si>
  <si>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</si>
  <si>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</si>
  <si>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</si>
  <si>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</si>
  <si>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</si>
  <si>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</si>
  <si>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</si>
  <si>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</si>
  <si>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</si>
  <si>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</si>
  <si>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</si>
  <si>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</si>
  <si>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</si>
  <si>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</si>
  <si>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</si>
  <si>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</si>
  <si>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</si>
  <si>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</si>
  <si>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</si>
  <si>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</si>
  <si>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</si>
  <si>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</si>
  <si>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</si>
  <si>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</si>
  <si>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</si>
  <si>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</si>
  <si>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</si>
  <si>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</si>
  <si>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</si>
  <si>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</si>
  <si>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</si>
  <si>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</si>
  <si>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</si>
  <si>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</si>
  <si>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</si>
  <si>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</si>
  <si>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</si>
  <si>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</si>
  <si>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</si>
  <si>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</si>
  <si>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</si>
  <si>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</si>
  <si>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</si>
  <si>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</si>
  <si>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</si>
  <si>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</si>
  <si>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</si>
  <si>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</si>
  <si>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</si>
  <si>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</si>
  <si>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</si>
  <si>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</si>
  <si>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</si>
  <si>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</si>
  <si>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</si>
  <si>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</si>
  <si>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</si>
  <si>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</si>
  <si>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</si>
  <si>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</si>
  <si>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</si>
  <si>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</si>
  <si>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</si>
  <si>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</si>
  <si>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</si>
  <si>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</si>
  <si>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</si>
  <si>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</si>
  <si>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</si>
  <si>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</si>
  <si>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</si>
  <si>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</si>
  <si>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</si>
  <si>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</si>
  <si>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</si>
  <si>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</si>
  <si>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</si>
  <si>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</si>
  <si>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</si>
  <si>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</si>
  <si>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</si>
  <si>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</si>
  <si>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</si>
  <si>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</si>
  <si>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</si>
  <si>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</si>
  <si>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</si>
  <si>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</si>
  <si>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</si>
  <si>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</si>
  <si>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</si>
  <si>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</si>
  <si>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</si>
  <si>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</si>
  <si>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</si>
  <si>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</si>
  <si>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</si>
  <si>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</si>
  <si>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</si>
  <si>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</si>
  <si>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</si>
  <si>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</si>
  <si>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</si>
  <si>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</si>
  <si>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</si>
  <si>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</si>
  <si>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</si>
  <si>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</si>
  <si>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</si>
  <si>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</si>
  <si>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</si>
  <si>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</si>
  <si>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</si>
  <si>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</si>
  <si>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</si>
  <si>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</si>
  <si>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</si>
  <si>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</si>
  <si>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</si>
  <si>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</si>
  <si>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</si>
  <si>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</si>
  <si>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</si>
  <si>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</si>
  <si>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</si>
  <si>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</si>
  <si>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</si>
  <si>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</si>
  <si>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</si>
  <si>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</si>
  <si>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</si>
  <si>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</si>
  <si>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</si>
  <si>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</si>
  <si>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</si>
  <si>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</si>
  <si>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</si>
  <si>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</si>
  <si>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</si>
  <si>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</si>
  <si>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</si>
  <si>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</si>
  <si>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</si>
  <si>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</si>
  <si>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</si>
  <si>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</si>
  <si>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</si>
  <si>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</si>
  <si>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</si>
  <si>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</si>
  <si>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</si>
  <si>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</si>
  <si>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</si>
  <si>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</si>
  <si>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</si>
  <si>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</si>
  <si>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</si>
  <si>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</si>
  <si>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</si>
  <si>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</si>
  <si>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</si>
  <si>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</si>
  <si>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</si>
  <si>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</si>
  <si>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</si>
  <si>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</si>
  <si>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</si>
  <si>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</si>
  <si>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</si>
  <si>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</si>
  <si>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</si>
  <si>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</si>
  <si>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</si>
  <si>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</si>
  <si>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</si>
  <si>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</si>
  <si>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</si>
  <si>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</si>
  <si>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</si>
  <si>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</si>
  <si>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</si>
  <si>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</si>
  <si>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</si>
  <si>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</si>
  <si>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</si>
  <si>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</si>
  <si>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</si>
  <si>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</si>
  <si>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</si>
  <si>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</si>
  <si>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</si>
  <si>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</si>
  <si>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</si>
  <si>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</si>
  <si>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</si>
  <si>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</si>
  <si>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</si>
  <si>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</si>
  <si>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</si>
  <si>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</si>
  <si>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</si>
  <si>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</si>
  <si>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</si>
  <si>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</si>
  <si>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</si>
  <si>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</si>
  <si>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</si>
  <si>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</si>
  <si>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</si>
  <si>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</si>
  <si>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</si>
  <si>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</si>
  <si>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</si>
  <si>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</si>
  <si>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</si>
  <si>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</si>
  <si>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</si>
  <si>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</si>
  <si>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</si>
  <si>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</si>
  <si>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</si>
  <si>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</si>
  <si>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</si>
  <si>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</si>
  <si>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</si>
  <si>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</si>
  <si>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</si>
  <si>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</si>
  <si>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</si>
  <si>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</si>
  <si>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</si>
  <si>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</si>
  <si>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</si>
  <si>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</si>
  <si>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</si>
  <si>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</si>
  <si>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</si>
  <si>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</si>
  <si>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</si>
  <si>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</si>
  <si>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</si>
  <si>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</si>
  <si>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</si>
  <si>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</si>
  <si>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</si>
  <si>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</si>
  <si>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</si>
  <si>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</si>
  <si>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</si>
  <si>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</si>
  <si>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</si>
  <si>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</si>
  <si>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</si>
  <si>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</si>
  <si>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</si>
  <si>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</si>
  <si>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</si>
  <si>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</si>
  <si>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</si>
  <si>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</si>
  <si>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</si>
  <si>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</si>
  <si>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</si>
  <si>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</si>
  <si>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</si>
  <si>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</si>
  <si>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</si>
  <si>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</si>
  <si>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</si>
  <si>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</si>
  <si>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</si>
  <si>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</si>
  <si>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</si>
  <si>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</si>
  <si>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</si>
  <si>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</si>
  <si>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</si>
  <si>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</si>
  <si>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</si>
  <si>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</si>
  <si>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</si>
  <si>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</si>
  <si>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</si>
  <si>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</si>
  <si>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</si>
  <si>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</si>
  <si>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</si>
  <si>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</si>
  <si>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</si>
  <si>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</si>
  <si>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</si>
  <si>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</si>
  <si>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</si>
  <si>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</si>
  <si>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</si>
  <si>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</si>
  <si>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</si>
  <si>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</si>
  <si>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</si>
  <si>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</si>
  <si>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</si>
  <si>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</si>
  <si>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</si>
  <si>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</si>
  <si>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</si>
  <si>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</si>
  <si>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</si>
  <si>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</si>
  <si>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</si>
  <si>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</si>
  <si>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</si>
  <si>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</si>
  <si>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</si>
  <si>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</si>
  <si>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</si>
  <si>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</si>
  <si>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</si>
  <si>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</si>
  <si>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</si>
  <si>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</si>
  <si>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</si>
  <si>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</si>
  <si>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</si>
  <si>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</si>
  <si>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</si>
  <si>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</si>
  <si>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</si>
  <si>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</si>
  <si>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</si>
  <si>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</si>
  <si>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</si>
  <si>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</si>
  <si>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</si>
  <si>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</si>
  <si>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</si>
  <si>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</si>
  <si>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</si>
  <si>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</si>
  <si>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</si>
  <si>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</si>
  <si>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</si>
  <si>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</si>
  <si>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</si>
  <si>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</si>
  <si>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</si>
  <si>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</si>
  <si>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</si>
  <si>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</si>
  <si>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</si>
  <si>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</si>
  <si>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</si>
  <si>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</si>
  <si>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</si>
  <si>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</si>
  <si>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</si>
  <si>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</si>
  <si>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</si>
  <si>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</si>
  <si>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</si>
  <si>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</si>
  <si>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</si>
  <si>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</si>
  <si>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</si>
  <si>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</si>
  <si>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</si>
  <si>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</si>
  <si>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</si>
  <si>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</si>
  <si>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</si>
  <si>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</si>
  <si>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</si>
  <si>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</si>
  <si>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</si>
  <si>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</si>
  <si>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</si>
  <si>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</si>
  <si>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</si>
  <si>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</si>
  <si>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</si>
  <si>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</si>
  <si>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</si>
  <si>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</si>
  <si>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</si>
  <si>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</si>
  <si>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</si>
  <si>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</si>
  <si>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</si>
  <si>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</si>
  <si>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</si>
  <si>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</si>
  <si>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</si>
  <si>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</si>
  <si>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</si>
  <si>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</si>
  <si>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</si>
  <si>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</si>
  <si>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</si>
  <si>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</si>
  <si>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</si>
  <si>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</si>
  <si>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</si>
  <si>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</si>
  <si>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</si>
  <si>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</si>
  <si>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</si>
  <si>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</si>
  <si>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</si>
  <si>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</si>
  <si>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</si>
  <si>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</si>
  <si>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</si>
  <si>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</si>
  <si>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</si>
  <si>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</si>
  <si>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</si>
  <si>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</si>
  <si>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</si>
  <si>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</si>
  <si>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</si>
  <si>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</si>
  <si>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</si>
  <si>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</si>
  <si>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</si>
  <si>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</si>
  <si>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</si>
  <si>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</si>
  <si>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</si>
  <si>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</si>
  <si>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</si>
  <si>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</si>
  <si>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</si>
  <si>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</si>
  <si>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</si>
  <si>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</si>
  <si>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</si>
  <si>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</si>
  <si>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</si>
  <si>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</si>
  <si>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</si>
  <si>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</si>
  <si>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</si>
  <si>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</si>
  <si>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</si>
  <si>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</si>
  <si>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</si>
  <si>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</si>
  <si>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</si>
  <si>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</si>
  <si>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</si>
  <si>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</si>
  <si>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</si>
  <si>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</si>
  <si>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</si>
  <si>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</si>
  <si>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</si>
  <si>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</si>
  <si>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</si>
  <si>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</si>
  <si>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</si>
  <si>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</si>
  <si>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</si>
  <si>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</si>
  <si>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</si>
  <si>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</si>
  <si>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</si>
  <si>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</si>
  <si>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</si>
  <si>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</si>
  <si>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</si>
  <si>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</si>
  <si>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</si>
  <si>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</si>
  <si>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</si>
  <si>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</si>
  <si>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</si>
  <si>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</si>
  <si>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</si>
  <si>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</si>
  <si>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</si>
  <si>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</si>
  <si>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</si>
  <si>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</si>
  <si>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</si>
  <si>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</si>
  <si>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</si>
  <si>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</si>
  <si>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</si>
  <si>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</si>
  <si>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</si>
  <si>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</si>
  <si>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</si>
  <si>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</si>
  <si>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</si>
  <si>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</si>
  <si>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</si>
  <si>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</si>
  <si>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</si>
  <si>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</si>
  <si>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</si>
  <si>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</si>
  <si>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</si>
  <si>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</si>
  <si>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</si>
  <si>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</si>
  <si>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</si>
  <si>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</si>
  <si>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</si>
  <si>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</si>
  <si>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</si>
  <si>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</si>
  <si>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</si>
  <si>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</si>
  <si>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</si>
  <si>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</si>
  <si>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</si>
  <si>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</si>
  <si>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</si>
  <si>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</si>
  <si>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</si>
  <si>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</si>
  <si>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</si>
  <si>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</si>
  <si>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</si>
  <si>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</si>
  <si>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</si>
  <si>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</si>
  <si>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</si>
  <si>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</si>
  <si>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</si>
  <si>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</si>
  <si>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</si>
  <si>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</si>
  <si>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</si>
  <si>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</si>
  <si>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</si>
  <si>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</si>
  <si>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</si>
  <si>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</si>
  <si>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</si>
  <si>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</si>
  <si>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</si>
  <si>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</si>
  <si>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</si>
  <si>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</si>
  <si>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</si>
  <si>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</si>
  <si>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</si>
  <si>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</si>
  <si>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</si>
  <si>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</si>
  <si>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</si>
  <si>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</si>
  <si>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</si>
  <si>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</si>
  <si>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</si>
  <si>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</si>
  <si>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</si>
  <si>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</si>
  <si>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</si>
  <si>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</si>
  <si>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</si>
  <si>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</si>
  <si>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</si>
  <si>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</si>
  <si>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</si>
  <si>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</si>
  <si>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</si>
  <si>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</si>
  <si>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</si>
  <si>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</si>
  <si>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</si>
  <si>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</si>
  <si>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</si>
  <si>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</si>
  <si>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</si>
  <si>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</si>
  <si>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</si>
  <si>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</si>
  <si>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</si>
  <si>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</si>
  <si>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</si>
  <si>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</si>
  <si>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</si>
  <si>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</si>
  <si>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</si>
  <si>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</si>
  <si>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</si>
  <si>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</si>
  <si>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</si>
  <si>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</si>
  <si>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</si>
  <si>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</si>
  <si>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</si>
  <si>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</si>
  <si>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</si>
  <si>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</si>
  <si>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</si>
  <si>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</si>
  <si>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</si>
  <si>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</si>
  <si>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</si>
  <si>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</si>
  <si>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</si>
  <si>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</si>
  <si>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</si>
  <si>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</si>
  <si>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</si>
  <si>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</si>
  <si>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</si>
  <si>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</si>
  <si>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</si>
  <si>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</si>
  <si>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</si>
  <si>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</si>
  <si>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</si>
  <si>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</si>
  <si>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</si>
  <si>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</si>
  <si>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</si>
  <si>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</si>
  <si>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</si>
  <si>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</si>
  <si>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</si>
  <si>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</si>
  <si>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</si>
  <si>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</si>
  <si>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</si>
  <si>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</si>
  <si>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</si>
  <si>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</si>
  <si>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</si>
  <si>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</si>
  <si>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</si>
  <si>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</si>
  <si>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</si>
  <si>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</si>
  <si>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</si>
  <si>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</si>
  <si>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</si>
  <si>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</si>
  <si>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</si>
  <si>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</si>
  <si>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</si>
  <si>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</si>
  <si>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</si>
  <si>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</si>
  <si>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</si>
  <si>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</si>
  <si>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</si>
  <si>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</si>
  <si>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</si>
  <si>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</si>
  <si>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</si>
  <si>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</si>
  <si>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</si>
  <si>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</si>
  <si>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</si>
  <si>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</si>
  <si>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</si>
  <si>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</si>
  <si>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</si>
  <si>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</si>
  <si>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</si>
  <si>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</si>
  <si>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</si>
  <si>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</si>
  <si>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</si>
  <si>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</si>
  <si>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</si>
  <si>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</si>
  <si>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</si>
  <si>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</si>
  <si>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</si>
  <si>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</si>
  <si>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</si>
  <si>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</si>
  <si>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</si>
  <si>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</si>
  <si>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</si>
  <si>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</si>
  <si>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</si>
  <si>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</si>
  <si>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</si>
  <si>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</si>
  <si>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</si>
  <si>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</si>
  <si>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</si>
  <si>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</si>
  <si>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</si>
  <si>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</si>
  <si>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</si>
  <si>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</si>
  <si>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</si>
  <si>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</si>
  <si>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</si>
  <si>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</si>
  <si>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</si>
  <si>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</si>
  <si>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</si>
  <si>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</si>
  <si>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</si>
  <si>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</si>
  <si>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</si>
  <si>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</si>
  <si>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</si>
  <si>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</si>
  <si>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</si>
  <si>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</si>
  <si>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</si>
  <si>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</si>
  <si>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</si>
  <si>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</si>
  <si>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</si>
  <si>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</si>
  <si>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</si>
  <si>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</si>
  <si>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</si>
  <si>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</si>
  <si>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</si>
  <si>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</si>
  <si>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</si>
  <si>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</si>
  <si>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</si>
  <si>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</si>
  <si>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</si>
  <si>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</si>
  <si>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</si>
  <si>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</si>
  <si>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</si>
  <si>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</si>
  <si>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</si>
  <si>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</si>
  <si>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</si>
  <si>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</si>
  <si>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</si>
  <si>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</si>
  <si>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</si>
  <si>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</si>
  <si>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</si>
  <si>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</si>
  <si>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</si>
  <si>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</si>
  <si>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</si>
  <si>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</si>
  <si>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</si>
  <si>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</si>
  <si>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</si>
  <si>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</si>
  <si>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</si>
  <si>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</si>
  <si>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</si>
  <si>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</si>
  <si>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</si>
  <si>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</si>
  <si>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</si>
  <si>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</si>
  <si>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</si>
  <si>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</si>
  <si>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</si>
  <si>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</si>
  <si>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</si>
  <si>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</si>
  <si>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</si>
  <si>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</si>
  <si>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</si>
  <si>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</si>
  <si>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</si>
  <si>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</si>
  <si>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</si>
  <si>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</si>
  <si>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</si>
  <si>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</si>
  <si>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</si>
  <si>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</si>
  <si>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</si>
  <si>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</si>
  <si>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</si>
  <si>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</si>
  <si>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</si>
  <si>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</si>
  <si>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</si>
  <si>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</si>
  <si>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</si>
  <si>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</si>
  <si>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</si>
  <si>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</si>
  <si>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</si>
  <si>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</si>
  <si>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</si>
  <si>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</si>
  <si>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</si>
  <si>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</si>
  <si>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</si>
  <si>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</si>
  <si>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</si>
  <si>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</si>
  <si>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</si>
  <si>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</si>
  <si>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</si>
  <si>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</si>
  <si>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</si>
  <si>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</si>
  <si>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</si>
  <si>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</si>
  <si>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</si>
  <si>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</si>
  <si>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</si>
  <si>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</si>
  <si>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</si>
  <si>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</si>
  <si>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</si>
  <si>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</si>
  <si>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</si>
  <si>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</si>
  <si>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</si>
  <si>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</si>
  <si>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</si>
  <si>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</si>
  <si>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</si>
  <si>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</si>
  <si>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</si>
  <si>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</si>
  <si>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</si>
  <si>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</si>
  <si>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</si>
  <si>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</si>
  <si>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</si>
  <si>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</si>
  <si>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</si>
  <si>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</si>
  <si>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</si>
  <si>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</si>
  <si>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</si>
  <si>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</si>
  <si>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</si>
  <si>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</si>
  <si>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</si>
  <si>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</si>
  <si>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</si>
  <si>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</si>
  <si>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</si>
  <si>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</si>
  <si>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</si>
  <si>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</si>
  <si>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</si>
  <si>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</si>
  <si>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</si>
  <si>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</si>
  <si>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</si>
  <si>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</si>
  <si>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</si>
  <si>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</si>
  <si>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</si>
  <si>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</si>
  <si>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</si>
  <si>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</si>
  <si>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</si>
  <si>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</si>
  <si>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</si>
  <si>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</si>
  <si>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</si>
  <si>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</si>
  <si>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</si>
  <si>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</si>
  <si>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</si>
  <si>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</si>
  <si>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</si>
  <si>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</si>
  <si>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</si>
  <si>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</si>
  <si>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</si>
  <si>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</si>
  <si>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</si>
  <si>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</si>
  <si>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</si>
  <si>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</si>
  <si>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</si>
  <si>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</si>
  <si>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</si>
  <si>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</si>
  <si>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</si>
  <si>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</si>
  <si>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</si>
  <si>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</si>
  <si>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</si>
  <si>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</si>
  <si>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</si>
  <si>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</si>
  <si>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</si>
  <si>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</si>
  <si>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</si>
  <si>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</si>
  <si>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</si>
  <si>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</si>
  <si>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</si>
  <si>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</si>
  <si>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</si>
  <si>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</si>
  <si>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</si>
  <si>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</si>
  <si>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</si>
  <si>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</si>
  <si>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</si>
  <si>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</si>
  <si>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</si>
  <si>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</si>
  <si>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</si>
  <si>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</si>
  <si>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</si>
  <si>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</si>
  <si>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</si>
  <si>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</si>
  <si>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</si>
  <si>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</si>
  <si>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</si>
  <si>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</si>
  <si>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</si>
  <si>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</si>
  <si>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</si>
  <si>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</si>
  <si>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</si>
  <si>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</si>
  <si>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</si>
  <si>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</si>
  <si>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</si>
  <si>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</si>
  <si>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</si>
  <si>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</si>
  <si>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</si>
  <si>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</si>
  <si>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</si>
  <si>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</si>
  <si>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</si>
  <si>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</si>
  <si>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</si>
  <si>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</si>
  <si>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</si>
  <si>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</si>
  <si>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</si>
  <si>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</si>
  <si>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</si>
  <si>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</si>
  <si>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</si>
  <si>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</si>
  <si>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</si>
  <si>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</si>
  <si>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</si>
  <si>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</si>
  <si>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</si>
  <si>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</si>
  <si>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</si>
  <si>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</si>
  <si>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</si>
  <si>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</si>
  <si>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</si>
  <si>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</si>
  <si>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</si>
  <si>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</si>
  <si>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</si>
  <si>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</si>
  <si>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</si>
  <si>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</si>
  <si>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</si>
  <si>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</si>
  <si>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</si>
  <si>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</si>
  <si>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</si>
  <si>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</si>
  <si>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</si>
  <si>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</si>
  <si>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</si>
  <si>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</si>
  <si>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</si>
  <si>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</si>
  <si>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</si>
  <si>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</si>
  <si>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</si>
  <si>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</si>
  <si>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</si>
  <si>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</si>
  <si>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</si>
  <si>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</si>
  <si>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</si>
  <si>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</si>
  <si>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</si>
  <si>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</si>
  <si>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</si>
  <si>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</si>
  <si>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</si>
  <si>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</si>
  <si>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</si>
  <si>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</si>
  <si>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</si>
  <si>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</si>
  <si>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</si>
  <si>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</si>
  <si>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</si>
  <si>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</si>
  <si>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</si>
  <si>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</si>
  <si>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</si>
  <si>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</si>
  <si>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</si>
  <si>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</si>
  <si>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</si>
  <si>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</si>
  <si>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</si>
  <si>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</si>
  <si>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</si>
  <si>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</si>
  <si>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</si>
  <si>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</si>
  <si>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</si>
  <si>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</si>
  <si>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</si>
  <si>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</si>
  <si>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</si>
  <si>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</si>
  <si>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</si>
  <si>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</si>
  <si>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</si>
  <si>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</si>
  <si>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</si>
  <si>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</si>
  <si>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</si>
  <si>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</si>
  <si>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</si>
  <si>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</si>
  <si>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</si>
  <si>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</si>
  <si>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</si>
  <si>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</si>
  <si>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</si>
  <si>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</si>
  <si>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</si>
  <si>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</si>
  <si>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</si>
  <si>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</si>
  <si>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</si>
  <si>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</si>
  <si>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</si>
  <si>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</si>
  <si>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</si>
  <si>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</si>
  <si>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</si>
  <si>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</si>
  <si>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</si>
  <si>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</si>
  <si>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</si>
  <si>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</si>
  <si>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</si>
  <si>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</si>
  <si>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</si>
  <si>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</si>
  <si>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</si>
  <si>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</si>
  <si>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</si>
  <si>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</si>
  <si>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</si>
  <si>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</si>
  <si>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</si>
  <si>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</si>
  <si>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</si>
  <si>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</si>
  <si>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</si>
  <si>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</si>
  <si>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</si>
  <si>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</si>
  <si>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</si>
  <si>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</si>
  <si>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</si>
  <si>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</si>
  <si>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</si>
  <si>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</si>
  <si>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</si>
  <si>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</si>
  <si>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</si>
  <si>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</si>
  <si>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</si>
  <si>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</si>
  <si>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</si>
  <si>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</si>
  <si>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</si>
  <si>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</si>
  <si>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</si>
  <si>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</si>
  <si>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</si>
  <si>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</si>
  <si>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</si>
  <si>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</si>
  <si>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</si>
  <si>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</si>
  <si>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</si>
  <si>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</si>
  <si>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</si>
  <si>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</si>
  <si>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</si>
  <si>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</si>
  <si>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</si>
  <si>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</si>
  <si>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</si>
  <si>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</si>
  <si>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</si>
  <si>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</si>
  <si>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</si>
  <si>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</si>
  <si>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</si>
  <si>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</si>
  <si>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</si>
  <si>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</si>
  <si>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</si>
  <si>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</si>
  <si>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</si>
  <si>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</si>
  <si>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</si>
  <si>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</si>
  <si>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</si>
  <si>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</si>
  <si>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</si>
  <si>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</si>
  <si>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</si>
  <si>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</si>
  <si>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</si>
  <si>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</si>
  <si>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</si>
  <si>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</si>
  <si>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</si>
  <si>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</si>
  <si>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</si>
  <si>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</si>
  <si>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</si>
  <si>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</si>
  <si>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</si>
  <si>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</si>
  <si>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</si>
  <si>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</si>
  <si>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</si>
  <si>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</si>
  <si>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</si>
  <si>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</si>
  <si>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</si>
  <si>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</si>
  <si>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</si>
  <si>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</si>
  <si>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</si>
  <si>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</si>
  <si>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</si>
  <si>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</si>
  <si>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</si>
  <si>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</si>
  <si>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</si>
  <si>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</si>
  <si>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</si>
  <si>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</si>
  <si>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</si>
  <si>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</si>
  <si>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</si>
  <si>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</si>
  <si>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</si>
  <si>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</si>
  <si>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</si>
  <si>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</si>
  <si>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</si>
  <si>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</si>
  <si>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</si>
  <si>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</si>
  <si>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</si>
  <si>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</si>
  <si>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</si>
  <si>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</si>
  <si>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</si>
  <si>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</si>
  <si>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</si>
  <si>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</si>
  <si>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</si>
  <si>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</si>
  <si>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</si>
  <si>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</si>
  <si>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</si>
  <si>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</si>
  <si>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</si>
  <si>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</si>
  <si>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</si>
  <si>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</si>
  <si>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</si>
  <si>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</si>
  <si>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</si>
  <si>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</si>
  <si>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</si>
  <si>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</si>
  <si>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</si>
  <si>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</si>
  <si>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</si>
  <si>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</si>
  <si>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</si>
  <si>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</si>
  <si>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</si>
  <si>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</si>
  <si>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</si>
  <si>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</si>
  <si>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</si>
  <si>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</si>
  <si>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</si>
  <si>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</si>
  <si>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</si>
  <si>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</si>
  <si>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</si>
  <si>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</si>
  <si>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</si>
  <si>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</si>
  <si>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</si>
  <si>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</si>
  <si>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</si>
  <si>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</si>
  <si>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</si>
  <si>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</si>
  <si>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</si>
  <si>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</si>
  <si>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</si>
  <si>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</si>
  <si>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</si>
  <si>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</si>
  <si>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</si>
  <si>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</si>
  <si>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</si>
  <si>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</si>
  <si>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</si>
  <si>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</si>
  <si>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</si>
  <si>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</si>
  <si>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</si>
  <si>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</si>
  <si>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</si>
  <si>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</si>
  <si>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</si>
  <si>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</si>
  <si>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</si>
  <si>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</si>
  <si>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</si>
  <si>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</si>
  <si>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</si>
  <si>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</si>
  <si>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</si>
  <si>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</si>
  <si>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</si>
  <si>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</si>
  <si>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</si>
  <si>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</si>
  <si>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</si>
  <si>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</si>
  <si>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</si>
  <si>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</si>
  <si>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</si>
  <si>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</si>
  <si>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</si>
  <si>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</si>
  <si>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</si>
  <si>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</si>
  <si>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</si>
  <si>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</si>
  <si>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</si>
  <si>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</si>
  <si>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</si>
  <si>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</si>
  <si>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</si>
  <si>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</si>
  <si>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</si>
  <si>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</si>
  <si>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</si>
  <si>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</si>
  <si>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</si>
  <si>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</si>
  <si>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</si>
  <si>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</si>
  <si>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</si>
  <si>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</si>
  <si>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</si>
  <si>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</si>
  <si>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</si>
  <si>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</si>
  <si>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</si>
  <si>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</si>
  <si>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</si>
  <si>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</si>
  <si>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</si>
  <si>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</si>
  <si>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</si>
  <si>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</si>
  <si>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</si>
  <si>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</si>
  <si>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</si>
  <si>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</si>
  <si>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</si>
  <si>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</si>
  <si>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</si>
  <si>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</si>
  <si>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</si>
  <si>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</si>
  <si>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</si>
  <si>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</si>
  <si>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</si>
  <si>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</si>
  <si>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</si>
  <si>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</si>
  <si>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</si>
  <si>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</si>
  <si>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</si>
  <si>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</si>
  <si>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</si>
  <si>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</si>
  <si>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</si>
  <si>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</si>
  <si>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</si>
  <si>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</si>
  <si>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</si>
  <si>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</si>
  <si>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</si>
  <si>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</si>
  <si>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</si>
  <si>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</si>
  <si>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</si>
  <si>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</si>
  <si>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</si>
  <si>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</si>
  <si>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</si>
  <si>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</si>
  <si>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</si>
  <si>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</si>
  <si>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</si>
  <si>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</si>
  <si>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</si>
  <si>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</si>
  <si>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</si>
  <si>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</si>
  <si>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</si>
  <si>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</si>
  <si>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</si>
  <si>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</si>
  <si>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</si>
  <si>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</si>
  <si>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</si>
  <si>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</si>
  <si>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</si>
  <si>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</si>
  <si>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</si>
  <si>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</si>
  <si>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</si>
  <si>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</si>
  <si>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</si>
  <si>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</si>
  <si>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</si>
  <si>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</si>
  <si>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</si>
  <si>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</si>
  <si>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</si>
  <si>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</si>
  <si>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</si>
  <si>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</si>
  <si>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</si>
  <si>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</si>
  <si>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</si>
  <si>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</si>
  <si>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</si>
  <si>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</si>
  <si>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</si>
  <si>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</si>
  <si>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</si>
  <si>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</si>
  <si>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</si>
  <si>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</si>
  <si>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</si>
  <si>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</si>
  <si>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</si>
  <si>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</si>
  <si>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</si>
  <si>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</si>
  <si>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</si>
  <si>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</si>
  <si>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</si>
  <si>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</si>
  <si>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</si>
  <si>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</si>
  <si>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</si>
  <si>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</si>
  <si>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</si>
  <si>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</si>
  <si>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</si>
  <si>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</si>
  <si>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</si>
  <si>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</si>
  <si>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</si>
  <si>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</si>
  <si>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</si>
  <si>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</si>
  <si>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</si>
  <si>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</si>
  <si>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</si>
  <si>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</si>
  <si>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</si>
  <si>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</si>
  <si>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</si>
  <si>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</si>
  <si>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</si>
  <si>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</si>
  <si>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</si>
  <si>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</si>
  <si>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</si>
  <si>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</si>
  <si>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</si>
  <si>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</si>
  <si>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</si>
  <si>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</si>
  <si>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</si>
  <si>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</si>
  <si>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</si>
  <si>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</si>
  <si>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</si>
  <si>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</si>
  <si>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</si>
  <si>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</si>
  <si>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</si>
  <si>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</si>
  <si>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</si>
  <si>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</si>
  <si>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</si>
  <si>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</si>
  <si>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</si>
  <si>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</si>
  <si>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</si>
  <si>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</si>
  <si>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</si>
  <si>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</si>
  <si>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</si>
  <si>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</si>
  <si>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</si>
  <si>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</si>
  <si>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</si>
  <si>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</si>
  <si>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</si>
  <si>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</si>
  <si>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</si>
  <si>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</si>
  <si>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</si>
  <si>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</si>
  <si>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</si>
  <si>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</si>
  <si>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</si>
  <si>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</si>
  <si>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</si>
  <si>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</si>
  <si>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</si>
  <si>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</si>
  <si>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</si>
  <si>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</si>
  <si>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</si>
  <si>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</si>
  <si>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</si>
  <si>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</si>
  <si>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</si>
  <si>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</si>
  <si>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</si>
  <si>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</si>
  <si>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</si>
  <si>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</si>
  <si>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</si>
  <si>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</si>
  <si>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</si>
  <si>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</si>
  <si>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</si>
  <si>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</si>
  <si>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</si>
  <si>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</si>
  <si>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</si>
  <si>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</si>
  <si>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</si>
  <si>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</si>
  <si>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</si>
  <si>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</si>
  <si>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</si>
  <si>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</si>
  <si>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</si>
  <si>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</si>
  <si>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</si>
  <si>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</si>
  <si>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</si>
  <si>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</si>
  <si>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</si>
  <si>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</si>
  <si>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</si>
  <si>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</si>
  <si>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</si>
  <si>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</si>
  <si>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</si>
  <si>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</si>
  <si>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</si>
  <si>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</si>
  <si>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</si>
  <si>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</si>
  <si>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</si>
  <si>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</si>
  <si>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</si>
  <si>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</si>
  <si>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</si>
  <si>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</si>
  <si>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</si>
  <si>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</si>
  <si>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</si>
  <si>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</si>
  <si>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</si>
  <si>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</si>
  <si>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</si>
  <si>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</si>
  <si>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</si>
  <si>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</si>
  <si>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</si>
  <si>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</si>
  <si>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</si>
  <si>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</si>
  <si>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</si>
  <si>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</si>
  <si>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</si>
  <si>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</si>
  <si>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</si>
  <si>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</si>
  <si>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</si>
  <si>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</si>
  <si>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</si>
  <si>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</si>
  <si>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</si>
  <si>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</si>
  <si>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</si>
  <si>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</si>
  <si>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</si>
  <si>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</si>
  <si>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</si>
  <si>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</si>
  <si>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</si>
  <si>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</si>
  <si>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</si>
  <si>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</si>
  <si>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</si>
  <si>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</si>
  <si>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</si>
  <si>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</si>
  <si>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</si>
  <si>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</si>
  <si>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</si>
  <si>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</si>
  <si>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</si>
  <si>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</si>
  <si>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</si>
  <si>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</si>
  <si>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</si>
  <si>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</si>
  <si>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</si>
  <si>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</si>
  <si>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</si>
  <si>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</si>
  <si>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</si>
  <si>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</si>
  <si>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</si>
  <si>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</si>
  <si>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</si>
  <si>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</si>
  <si>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</si>
  <si>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</si>
  <si>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</si>
  <si>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</si>
  <si>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</si>
  <si>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</si>
  <si>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</si>
  <si>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</si>
  <si>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</si>
  <si>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</si>
  <si>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</si>
  <si>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</si>
  <si>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</si>
  <si>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</si>
  <si>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</si>
  <si>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</si>
  <si>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</si>
  <si>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</si>
  <si>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</si>
  <si>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</si>
  <si>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</si>
  <si>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</si>
  <si>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</si>
  <si>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</si>
  <si>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</si>
  <si>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</si>
  <si>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</si>
  <si>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</si>
  <si>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</si>
  <si>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</si>
  <si>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</si>
  <si>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</si>
  <si>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</si>
  <si>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</si>
  <si>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</si>
  <si>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</si>
  <si>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</si>
  <si>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</si>
  <si>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</si>
  <si>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</si>
  <si>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</si>
  <si>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</si>
  <si>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</si>
  <si>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</si>
  <si>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</si>
  <si>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</si>
  <si>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</si>
  <si>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</si>
  <si>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</si>
  <si>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</si>
  <si>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</si>
  <si>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</si>
  <si>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</si>
  <si>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</si>
  <si>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</si>
  <si>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</si>
  <si>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</si>
  <si>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</si>
  <si>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</si>
  <si>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</si>
  <si>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</si>
  <si>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</si>
  <si>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</si>
  <si>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</si>
  <si>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</si>
  <si>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</si>
  <si>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</si>
  <si>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</si>
  <si>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</si>
  <si>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</si>
  <si>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</si>
  <si>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</si>
  <si>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</si>
  <si>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</si>
  <si>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</si>
  <si>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</si>
  <si>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</si>
  <si>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</si>
  <si>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</si>
  <si>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</si>
  <si>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</si>
  <si>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</si>
  <si>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</si>
  <si>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</si>
  <si>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</si>
  <si>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</si>
  <si>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</si>
  <si>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</si>
  <si>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</si>
  <si>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</si>
  <si>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</si>
  <si>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</si>
  <si>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</si>
  <si>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</si>
  <si>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</si>
  <si>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</si>
  <si>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</si>
  <si>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</si>
  <si>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</si>
  <si>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</si>
  <si>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</si>
  <si>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</si>
  <si>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</si>
  <si>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</si>
  <si>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</si>
  <si>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</si>
  <si>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</si>
  <si>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</si>
  <si>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</si>
  <si>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</si>
  <si>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</si>
  <si>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</si>
  <si>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</si>
  <si>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</si>
  <si>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</si>
  <si>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</si>
  <si>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</si>
  <si>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</si>
  <si>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</si>
  <si>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</si>
  <si>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</si>
  <si>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</si>
  <si>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</si>
  <si>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</si>
  <si>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</si>
  <si>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</si>
  <si>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</si>
  <si>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</si>
  <si>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</si>
  <si>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</si>
  <si>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</si>
  <si>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</si>
  <si>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</si>
  <si>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</si>
  <si>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</si>
  <si>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</si>
  <si>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</si>
  <si>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</si>
  <si>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</si>
  <si>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</si>
  <si>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</si>
  <si>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</si>
  <si>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</si>
  <si>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</si>
  <si>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</si>
  <si>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</si>
  <si>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</si>
  <si>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</si>
  <si>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</si>
  <si>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</si>
  <si>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</si>
  <si>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</si>
  <si>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</si>
  <si>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</si>
  <si>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</si>
  <si>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</si>
  <si>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</si>
  <si>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</si>
  <si>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</si>
  <si>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</si>
  <si>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</si>
  <si>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</si>
  <si>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</si>
  <si>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</si>
  <si>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</si>
  <si>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</si>
  <si>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</si>
  <si>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</si>
  <si>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</si>
  <si>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</si>
  <si>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</si>
  <si>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</si>
  <si>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</si>
  <si>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</si>
  <si>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</si>
  <si>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</si>
  <si>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</si>
  <si>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</si>
  <si>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</si>
  <si>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</si>
  <si>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</si>
  <si>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</si>
  <si>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</si>
  <si>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</si>
  <si>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</si>
  <si>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</si>
  <si>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</si>
  <si>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</si>
  <si>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</si>
  <si>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</si>
  <si>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</si>
  <si>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</si>
  <si>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</si>
  <si>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</si>
  <si>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</si>
  <si>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</si>
  <si>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</si>
  <si>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</si>
  <si>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</si>
  <si>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</si>
  <si>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</si>
  <si>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</si>
  <si>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</si>
  <si>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</si>
  <si>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</si>
  <si>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</si>
  <si>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</si>
  <si>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</si>
  <si>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</si>
  <si>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</si>
  <si>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</si>
  <si>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</si>
  <si>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</si>
  <si>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</si>
  <si>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</si>
  <si>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</si>
  <si>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</si>
  <si>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</si>
  <si>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</si>
  <si>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</si>
  <si>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</si>
  <si>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</si>
  <si>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</si>
  <si>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</si>
  <si>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</si>
  <si>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</si>
  <si>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</si>
  <si>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</si>
  <si>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</si>
  <si>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</si>
  <si>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</si>
  <si>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</si>
  <si>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</si>
  <si>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</si>
  <si>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</si>
  <si>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</si>
  <si>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</si>
  <si>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</si>
  <si>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</si>
  <si>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</si>
  <si>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</si>
  <si>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</si>
  <si>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</si>
  <si>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</si>
  <si>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</si>
  <si>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</si>
  <si>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</si>
  <si>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</si>
  <si>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</si>
  <si>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</si>
  <si>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</si>
  <si>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</si>
  <si>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</si>
  <si>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</si>
  <si>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</si>
  <si>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</si>
  <si>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</si>
  <si>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</si>
  <si>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</si>
  <si>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</si>
  <si>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</si>
  <si>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</si>
  <si>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</si>
  <si>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</si>
  <si>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</si>
  <si>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</si>
  <si>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</si>
  <si>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</si>
  <si>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</si>
  <si>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</si>
  <si>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</si>
  <si>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</si>
  <si>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</si>
  <si>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</si>
  <si>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</si>
  <si>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</si>
  <si>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</si>
  <si>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</si>
  <si>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</si>
  <si>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</si>
  <si>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</si>
  <si>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</si>
  <si>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</si>
  <si>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</si>
  <si>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</si>
  <si>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</si>
  <si>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</si>
  <si>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</si>
  <si>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</si>
  <si>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</si>
  <si>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</si>
  <si>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</si>
  <si>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</si>
  <si>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</si>
  <si>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</si>
  <si>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</si>
  <si>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</si>
  <si>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</si>
  <si>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</si>
  <si>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</si>
  <si>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</si>
  <si>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</si>
  <si>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</si>
  <si>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</si>
  <si>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</si>
  <si>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</si>
  <si>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</si>
  <si>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</si>
  <si>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</si>
  <si>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</si>
  <si>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</si>
  <si>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</si>
  <si>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</si>
  <si>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</si>
  <si>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</si>
  <si>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</si>
  <si>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</si>
  <si>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</si>
  <si>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</si>
  <si>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</si>
  <si>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</si>
  <si>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</si>
  <si>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</si>
  <si>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</si>
  <si>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</si>
  <si>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</si>
  <si>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</si>
  <si>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</si>
  <si>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</si>
  <si>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</si>
  <si>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</si>
  <si>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</si>
  <si>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</si>
  <si>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</si>
  <si>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</si>
  <si>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</si>
  <si>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</si>
  <si>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</si>
  <si>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</si>
  <si>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</si>
  <si>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</si>
  <si>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</si>
  <si>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</si>
  <si>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</si>
  <si>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</si>
  <si>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</si>
  <si>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</si>
  <si>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</si>
  <si>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</si>
  <si>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</si>
  <si>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</si>
  <si>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</si>
  <si>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</si>
  <si>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</si>
  <si>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</si>
  <si>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</si>
  <si>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</si>
  <si>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</si>
  <si>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</si>
  <si>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</si>
  <si>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</si>
  <si>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</si>
  <si>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</si>
  <si>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</si>
  <si>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</si>
  <si>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</si>
  <si>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</si>
  <si>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</si>
  <si>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</si>
  <si>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</si>
  <si>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</si>
  <si>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</si>
  <si>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</si>
  <si>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</si>
  <si>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</si>
  <si>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</si>
  <si>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</si>
  <si>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</si>
  <si>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</si>
  <si>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</si>
  <si>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</si>
  <si>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</si>
  <si>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</si>
  <si>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</si>
  <si>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</si>
  <si>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</si>
  <si>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</si>
  <si>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</si>
  <si>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</si>
  <si>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</si>
  <si>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</si>
  <si>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</si>
  <si>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</si>
  <si>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</si>
  <si>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</si>
  <si>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</si>
  <si>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</si>
  <si>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</si>
  <si>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</si>
  <si>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</si>
  <si>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</si>
  <si>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</si>
  <si>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</si>
  <si>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</si>
  <si>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</si>
  <si>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</si>
  <si>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</si>
  <si>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</si>
  <si>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</si>
  <si>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</si>
  <si>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</si>
  <si>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</si>
  <si>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</si>
  <si>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</si>
  <si>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</si>
  <si>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</si>
  <si>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</si>
  <si>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</si>
  <si>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</si>
  <si>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</si>
  <si>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</si>
  <si>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</si>
  <si>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</si>
  <si>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</si>
  <si>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</si>
  <si>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</si>
  <si>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</si>
  <si>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</si>
  <si>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</si>
  <si>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</si>
  <si>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</si>
  <si>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</si>
  <si>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</si>
  <si>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</si>
  <si>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</si>
  <si>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</si>
  <si>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</si>
  <si>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</si>
  <si>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</si>
  <si>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</si>
  <si>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</si>
  <si>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</si>
  <si>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</si>
  <si>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</si>
  <si>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</si>
  <si>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</si>
  <si>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</si>
  <si>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</si>
  <si>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</si>
  <si>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</si>
  <si>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</si>
  <si>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</si>
  <si>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</si>
  <si>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</si>
  <si>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</si>
  <si>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</si>
  <si>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</si>
  <si>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</si>
  <si>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</si>
  <si>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</si>
  <si>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</si>
  <si>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</si>
  <si>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</si>
  <si>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</si>
  <si>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</si>
  <si>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</si>
  <si>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</si>
  <si>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</si>
  <si>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</si>
  <si>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</si>
  <si>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</si>
  <si>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</si>
  <si>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</si>
  <si>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</si>
  <si>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</si>
  <si>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</si>
  <si>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</si>
  <si>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</si>
  <si>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</si>
  <si>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</si>
  <si>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</si>
  <si>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</si>
  <si>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</si>
  <si>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</si>
  <si>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</si>
  <si>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</si>
  <si>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</si>
  <si>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</si>
  <si>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</si>
  <si>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</si>
  <si>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</si>
  <si>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</si>
  <si>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</si>
  <si>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</si>
  <si>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</si>
  <si>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</si>
  <si>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</si>
  <si>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</si>
  <si>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</si>
  <si>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</si>
  <si>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</si>
  <si>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</si>
  <si>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</si>
  <si>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</si>
  <si>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</si>
  <si>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</si>
  <si>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</si>
  <si>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</si>
  <si>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</si>
  <si>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</si>
  <si>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</si>
  <si>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</si>
  <si>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</si>
  <si>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</si>
  <si>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</si>
  <si>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</si>
  <si>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</si>
  <si>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</si>
  <si>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</si>
  <si>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</si>
  <si>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</si>
  <si>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</si>
  <si>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</si>
  <si>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</si>
  <si>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</si>
  <si>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</si>
  <si>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</si>
  <si>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</si>
  <si>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</si>
  <si>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</si>
  <si>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</si>
  <si>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</si>
  <si>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</si>
  <si>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</si>
  <si>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</si>
  <si>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</si>
  <si>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</si>
  <si>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</si>
  <si>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</si>
  <si>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</si>
  <si>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</si>
  <si>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</si>
  <si>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</si>
  <si>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</si>
  <si>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</si>
  <si>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</si>
  <si>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</si>
  <si>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</si>
  <si>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</si>
  <si>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</si>
  <si>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</si>
  <si>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</si>
  <si>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</si>
  <si>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</si>
  <si>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</si>
  <si>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</si>
  <si>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</si>
  <si>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</si>
  <si>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</si>
  <si>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</si>
  <si>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</si>
  <si>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</si>
  <si>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</si>
  <si>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</si>
  <si>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</si>
  <si>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</si>
  <si>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</si>
  <si>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</si>
  <si>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</si>
  <si>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</si>
  <si>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</si>
  <si>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</si>
  <si>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</si>
  <si>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</si>
  <si>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</si>
  <si>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</si>
  <si>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</si>
  <si>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</si>
  <si>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</si>
  <si>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</si>
  <si>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</si>
  <si>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</si>
  <si>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</si>
  <si>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</si>
  <si>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</si>
  <si>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</si>
  <si>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</si>
  <si>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</si>
  <si>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</si>
  <si>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</si>
  <si>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</si>
  <si>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</si>
  <si>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</si>
  <si>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</si>
  <si>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</si>
  <si>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</si>
  <si>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</si>
  <si>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</si>
  <si>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</si>
  <si>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</si>
  <si>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</si>
  <si>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</si>
  <si>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</si>
  <si>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</si>
  <si>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</si>
  <si>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</si>
  <si>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</si>
  <si>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</si>
  <si>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</si>
  <si>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</si>
  <si>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</si>
  <si>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</si>
  <si>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</si>
  <si>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</si>
  <si>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</si>
  <si>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</si>
  <si>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</si>
  <si>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</si>
  <si>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</si>
  <si>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</si>
  <si>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</si>
  <si>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</si>
  <si>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</si>
  <si>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</si>
  <si>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</si>
  <si>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</si>
  <si>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</si>
  <si>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</si>
  <si>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</si>
  <si>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</si>
  <si>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</si>
  <si>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</si>
  <si>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</si>
  <si>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</si>
  <si>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</si>
  <si>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</si>
  <si>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</si>
  <si>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</si>
  <si>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</si>
  <si>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</si>
  <si>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</si>
  <si>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</si>
  <si>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</si>
  <si>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</si>
  <si>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</si>
  <si>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</si>
  <si>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</si>
  <si>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</si>
  <si>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</si>
  <si>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</si>
  <si>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</si>
  <si>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</si>
  <si>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</si>
  <si>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</si>
  <si>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</si>
  <si>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</si>
  <si>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</si>
  <si>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</si>
  <si>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</si>
  <si>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</si>
  <si>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</si>
  <si>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</si>
  <si>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</si>
  <si>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</si>
  <si>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</si>
  <si>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</si>
  <si>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</si>
  <si>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</si>
  <si>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</si>
  <si>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</si>
  <si>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</si>
  <si>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</si>
  <si>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</si>
  <si>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</si>
  <si>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</si>
  <si>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</si>
  <si>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</si>
  <si>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</si>
  <si>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</si>
  <si>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</si>
  <si>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</si>
  <si>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</si>
  <si>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</si>
  <si>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</si>
  <si>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</si>
  <si>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</si>
  <si>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</si>
  <si>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</si>
  <si>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</si>
  <si>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</si>
  <si>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</si>
  <si>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</si>
  <si>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</si>
  <si>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</si>
  <si>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</si>
  <si>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</si>
  <si>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</si>
  <si>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</si>
  <si>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</si>
  <si>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</si>
  <si>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</si>
  <si>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</si>
  <si>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</si>
  <si>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</si>
  <si>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</si>
  <si>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</si>
  <si>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</si>
  <si>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</si>
  <si>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</si>
  <si>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</si>
  <si>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</si>
  <si>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</si>
  <si>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</si>
  <si>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</si>
  <si>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</si>
  <si>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</si>
  <si>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</si>
  <si>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</si>
  <si>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</si>
  <si>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</si>
  <si>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</si>
  <si>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</si>
  <si>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</si>
  <si>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</si>
  <si>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</si>
  <si>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</si>
  <si>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</si>
  <si>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</si>
  <si>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</si>
  <si>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</si>
  <si>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</si>
  <si>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</si>
  <si>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</si>
  <si>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</si>
  <si>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</si>
  <si>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</si>
  <si>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</si>
  <si>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</si>
  <si>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</si>
  <si>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</si>
  <si>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</si>
  <si>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</si>
  <si>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</si>
  <si>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</si>
  <si>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</si>
  <si>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</si>
  <si>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</si>
  <si>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</si>
  <si>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</si>
  <si>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</si>
  <si>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</si>
  <si>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</si>
  <si>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</si>
  <si>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</si>
  <si>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</si>
  <si>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</si>
  <si>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</si>
  <si>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</si>
  <si>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</si>
  <si>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</si>
  <si>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</si>
  <si>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</si>
  <si>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</si>
  <si>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</si>
  <si>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</si>
  <si>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</si>
  <si>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</si>
  <si>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</si>
  <si>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</si>
  <si>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</si>
  <si>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</si>
  <si>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</si>
  <si>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</si>
  <si>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</si>
  <si>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</si>
  <si>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</si>
  <si>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</si>
  <si>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</si>
  <si>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</si>
  <si>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</si>
  <si>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</si>
  <si>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</si>
  <si>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</si>
  <si>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</si>
  <si>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</si>
  <si>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</si>
  <si>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</si>
  <si>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</si>
  <si>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</si>
  <si>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</si>
  <si>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</si>
  <si>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</si>
  <si>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</si>
  <si>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</si>
  <si>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</si>
  <si>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</si>
  <si>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</si>
  <si>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</si>
  <si>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</si>
  <si>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</si>
  <si>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</si>
  <si>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</si>
  <si>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</si>
  <si>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</si>
  <si>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</si>
  <si>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</si>
  <si>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</si>
  <si>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</si>
  <si>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</si>
  <si>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</si>
  <si>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</si>
  <si>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</si>
  <si>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</si>
  <si>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</si>
  <si>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</si>
  <si>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</si>
  <si>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</si>
  <si>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</si>
  <si>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</si>
  <si>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</si>
  <si>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</si>
  <si>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</si>
  <si>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</si>
  <si>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</si>
  <si>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</si>
  <si>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</si>
  <si>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</si>
  <si>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</si>
  <si>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</si>
  <si>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</si>
  <si>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</si>
  <si>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</si>
  <si>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</si>
  <si>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</si>
  <si>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</si>
  <si>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</si>
  <si>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</si>
  <si>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</si>
  <si>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</si>
  <si>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</si>
  <si>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</si>
  <si>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</si>
  <si>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</si>
  <si>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</si>
  <si>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</si>
  <si>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</si>
  <si>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</si>
  <si>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</si>
  <si>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</si>
  <si>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</si>
  <si>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</si>
  <si>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</si>
  <si>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</si>
  <si>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</si>
  <si>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</si>
  <si>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</si>
  <si>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</si>
  <si>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</si>
  <si>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</si>
  <si>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</si>
  <si>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</si>
  <si>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</si>
  <si>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</si>
  <si>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</si>
  <si>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</si>
  <si>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</si>
  <si>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</si>
  <si>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</si>
  <si>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</si>
  <si>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</si>
  <si>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</si>
  <si>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</si>
  <si>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</si>
  <si>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</si>
  <si>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</si>
  <si>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</si>
  <si>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</si>
  <si>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</si>
  <si>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</si>
  <si>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</si>
  <si>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</si>
  <si>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</si>
  <si>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</si>
  <si>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</si>
  <si>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</si>
  <si>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</si>
  <si>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</si>
  <si>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</si>
  <si>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</si>
  <si>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</si>
  <si>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</si>
  <si>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</si>
  <si>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</si>
  <si>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</si>
  <si>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</si>
  <si>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</si>
  <si>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</si>
  <si>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</si>
  <si>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</si>
  <si>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</si>
  <si>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</si>
  <si>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</si>
  <si>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</si>
  <si>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</si>
  <si>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</si>
  <si>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</si>
  <si>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</si>
  <si>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</si>
  <si>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</si>
  <si>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</si>
  <si>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</si>
  <si>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</si>
  <si>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</si>
  <si>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</si>
  <si>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</si>
  <si>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</si>
  <si>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</si>
  <si>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</si>
  <si>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</si>
  <si>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</si>
  <si>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</si>
  <si>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</si>
  <si>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</si>
  <si>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</si>
  <si>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</si>
  <si>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</si>
  <si>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</si>
  <si>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</si>
  <si>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</si>
  <si>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</si>
  <si>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</si>
  <si>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</si>
  <si>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</si>
  <si>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</si>
  <si>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</si>
  <si>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</si>
  <si>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</si>
  <si>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</si>
  <si>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</si>
  <si>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</si>
  <si>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</si>
  <si>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</si>
  <si>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</si>
  <si>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</si>
  <si>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</si>
  <si>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</si>
  <si>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</si>
  <si>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</si>
  <si>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</si>
  <si>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</si>
  <si>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</si>
  <si>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</si>
  <si>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</si>
  <si>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</si>
  <si>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</si>
  <si>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</si>
  <si>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</si>
  <si>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</si>
  <si>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</si>
  <si>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</si>
  <si>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</si>
  <si>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</si>
  <si>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</si>
  <si>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</si>
  <si>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</si>
  <si>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</si>
  <si>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</si>
  <si>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</si>
  <si>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</si>
  <si>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</si>
  <si>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</si>
  <si>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</si>
  <si>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</si>
  <si>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</si>
  <si>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</si>
  <si>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</si>
  <si>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</si>
  <si>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</si>
  <si>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</si>
  <si>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</si>
  <si>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</si>
  <si>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</si>
  <si>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</si>
  <si>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</si>
  <si>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</si>
  <si>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</si>
  <si>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</si>
  <si>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</si>
  <si>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</si>
  <si>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</si>
  <si>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</si>
  <si>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</si>
  <si>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</si>
  <si>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</si>
  <si>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</si>
  <si>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</si>
  <si>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</si>
  <si>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</si>
  <si>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</si>
  <si>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</si>
  <si>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</si>
  <si>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</si>
  <si>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</si>
  <si>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</si>
  <si>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</si>
  <si>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</si>
  <si>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</si>
  <si>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</si>
  <si>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</si>
  <si>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</si>
  <si>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</si>
  <si>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</si>
  <si>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</si>
  <si>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</si>
  <si>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</si>
  <si>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</si>
  <si>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</si>
  <si>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</si>
  <si>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</si>
  <si>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</si>
  <si>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</si>
  <si>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</si>
  <si>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</si>
  <si>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</si>
  <si>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</si>
  <si>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</si>
  <si>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</si>
  <si>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</si>
  <si>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</si>
  <si>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</si>
  <si>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</si>
  <si>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</si>
  <si>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</si>
  <si>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</si>
  <si>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</si>
  <si>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</si>
  <si>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</si>
  <si>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</si>
  <si>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</si>
  <si>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</si>
  <si>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</si>
  <si>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</si>
  <si>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</si>
  <si>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</si>
  <si>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</si>
  <si>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</si>
  <si>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</si>
  <si>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</si>
  <si>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</si>
  <si>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</si>
  <si>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</si>
  <si>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</si>
  <si>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</si>
  <si>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</si>
  <si>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</si>
  <si>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</si>
  <si>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</si>
  <si>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</si>
  <si>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</si>
  <si>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</si>
  <si>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</si>
  <si>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</si>
  <si>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</si>
  <si>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</si>
  <si>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</si>
  <si>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</si>
  <si>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</si>
  <si>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</si>
  <si>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</si>
  <si>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</si>
  <si>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</si>
  <si>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</si>
  <si>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</si>
  <si>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</si>
  <si>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</si>
  <si>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</si>
  <si>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</si>
  <si>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</si>
  <si>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</si>
  <si>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</si>
  <si>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</si>
  <si>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</si>
  <si>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</si>
  <si>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</si>
  <si>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</si>
  <si>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</si>
  <si>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</si>
  <si>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</si>
  <si>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</si>
  <si>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</si>
  <si>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</si>
  <si>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</si>
  <si>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</si>
  <si>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</si>
  <si>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</si>
  <si>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</si>
  <si>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</si>
  <si>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</si>
  <si>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</si>
  <si>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</si>
  <si>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</si>
  <si>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</si>
  <si>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</si>
  <si>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</si>
  <si>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</si>
  <si>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</si>
  <si>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</si>
  <si>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</si>
  <si>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</si>
  <si>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</si>
  <si>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</si>
  <si>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</si>
  <si>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</si>
  <si>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</si>
  <si>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</si>
  <si>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</si>
  <si>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</si>
  <si>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</si>
  <si>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</si>
  <si>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</si>
  <si>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</si>
  <si>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</si>
  <si>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</si>
  <si>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</si>
  <si>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</si>
  <si>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</si>
  <si>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</si>
  <si>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</si>
  <si>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</si>
  <si>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</si>
  <si>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</si>
  <si>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</si>
  <si>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</si>
  <si>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</si>
  <si>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</si>
  <si>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</si>
  <si>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</si>
  <si>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</si>
  <si>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</si>
  <si>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</si>
  <si>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</si>
  <si>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</si>
  <si>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</si>
  <si>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</si>
  <si>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</si>
  <si>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</si>
  <si>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</si>
  <si>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</si>
  <si>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</si>
  <si>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</si>
  <si>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</si>
  <si>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</si>
  <si>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</si>
  <si>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</si>
  <si>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</si>
  <si>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</si>
  <si>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</si>
  <si>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</si>
  <si>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</si>
  <si>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</si>
  <si>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</si>
  <si>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</si>
  <si>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</si>
  <si>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</si>
  <si>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</si>
  <si>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</si>
  <si>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</si>
  <si>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</si>
  <si>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</si>
  <si>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</si>
  <si>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</si>
  <si>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</si>
  <si>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</si>
  <si>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</si>
  <si>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</si>
  <si>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</si>
  <si>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</si>
  <si>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</si>
  <si>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</si>
  <si>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</si>
  <si>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</si>
  <si>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</si>
  <si>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</si>
  <si>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</si>
  <si>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</si>
  <si>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</si>
  <si>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</si>
  <si>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</si>
  <si>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</si>
  <si>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</si>
  <si>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</si>
  <si>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</si>
  <si>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</si>
  <si>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</si>
  <si>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</si>
  <si>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</si>
  <si>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</si>
  <si>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</si>
  <si>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</si>
  <si>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</si>
  <si>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</si>
  <si>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</si>
  <si>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</si>
  <si>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</si>
  <si>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</si>
  <si>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</si>
  <si>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</si>
  <si>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</si>
  <si>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</si>
  <si>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</si>
  <si>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</si>
  <si>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</si>
  <si>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</si>
  <si>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</si>
  <si>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</si>
  <si>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</si>
  <si>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</si>
  <si>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</si>
  <si>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</si>
  <si>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</si>
  <si>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</si>
  <si>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</si>
  <si>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</si>
  <si>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</si>
  <si>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</si>
  <si>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</si>
  <si>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</si>
  <si>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</si>
  <si>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</si>
  <si>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</si>
  <si>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</si>
  <si>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</si>
  <si>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</si>
  <si>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</si>
  <si>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</si>
  <si>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</si>
  <si>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</si>
  <si>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</si>
  <si>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</si>
  <si>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</si>
  <si>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</si>
  <si>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</si>
  <si>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</si>
  <si>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</si>
  <si>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</si>
  <si>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</si>
  <si>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</si>
  <si>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</si>
  <si>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</si>
  <si>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</si>
  <si>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</si>
  <si>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</si>
  <si>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</si>
  <si>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</si>
  <si>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</si>
  <si>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</si>
  <si>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</si>
  <si>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</si>
  <si>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</si>
  <si>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</si>
  <si>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</si>
  <si>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</si>
  <si>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</si>
  <si>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</si>
  <si>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</si>
  <si>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</si>
  <si>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</si>
  <si>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</si>
  <si>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</si>
  <si>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</si>
  <si>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</si>
  <si>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</si>
  <si>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</si>
  <si>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</si>
  <si>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</si>
  <si>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</si>
  <si>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</si>
  <si>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</si>
  <si>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</si>
  <si>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</si>
  <si>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</si>
  <si>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</si>
  <si>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</si>
  <si>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</si>
  <si>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</si>
  <si>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</si>
  <si>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</si>
  <si>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</si>
  <si>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</si>
  <si>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</si>
  <si>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</si>
  <si>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</si>
  <si>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</si>
  <si>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</si>
  <si>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</si>
  <si>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</si>
  <si>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</si>
  <si>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</si>
  <si>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</si>
  <si>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</si>
  <si>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</si>
  <si>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</si>
  <si>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</si>
  <si>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</si>
  <si>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</si>
  <si>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</si>
  <si>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</si>
  <si>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</si>
  <si>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</si>
  <si>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</si>
  <si>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</si>
  <si>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</si>
  <si>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</si>
  <si>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</si>
  <si>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</si>
  <si>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</si>
  <si>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</si>
  <si>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</si>
  <si>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</si>
  <si>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</si>
  <si>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</si>
  <si>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</si>
  <si>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</si>
  <si>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</si>
  <si>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</si>
  <si>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</si>
  <si>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</si>
  <si>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</si>
  <si>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</si>
  <si>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</si>
  <si>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</si>
  <si>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</si>
  <si>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</si>
  <si>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</si>
  <si>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</si>
  <si>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</si>
  <si>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</si>
  <si>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</si>
  <si>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</si>
  <si>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</si>
  <si>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</si>
  <si>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</si>
  <si>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</si>
  <si>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</si>
  <si>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</si>
  <si>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</si>
  <si>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</si>
  <si>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</si>
  <si>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</si>
  <si>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</si>
  <si>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</si>
  <si>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</si>
  <si>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</si>
  <si>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</si>
  <si>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</si>
  <si>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</si>
  <si>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</si>
  <si>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</si>
  <si>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</si>
  <si>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</si>
  <si>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</si>
  <si>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</si>
  <si>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</si>
  <si>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</si>
  <si>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</si>
  <si>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</si>
  <si>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</si>
  <si>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</si>
  <si>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</si>
  <si>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</si>
  <si>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</si>
  <si>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</si>
  <si>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</si>
  <si>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</si>
  <si>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</si>
  <si>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</si>
  <si>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</si>
  <si>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</si>
  <si>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</si>
  <si>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</si>
  <si>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</si>
  <si>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</si>
  <si>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</si>
  <si>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</si>
  <si>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</si>
  <si>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</si>
  <si>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</si>
  <si>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</si>
  <si>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</si>
  <si>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</si>
  <si>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</si>
  <si>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</si>
  <si>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</si>
  <si>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</si>
  <si>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</si>
  <si>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</si>
  <si>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</si>
  <si>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</si>
  <si>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</si>
  <si>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</si>
  <si>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</si>
  <si>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</si>
  <si>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</si>
  <si>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</si>
  <si>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</si>
  <si>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</si>
  <si>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</si>
  <si>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</si>
  <si>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</si>
  <si>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</si>
  <si>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</si>
  <si>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</si>
  <si>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</si>
  <si>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</si>
  <si>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</si>
  <si>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</si>
  <si>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</si>
  <si>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</si>
  <si>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</si>
  <si>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</si>
  <si>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</si>
  <si>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</si>
  <si>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</si>
  <si>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</si>
  <si>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</si>
  <si>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</si>
  <si>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</si>
  <si>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</si>
  <si>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</si>
  <si>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</si>
  <si>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</si>
  <si>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</si>
  <si>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</si>
  <si>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</si>
  <si>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</si>
  <si>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</si>
  <si>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</si>
  <si>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</si>
  <si>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</si>
  <si>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</si>
  <si>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</si>
  <si>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</si>
  <si>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</si>
  <si>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</si>
  <si>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</si>
  <si>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</si>
  <si>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</si>
  <si>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</si>
  <si>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</si>
  <si>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</si>
  <si>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</si>
  <si>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</si>
  <si>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</si>
  <si>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</si>
  <si>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</si>
  <si>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</si>
  <si>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</si>
  <si>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</si>
  <si>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</si>
  <si>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</si>
  <si>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</si>
  <si>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</si>
  <si>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</si>
  <si>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</si>
  <si>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</si>
  <si>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</si>
  <si>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</si>
  <si>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</si>
  <si>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</si>
  <si>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</si>
  <si>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</si>
  <si>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</si>
  <si>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</si>
  <si>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</si>
  <si>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</si>
  <si>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</si>
  <si>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</si>
  <si>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</si>
  <si>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</si>
  <si>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</si>
  <si>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</si>
  <si>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</si>
  <si>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</si>
  <si>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</si>
  <si>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</si>
  <si>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</si>
  <si>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</si>
  <si>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</si>
  <si>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</si>
  <si>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</si>
  <si>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</si>
  <si>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</si>
  <si>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</si>
  <si>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</si>
  <si>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</si>
  <si>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</si>
  <si>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</si>
  <si>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</si>
  <si>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</si>
  <si>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</si>
  <si>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</si>
  <si>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</si>
  <si>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</si>
  <si>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</si>
  <si>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</si>
  <si>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</si>
  <si>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</si>
  <si>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</si>
  <si>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</si>
  <si>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</si>
  <si>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</si>
  <si>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</si>
  <si>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</si>
  <si>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</si>
  <si>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</si>
  <si>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</si>
  <si>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</si>
  <si>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</si>
  <si>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</si>
  <si>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</si>
  <si>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</si>
  <si>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</si>
  <si>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</si>
  <si>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</si>
  <si>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</si>
  <si>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</si>
  <si>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</si>
  <si>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</si>
  <si>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</si>
  <si>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</si>
  <si>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</si>
  <si>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</si>
  <si>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</si>
  <si>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</si>
  <si>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</si>
  <si>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</si>
  <si>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</si>
  <si>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</si>
  <si>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</si>
  <si>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</si>
  <si>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</si>
  <si>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</si>
  <si>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</si>
  <si>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</si>
  <si>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</si>
  <si>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</si>
  <si>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</si>
  <si>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</si>
  <si>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</si>
  <si>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</si>
  <si>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</si>
  <si>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</si>
  <si>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</si>
  <si>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</si>
  <si>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</si>
  <si>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</si>
  <si>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</si>
  <si>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</si>
  <si>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</si>
  <si>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</si>
  <si>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</si>
  <si>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</si>
  <si>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</si>
  <si>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</si>
  <si>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</si>
  <si>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</si>
  <si>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</si>
  <si>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</si>
  <si>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</si>
  <si>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</si>
  <si>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</si>
  <si>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</si>
  <si>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</si>
  <si>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</si>
  <si>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</si>
  <si>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</si>
  <si>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</si>
  <si>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</si>
  <si>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</si>
  <si>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</si>
  <si>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</si>
  <si>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</si>
  <si>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</si>
  <si>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</si>
  <si>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</si>
  <si>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</si>
  <si>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</si>
  <si>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</si>
  <si>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</si>
  <si>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</si>
  <si>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</si>
  <si>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</si>
  <si>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</si>
  <si>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</si>
  <si>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</si>
  <si>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</si>
  <si>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</si>
  <si>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</si>
  <si>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</si>
  <si>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</si>
  <si>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</si>
  <si>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</si>
  <si>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</si>
  <si>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</si>
  <si>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</si>
  <si>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</si>
  <si>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</si>
  <si>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</si>
  <si>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</si>
  <si>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</si>
  <si>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</si>
  <si>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</si>
  <si>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</si>
  <si>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</si>
  <si>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</si>
  <si>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</si>
  <si>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</si>
  <si>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</si>
  <si>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</si>
  <si>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</si>
  <si>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</si>
  <si>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</si>
  <si>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</si>
  <si>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</si>
  <si>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</si>
  <si>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</si>
  <si>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</si>
  <si>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</si>
  <si>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</si>
  <si>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</si>
  <si>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</si>
  <si>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</si>
  <si>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</si>
  <si>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</si>
  <si>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</si>
  <si>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</si>
  <si>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</si>
  <si>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</si>
  <si>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</si>
  <si>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</si>
  <si>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</si>
  <si>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</si>
  <si>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</si>
  <si>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</si>
  <si>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</si>
  <si>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</si>
  <si>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</si>
  <si>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</si>
  <si>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</si>
  <si>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</si>
  <si>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</si>
  <si>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</si>
  <si>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</si>
  <si>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</si>
  <si>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</si>
  <si>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</si>
  <si>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</si>
  <si>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</si>
  <si>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</si>
  <si>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</si>
  <si>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</si>
  <si>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</si>
  <si>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</si>
  <si>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</si>
  <si>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</si>
  <si>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</si>
  <si>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</si>
  <si>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</si>
  <si>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</si>
  <si>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</si>
  <si>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</si>
  <si>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</si>
  <si>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</si>
  <si>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</si>
  <si>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</si>
  <si>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</si>
  <si>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</si>
  <si>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</si>
  <si>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</si>
  <si>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</si>
  <si>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</si>
  <si>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</si>
  <si>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</si>
  <si>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</si>
  <si>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</si>
  <si>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</si>
  <si>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</si>
  <si>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</si>
  <si>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</si>
  <si>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</si>
  <si>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</si>
  <si>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</si>
  <si>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</si>
  <si>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</si>
  <si>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</si>
  <si>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</si>
  <si>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</si>
  <si>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</si>
  <si>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</si>
  <si>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</si>
  <si>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</si>
  <si>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</si>
  <si>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</si>
  <si>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</si>
  <si>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</si>
  <si>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</si>
  <si>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</si>
  <si>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</si>
  <si>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</si>
  <si>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</si>
  <si>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</si>
  <si>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</si>
  <si>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</si>
  <si>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</si>
  <si>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</si>
  <si>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</si>
  <si>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</si>
  <si>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</si>
  <si>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</si>
  <si>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</si>
  <si>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</si>
  <si>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</si>
  <si>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</si>
  <si>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</si>
  <si>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</si>
  <si>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</si>
  <si>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</si>
  <si>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</si>
  <si>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</si>
  <si>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</si>
  <si>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</si>
  <si>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</si>
  <si>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</si>
  <si>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</si>
  <si>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</si>
  <si>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</si>
  <si>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</si>
  <si>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</si>
  <si>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</si>
  <si>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</si>
  <si>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</si>
  <si>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</si>
  <si>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</si>
  <si>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</si>
  <si>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</si>
  <si>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</si>
  <si>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</si>
  <si>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</si>
  <si>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</si>
  <si>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</si>
  <si>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</si>
  <si>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</si>
  <si>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</si>
  <si>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</si>
  <si>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</si>
  <si>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</si>
  <si>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</si>
  <si>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</si>
  <si>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</si>
  <si>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</si>
  <si>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</si>
  <si>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</si>
  <si>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</si>
  <si>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</si>
  <si>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</si>
  <si>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</si>
  <si>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</si>
  <si>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</si>
  <si>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</si>
  <si>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</si>
  <si>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</si>
  <si>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</si>
  <si>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</si>
  <si>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</si>
  <si>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</si>
  <si>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</si>
  <si>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</si>
  <si>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</si>
  <si>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</si>
  <si>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</si>
  <si>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</si>
  <si>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</si>
  <si>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</si>
  <si>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</si>
  <si>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</si>
  <si>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</si>
  <si>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</si>
  <si>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</si>
  <si>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</si>
  <si>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</si>
  <si>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</si>
  <si>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</si>
  <si>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</si>
  <si>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</si>
  <si>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</si>
  <si>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</si>
  <si>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</si>
  <si>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</si>
  <si>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</si>
  <si>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</si>
  <si>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</si>
  <si>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</si>
  <si>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</si>
  <si>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</si>
  <si>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</si>
  <si>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</si>
  <si>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</si>
  <si>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</si>
  <si>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</si>
  <si>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</si>
  <si>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</si>
  <si>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</si>
  <si>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</si>
  <si>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</si>
  <si>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</si>
  <si>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</si>
  <si>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</si>
  <si>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</si>
  <si>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</si>
  <si>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</si>
  <si>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</si>
  <si>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</si>
  <si>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</si>
  <si>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</si>
  <si>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</si>
  <si>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</si>
  <si>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</si>
  <si>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</si>
  <si>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</si>
  <si>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</si>
  <si>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</si>
  <si>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</si>
  <si>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</si>
  <si>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</si>
  <si>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</si>
  <si>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</si>
  <si>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</si>
  <si>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</si>
  <si>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</si>
  <si>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</si>
  <si>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</si>
  <si>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</si>
  <si>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</si>
  <si>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</si>
  <si>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</si>
  <si>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</si>
  <si>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</si>
  <si>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</si>
  <si>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</si>
  <si>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</si>
  <si>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</si>
  <si>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</si>
  <si>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</si>
  <si>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</si>
  <si>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</si>
  <si>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</si>
  <si>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</si>
  <si>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</si>
  <si>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</si>
  <si>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</si>
  <si>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</si>
  <si>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</si>
  <si>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</si>
  <si>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</si>
  <si>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</si>
  <si>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</si>
  <si>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</si>
  <si>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</si>
  <si>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</si>
  <si>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</si>
  <si>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</si>
  <si>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</si>
  <si>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</si>
  <si>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</si>
  <si>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</si>
  <si>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</si>
  <si>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</si>
  <si>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</si>
  <si>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</si>
  <si>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</si>
  <si>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</si>
  <si>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</si>
  <si>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</si>
  <si>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</si>
  <si>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</si>
  <si>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</si>
  <si>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</si>
  <si>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</si>
  <si>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</si>
  <si>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</si>
  <si>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</si>
  <si>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</si>
  <si>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</si>
  <si>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</si>
  <si>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</si>
  <si>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</si>
  <si>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</si>
  <si>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</si>
  <si>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</si>
  <si>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</si>
  <si>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</si>
  <si>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</si>
  <si>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</si>
  <si>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</si>
  <si>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</si>
  <si>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</si>
  <si>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</si>
  <si>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</si>
  <si>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</si>
  <si>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</si>
  <si>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</si>
  <si>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</si>
  <si>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</si>
  <si>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</si>
  <si>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</si>
  <si>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</si>
  <si>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</si>
  <si>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</si>
  <si>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</si>
  <si>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</si>
  <si>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</si>
  <si>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</si>
  <si>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</si>
  <si>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</si>
  <si>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</si>
  <si>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</si>
  <si>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</si>
  <si>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</si>
  <si>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</si>
  <si>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</si>
  <si>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</si>
  <si>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</si>
  <si>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</si>
  <si>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</si>
  <si>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</si>
  <si>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</si>
  <si>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</si>
  <si>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</si>
  <si>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</si>
  <si>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</si>
  <si>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</si>
  <si>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</si>
  <si>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</si>
  <si>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</si>
  <si>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</si>
  <si>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</si>
  <si>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</si>
  <si>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</si>
  <si>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</si>
  <si>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</si>
  <si>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</si>
  <si>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</si>
  <si>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</si>
  <si>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</si>
  <si>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</si>
  <si>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</si>
  <si>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</si>
  <si>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</si>
  <si>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</si>
  <si>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</si>
  <si>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</si>
  <si>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</si>
  <si>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</si>
  <si>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</si>
  <si>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</si>
  <si>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</si>
  <si>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</si>
  <si>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</si>
  <si>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</si>
  <si>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</si>
  <si>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</si>
  <si>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</si>
  <si>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</si>
  <si>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</si>
  <si>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</si>
  <si>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</si>
  <si>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</si>
  <si>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</si>
  <si>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</si>
  <si>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</si>
  <si>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</si>
  <si>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</si>
  <si>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</si>
  <si>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</si>
  <si>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</si>
  <si>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</si>
  <si>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</si>
  <si>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</si>
  <si>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</si>
  <si>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</si>
  <si>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</si>
  <si>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</si>
  <si>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</si>
  <si>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</si>
  <si>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</si>
  <si>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</si>
  <si>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</si>
  <si>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</si>
  <si>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</si>
  <si>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</si>
  <si>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</si>
  <si>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</si>
  <si>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</si>
  <si>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</si>
  <si>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</si>
  <si>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</si>
  <si>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</si>
  <si>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</si>
  <si>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</si>
  <si>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</si>
  <si>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</si>
  <si>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</si>
  <si>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</si>
  <si>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</si>
  <si>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</si>
  <si>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</si>
  <si>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</si>
  <si>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</si>
  <si>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</si>
  <si>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</si>
  <si>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</si>
  <si>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</si>
  <si>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</si>
  <si>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</si>
  <si>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</si>
  <si>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</si>
  <si>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</si>
  <si>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</si>
  <si>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</si>
  <si>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</si>
  <si>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</si>
  <si>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</si>
  <si>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</si>
  <si>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</si>
  <si>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</si>
  <si>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</si>
  <si>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</si>
  <si>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</si>
  <si>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</si>
  <si>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</si>
  <si>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</si>
  <si>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</si>
  <si>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</si>
  <si>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</si>
  <si>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</si>
  <si>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</si>
  <si>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</si>
  <si>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</si>
  <si>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</si>
  <si>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</si>
  <si>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</si>
  <si>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</si>
  <si>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</si>
  <si>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</si>
  <si>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</si>
  <si>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</si>
  <si>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</si>
  <si>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</si>
  <si>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</si>
  <si>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</si>
  <si>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</si>
  <si>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</si>
  <si>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</si>
  <si>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</si>
  <si>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</si>
  <si>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</si>
  <si>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</si>
  <si>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</si>
  <si>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</si>
  <si>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</si>
  <si>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</si>
  <si>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</si>
  <si>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</si>
  <si>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</si>
  <si>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</si>
  <si>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</si>
  <si>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</si>
  <si>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</si>
  <si>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</si>
  <si>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</si>
  <si>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</si>
  <si>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</si>
  <si>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</si>
  <si>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</si>
  <si>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</si>
  <si>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</si>
  <si>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</si>
  <si>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</si>
  <si>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</si>
  <si>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</si>
  <si>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</si>
  <si>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</si>
  <si>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</si>
  <si>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</si>
  <si>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</si>
  <si>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</si>
  <si>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</si>
  <si>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</si>
  <si>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</si>
  <si>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</si>
  <si>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</si>
  <si>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</si>
  <si>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</si>
  <si>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</si>
  <si>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</si>
  <si>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</si>
  <si>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</si>
  <si>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</si>
  <si>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</si>
  <si>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</si>
  <si>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</si>
  <si>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</si>
  <si>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</si>
  <si>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</si>
  <si>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</si>
  <si>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</si>
  <si>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</si>
  <si>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</si>
  <si>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</si>
  <si>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</si>
  <si>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</si>
  <si>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</si>
  <si>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</si>
  <si>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</si>
  <si>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</si>
  <si>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</si>
  <si>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</si>
  <si>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</si>
  <si>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</si>
  <si>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</si>
  <si>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</si>
  <si>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</si>
  <si>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</si>
  <si>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</si>
  <si>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</si>
  <si>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</si>
  <si>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</si>
  <si>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</si>
  <si>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</si>
  <si>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</si>
  <si>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</si>
  <si>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</si>
  <si>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</si>
  <si>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</si>
  <si>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</si>
  <si>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</si>
  <si>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</si>
  <si>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</si>
  <si>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</si>
  <si>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</si>
  <si>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</si>
  <si>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</si>
  <si>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</si>
  <si>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</si>
  <si>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</si>
  <si>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</si>
  <si>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</si>
  <si>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</si>
  <si>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</si>
  <si>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</si>
  <si>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</si>
  <si>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</si>
  <si>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</si>
  <si>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</si>
  <si>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</si>
  <si>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</si>
  <si>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</si>
  <si>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</si>
  <si>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</si>
  <si>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</si>
  <si>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</si>
  <si>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</si>
  <si>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</si>
  <si>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</si>
  <si>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</si>
  <si>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</si>
  <si>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</si>
  <si>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</si>
  <si>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</si>
  <si>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</si>
  <si>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</si>
  <si>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</si>
  <si>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</si>
  <si>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</si>
  <si>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</si>
  <si>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</si>
  <si>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</si>
  <si>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</si>
  <si>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</si>
  <si>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</si>
  <si>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</si>
  <si>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</si>
  <si>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</si>
  <si>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</si>
  <si>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</si>
  <si>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</si>
  <si>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</si>
  <si>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</si>
  <si>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</si>
  <si>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</si>
  <si>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</si>
  <si>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</si>
  <si>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</si>
  <si>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</si>
  <si>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</si>
  <si>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</si>
  <si>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</si>
  <si>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</si>
  <si>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</si>
  <si>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</si>
  <si>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</si>
  <si>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</si>
  <si>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</si>
  <si>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</si>
  <si>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</si>
  <si>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</si>
  <si>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</si>
  <si>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</si>
  <si>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</si>
  <si>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</si>
  <si>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</si>
  <si>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</si>
  <si>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</si>
  <si>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</si>
  <si>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</si>
  <si>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</si>
  <si>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</si>
  <si>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</si>
  <si>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</si>
  <si>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</si>
  <si>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</si>
  <si>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</si>
  <si>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</si>
  <si>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</si>
  <si>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</si>
  <si>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</si>
  <si>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</si>
  <si>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</si>
  <si>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</si>
  <si>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</si>
  <si>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</si>
  <si>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</si>
  <si>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</si>
  <si>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</si>
  <si>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</si>
  <si>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</si>
  <si>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</si>
  <si>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</si>
  <si>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</si>
  <si>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</si>
  <si>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</si>
  <si>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</si>
  <si>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</si>
  <si>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</si>
  <si>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</si>
  <si>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</si>
  <si>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</si>
  <si>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</si>
  <si>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</si>
  <si>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</si>
  <si>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</si>
  <si>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</si>
  <si>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</si>
  <si>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</si>
  <si>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</si>
  <si>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</si>
  <si>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</si>
  <si>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</si>
  <si>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</si>
  <si>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</si>
  <si>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</si>
  <si>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</si>
  <si>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</si>
  <si>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</si>
  <si>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</si>
  <si>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</si>
  <si>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</si>
  <si>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</si>
  <si>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</si>
  <si>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</si>
  <si>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</si>
  <si>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</si>
  <si>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</si>
  <si>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</si>
  <si>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</si>
  <si>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</si>
  <si>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</si>
  <si>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</si>
  <si>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</si>
  <si>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</si>
  <si>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</si>
  <si>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</si>
  <si>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</si>
  <si>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</si>
  <si>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</si>
  <si>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</si>
  <si>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</si>
  <si>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</si>
  <si>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</si>
  <si>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</si>
  <si>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</si>
  <si>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</si>
  <si>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</si>
  <si>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</si>
  <si>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</si>
  <si>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</si>
  <si>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</si>
  <si>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</si>
  <si>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</si>
  <si>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</si>
  <si>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</si>
  <si>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</si>
  <si>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</si>
  <si>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</si>
  <si>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</si>
  <si>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</si>
  <si>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</si>
  <si>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</si>
  <si>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</si>
  <si>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</si>
  <si>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</si>
  <si>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</si>
  <si>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</si>
  <si>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</si>
  <si>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</si>
  <si>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</si>
  <si>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</si>
  <si>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</si>
  <si>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</si>
  <si>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</si>
  <si>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</si>
  <si>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</si>
  <si>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</si>
  <si>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</si>
  <si>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</si>
  <si>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</si>
  <si>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</si>
  <si>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</si>
  <si>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</si>
  <si>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</si>
  <si>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</si>
  <si>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</si>
  <si>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</si>
  <si>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</si>
  <si>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</si>
  <si>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</si>
  <si>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</si>
  <si>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</si>
  <si>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</si>
  <si>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</si>
  <si>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</si>
  <si>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</si>
  <si>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</si>
  <si>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</si>
  <si>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</si>
  <si>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</si>
  <si>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</si>
  <si>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</si>
  <si>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</si>
  <si>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</si>
  <si>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</si>
  <si>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</si>
  <si>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</si>
  <si>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</si>
  <si>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</si>
  <si>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</si>
  <si>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</si>
  <si>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</si>
  <si>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</si>
  <si>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</si>
  <si>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</si>
  <si>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</si>
  <si>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</si>
  <si>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</si>
  <si>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</si>
  <si>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</si>
  <si>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</si>
  <si>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</si>
  <si>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</si>
  <si>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</si>
  <si>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</si>
  <si>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</si>
  <si>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</si>
  <si>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</si>
  <si>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</si>
  <si>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</si>
  <si>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</si>
  <si>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</si>
  <si>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</si>
  <si>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</si>
  <si>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</si>
  <si>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</si>
  <si>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</si>
  <si>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</si>
  <si>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</si>
  <si>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</si>
  <si>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</si>
  <si>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</si>
  <si>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</si>
  <si>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</si>
  <si>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</si>
  <si>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</si>
  <si>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</si>
  <si>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</si>
  <si>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</si>
  <si>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</si>
  <si>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</si>
  <si>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</si>
  <si>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</si>
  <si>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</si>
  <si>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</si>
  <si>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</si>
  <si>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</si>
  <si>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</si>
  <si>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</si>
  <si>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</si>
  <si>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</si>
  <si>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</si>
  <si>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</si>
  <si>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</si>
  <si>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</si>
  <si>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</si>
  <si>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</si>
  <si>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</si>
  <si>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</si>
  <si>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</si>
  <si>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</si>
  <si>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</si>
  <si>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</si>
  <si>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</si>
  <si>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</si>
  <si>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</si>
  <si>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</si>
  <si>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</si>
  <si>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</si>
  <si>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</si>
  <si>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</si>
  <si>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</si>
  <si>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</si>
  <si>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</si>
  <si>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</si>
  <si>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</si>
  <si>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</si>
  <si>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</si>
  <si>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</si>
  <si>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</si>
  <si>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</si>
  <si>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</si>
  <si>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</si>
  <si>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</si>
  <si>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</si>
  <si>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</si>
  <si>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</si>
  <si>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</si>
  <si>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</si>
  <si>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</si>
  <si>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</si>
  <si>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</si>
  <si>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</si>
  <si>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</si>
  <si>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</si>
  <si>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</si>
  <si>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</si>
  <si>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</si>
  <si>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</si>
  <si>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</si>
  <si>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</si>
  <si>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</si>
  <si>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</si>
  <si>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</si>
  <si>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</si>
  <si>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</si>
  <si>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</si>
  <si>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</si>
  <si>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</si>
  <si>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</si>
  <si>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</si>
  <si>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</si>
  <si>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</si>
  <si>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</si>
  <si>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</si>
  <si>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</si>
  <si>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</si>
  <si>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</si>
  <si>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</si>
  <si>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</si>
  <si>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</si>
  <si>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</si>
  <si>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</si>
  <si>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</si>
  <si>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</si>
  <si>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</si>
  <si>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</si>
  <si>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</si>
  <si>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</si>
  <si>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</si>
  <si>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</si>
  <si>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</si>
  <si>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</si>
  <si>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</si>
  <si>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</si>
  <si>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</si>
  <si>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</si>
  <si>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</si>
  <si>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</si>
  <si>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</si>
  <si>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</si>
  <si>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</si>
  <si>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</si>
  <si>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</si>
  <si>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</si>
  <si>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</si>
  <si>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</si>
  <si>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</si>
  <si>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</si>
  <si>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</si>
  <si>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</si>
  <si>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</si>
  <si>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</si>
  <si>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</si>
  <si>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</si>
  <si>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</si>
  <si>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</si>
  <si>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</si>
  <si>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</si>
  <si>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</si>
  <si>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</si>
  <si>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</si>
  <si>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</si>
  <si>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</si>
  <si>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</si>
  <si>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</si>
  <si>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</si>
  <si>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</si>
  <si>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</si>
  <si>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</si>
  <si>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</si>
  <si>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</si>
  <si>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</si>
  <si>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</si>
  <si>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</si>
  <si>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</si>
  <si>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</si>
  <si>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</si>
  <si>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</si>
  <si>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</si>
  <si>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</si>
  <si>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</si>
  <si>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</si>
  <si>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</si>
  <si>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</si>
  <si>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</si>
  <si>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</si>
  <si>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</si>
  <si>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</si>
  <si>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</si>
  <si>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</si>
  <si>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</si>
  <si>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</si>
  <si>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</si>
  <si>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</si>
  <si>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</si>
  <si>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</si>
  <si>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</si>
  <si>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</si>
  <si>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</si>
  <si>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</si>
  <si>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</si>
  <si>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</si>
  <si>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</si>
  <si>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</si>
  <si>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</si>
  <si>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</si>
  <si>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</si>
  <si>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</si>
  <si>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</si>
  <si>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</si>
  <si>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</si>
  <si>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</si>
  <si>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</si>
  <si>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</si>
  <si>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</si>
  <si>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</si>
  <si>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</si>
  <si>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</si>
  <si>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</si>
  <si>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</si>
  <si>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</si>
  <si>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</si>
  <si>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</si>
  <si>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</si>
  <si>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</si>
  <si>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</si>
  <si>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</si>
  <si>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</si>
  <si>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</si>
  <si>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</si>
  <si>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</si>
  <si>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</si>
  <si>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</si>
  <si>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</si>
  <si>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</si>
  <si>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</si>
  <si>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</si>
  <si>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</si>
  <si>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</si>
  <si>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</si>
  <si>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</si>
  <si>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</si>
  <si>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</si>
  <si>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</si>
  <si>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</si>
  <si>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</si>
  <si>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</si>
  <si>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</si>
  <si>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</si>
  <si>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</si>
  <si>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</si>
  <si>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</si>
  <si>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</si>
  <si>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</si>
  <si>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</si>
  <si>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</si>
  <si>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</si>
  <si>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</si>
  <si>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</si>
  <si>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</si>
  <si>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</si>
  <si>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</si>
  <si>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</si>
  <si>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</si>
  <si>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</si>
  <si>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</si>
  <si>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</si>
  <si>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</si>
  <si>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</si>
  <si>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</si>
  <si>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</si>
  <si>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</si>
  <si>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</si>
  <si>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</si>
  <si>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</si>
  <si>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</si>
  <si>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</si>
  <si>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</si>
  <si>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</si>
  <si>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</si>
  <si>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</si>
  <si>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</si>
  <si>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</si>
  <si>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</si>
  <si>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</si>
  <si>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</si>
  <si>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</si>
  <si>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</si>
  <si>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</si>
  <si>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</si>
  <si>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</si>
  <si>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</si>
  <si>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</si>
  <si>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</si>
  <si>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</si>
  <si>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</si>
  <si>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</si>
  <si>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</si>
  <si>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</si>
  <si>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</si>
  <si>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</si>
  <si>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</si>
  <si>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</si>
  <si>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</si>
  <si>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</si>
  <si>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</si>
  <si>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</si>
  <si>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</si>
  <si>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</si>
  <si>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</si>
  <si>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</si>
  <si>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</si>
  <si>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</si>
  <si>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</si>
  <si>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</si>
  <si>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</si>
  <si>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</si>
  <si>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</si>
  <si>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</si>
  <si>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</si>
  <si>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</si>
  <si>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</si>
  <si>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</si>
  <si>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</si>
  <si>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</si>
  <si>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</si>
  <si>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</si>
  <si>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</si>
  <si>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</si>
  <si>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</si>
  <si>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</si>
  <si>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</si>
  <si>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</si>
  <si>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</si>
  <si>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</si>
  <si>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</si>
  <si>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</si>
  <si>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</si>
  <si>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</si>
  <si>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</si>
  <si>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</si>
  <si>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</si>
  <si>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</si>
  <si>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</si>
  <si>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</si>
  <si>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</si>
  <si>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</si>
  <si>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</si>
  <si>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</si>
  <si>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</si>
  <si>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</si>
  <si>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</si>
  <si>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</si>
  <si>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</si>
  <si>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</si>
  <si>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</si>
  <si>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</si>
  <si>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</si>
  <si>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</si>
  <si>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</si>
  <si>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</si>
  <si>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</si>
  <si>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</si>
  <si>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</si>
  <si>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</si>
  <si>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</si>
  <si>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</si>
  <si>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</si>
  <si>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</si>
  <si>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</si>
  <si>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</si>
  <si>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</si>
  <si>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</si>
  <si>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</si>
  <si>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</si>
  <si>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</si>
  <si>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</si>
  <si>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</si>
  <si>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</si>
  <si>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</si>
  <si>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</si>
  <si>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</si>
  <si>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</si>
  <si>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</si>
  <si>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</si>
  <si>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</si>
  <si>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</si>
  <si>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</si>
  <si>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</si>
  <si>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</si>
  <si>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</si>
  <si>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</si>
  <si>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</si>
  <si>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</si>
  <si>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</si>
  <si>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</si>
  <si>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</si>
  <si>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</si>
  <si>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</si>
  <si>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</si>
  <si>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</si>
  <si>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</si>
  <si>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</si>
  <si>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</si>
  <si>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</si>
  <si>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</si>
  <si>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</si>
  <si>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</si>
  <si>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</si>
  <si>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</si>
  <si>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</si>
  <si>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</si>
  <si>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</si>
  <si>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</si>
  <si>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</si>
  <si>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</si>
  <si>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</si>
  <si>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</si>
  <si>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</si>
  <si>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</si>
  <si>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</si>
  <si>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</si>
  <si>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</si>
  <si>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</si>
  <si>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</si>
  <si>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</si>
  <si>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</si>
  <si>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</si>
  <si>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</si>
  <si>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</si>
  <si>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</si>
  <si>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</si>
  <si>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</si>
  <si>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</si>
  <si>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</si>
  <si>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</si>
  <si>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</si>
  <si>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</si>
  <si>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</si>
  <si>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</si>
  <si>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</si>
  <si>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</si>
  <si>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</si>
  <si>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</si>
  <si>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</si>
  <si>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</si>
  <si>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</si>
  <si>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</si>
  <si>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</si>
  <si>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</si>
  <si>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</si>
  <si>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</si>
  <si>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</si>
  <si>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</si>
  <si>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</si>
  <si>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</si>
  <si>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</si>
  <si>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</si>
  <si>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</si>
  <si>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</si>
  <si>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</si>
  <si>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</si>
  <si>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</si>
  <si>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</si>
  <si>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</si>
  <si>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</si>
  <si>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</si>
  <si>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</si>
  <si>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</si>
  <si>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</si>
  <si>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</si>
  <si>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</si>
  <si>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</si>
  <si>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</si>
  <si>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</si>
  <si>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</si>
  <si>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</si>
  <si>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</si>
  <si>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</si>
  <si>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</si>
  <si>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</si>
  <si>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</si>
  <si>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</si>
  <si>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</si>
  <si>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</si>
  <si>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</si>
  <si>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</si>
  <si>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</si>
  <si>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</si>
  <si>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</si>
  <si>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</si>
  <si>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</si>
  <si>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</si>
  <si>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</si>
  <si>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</si>
  <si>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</si>
  <si>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</si>
  <si>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</si>
  <si>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</si>
  <si>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</si>
  <si>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</si>
  <si>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</si>
  <si>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</si>
  <si>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</si>
  <si>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</si>
  <si>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</si>
  <si>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</si>
  <si>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</si>
  <si>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</si>
  <si>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</si>
  <si>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</si>
  <si>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</si>
  <si>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</si>
  <si>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</si>
  <si>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</si>
  <si>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</si>
  <si>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</si>
  <si>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</si>
  <si>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</si>
  <si>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</si>
  <si>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</si>
  <si>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</si>
  <si>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</si>
  <si>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</si>
  <si>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</si>
  <si>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</si>
  <si>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</si>
  <si>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</si>
  <si>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</si>
  <si>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</si>
  <si>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</si>
  <si>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</si>
  <si>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</si>
  <si>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</si>
  <si>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</si>
  <si>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</si>
  <si>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</si>
  <si>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</si>
  <si>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</si>
  <si>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</si>
  <si>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</si>
  <si>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</si>
  <si>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</si>
  <si>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</si>
  <si>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</si>
  <si>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</si>
  <si>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</si>
  <si>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</si>
  <si>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</si>
  <si>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</si>
  <si>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</si>
  <si>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</si>
  <si>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</si>
  <si>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</si>
  <si>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</si>
  <si>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</si>
  <si>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</si>
  <si>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</si>
  <si>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</si>
  <si>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</si>
  <si>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</si>
  <si>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</si>
  <si>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</si>
  <si>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</si>
  <si>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</si>
  <si>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</si>
  <si>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</si>
  <si>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</si>
  <si>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</si>
  <si>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</si>
  <si>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</si>
  <si>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</si>
  <si>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</si>
  <si>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</si>
  <si>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</si>
  <si>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</si>
  <si>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</si>
  <si>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</si>
  <si>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</si>
  <si>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</si>
  <si>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</si>
  <si>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</si>
  <si>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</si>
  <si>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</si>
  <si>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</si>
  <si>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</si>
  <si>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</si>
  <si>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</si>
  <si>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</si>
  <si>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</si>
  <si>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</si>
  <si>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</si>
  <si>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</si>
  <si>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</si>
  <si>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</si>
  <si>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</si>
  <si>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</si>
  <si>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</si>
  <si>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</si>
  <si>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</si>
  <si>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</si>
  <si>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</si>
  <si>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</si>
  <si>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</si>
  <si>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</si>
  <si>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</si>
  <si>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</si>
  <si>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</si>
  <si>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</si>
  <si>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</si>
  <si>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</si>
  <si>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</si>
  <si>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</si>
  <si>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</si>
  <si>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</si>
  <si>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</si>
  <si>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</si>
  <si>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</si>
  <si>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</si>
  <si>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</si>
  <si>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</si>
  <si>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</si>
  <si>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</si>
  <si>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</si>
  <si>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</si>
  <si>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</si>
  <si>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</si>
  <si>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</si>
  <si>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</si>
  <si>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</si>
  <si>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</si>
  <si>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</si>
  <si>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</si>
  <si>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</si>
  <si>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</si>
  <si>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</si>
  <si>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</si>
  <si>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</si>
  <si>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</si>
  <si>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</si>
  <si>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</si>
  <si>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</si>
  <si>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</si>
  <si>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</si>
  <si>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</si>
  <si>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</si>
  <si>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</si>
  <si>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</si>
  <si>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</si>
  <si>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</si>
  <si>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</si>
  <si>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</si>
  <si>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</si>
  <si>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</si>
  <si>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</si>
  <si>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</si>
  <si>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</si>
  <si>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</si>
  <si>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</si>
  <si>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</si>
  <si>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</si>
  <si>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</si>
  <si>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</si>
  <si>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</si>
  <si>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</si>
  <si>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</si>
  <si>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</si>
  <si>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</si>
  <si>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</si>
  <si>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</si>
  <si>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</si>
  <si>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</si>
  <si>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</si>
  <si>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</si>
  <si>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</si>
  <si>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</si>
  <si>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</si>
  <si>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</si>
  <si>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</si>
  <si>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</si>
  <si>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</si>
  <si>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</si>
  <si>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</si>
  <si>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</si>
  <si>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</si>
  <si>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</si>
  <si>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</si>
  <si>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</si>
  <si>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</si>
  <si>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</si>
  <si>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</si>
  <si>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</si>
  <si>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</si>
  <si>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</si>
  <si>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</si>
  <si>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</si>
  <si>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</si>
  <si>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</si>
  <si>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</si>
  <si>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</si>
  <si>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</si>
  <si>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</si>
  <si>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</si>
  <si>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</si>
  <si>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</si>
  <si>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</si>
  <si>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</si>
  <si>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</si>
  <si>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</si>
  <si>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</si>
  <si>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</si>
  <si>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</si>
  <si>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</si>
  <si>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</si>
  <si>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</si>
  <si>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</si>
  <si>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</si>
  <si>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</si>
  <si>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</si>
  <si>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</si>
  <si>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</si>
  <si>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</si>
  <si>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</si>
  <si>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</si>
  <si>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</si>
  <si>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</si>
  <si>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</si>
  <si>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</si>
  <si>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</si>
  <si>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</si>
  <si>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</si>
  <si>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</si>
  <si>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</si>
  <si>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</si>
  <si>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</si>
  <si>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</si>
  <si>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</si>
  <si>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</si>
  <si>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</si>
  <si>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</si>
  <si>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</si>
  <si>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</si>
  <si>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</si>
  <si>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</si>
  <si>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</si>
  <si>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</si>
  <si>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</si>
  <si>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</si>
  <si>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</si>
  <si>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</si>
  <si>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</si>
  <si>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</si>
  <si>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</si>
  <si>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</si>
  <si>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</si>
  <si>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</si>
  <si>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</si>
  <si>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</si>
  <si>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</si>
  <si>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</si>
  <si>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</si>
  <si>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</si>
  <si>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</si>
  <si>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</si>
  <si>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</si>
  <si>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</si>
  <si>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</si>
  <si>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</si>
  <si>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</si>
  <si>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</si>
  <si>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</si>
  <si>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</si>
  <si>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</si>
  <si>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</si>
  <si>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</si>
  <si>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</si>
  <si>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</si>
  <si>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</si>
  <si>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</si>
  <si>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</si>
  <si>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</si>
  <si>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</si>
  <si>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</si>
  <si>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</si>
  <si>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</si>
  <si>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</si>
  <si>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</si>
  <si>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</si>
  <si>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</si>
  <si>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</si>
  <si>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</si>
  <si>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</si>
  <si>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</si>
  <si>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</si>
  <si>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</si>
  <si>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</si>
  <si>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</si>
  <si>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</si>
  <si>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</si>
  <si>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</si>
  <si>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</si>
  <si>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</si>
  <si>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</si>
  <si>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</si>
  <si>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</si>
  <si>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</si>
  <si>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</si>
  <si>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</si>
  <si>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</si>
  <si>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</si>
  <si>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</si>
  <si>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</si>
  <si>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</si>
  <si>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</si>
  <si>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</si>
  <si>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</si>
  <si>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</si>
  <si>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</si>
  <si>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</si>
  <si>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</si>
  <si>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</si>
  <si>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</si>
  <si>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</si>
  <si>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</si>
  <si>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</si>
  <si>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</si>
  <si>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</si>
  <si>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</si>
  <si>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</si>
  <si>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</si>
  <si>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</si>
  <si>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</si>
  <si>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</si>
  <si>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</si>
  <si>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</si>
  <si>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</si>
  <si>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</si>
  <si>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</si>
  <si>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</si>
  <si>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</si>
  <si>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</si>
  <si>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</si>
  <si>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</si>
  <si>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</si>
  <si>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</si>
  <si>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</si>
  <si>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</si>
  <si>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</si>
  <si>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</si>
  <si>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</si>
  <si>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</si>
  <si>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</si>
  <si>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</si>
  <si>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</si>
  <si>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</si>
  <si>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</si>
  <si>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</si>
  <si>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</si>
  <si>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</si>
  <si>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</si>
  <si>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</si>
  <si>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</si>
  <si>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</si>
  <si>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</si>
  <si>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</si>
  <si>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</si>
  <si>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</si>
  <si>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</si>
  <si>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</si>
  <si>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</si>
  <si>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</si>
  <si>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</si>
  <si>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</si>
  <si>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</si>
  <si>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</si>
  <si>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</si>
  <si>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</si>
  <si>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</si>
  <si>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</si>
  <si>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</si>
  <si>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</si>
  <si>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</si>
  <si>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</si>
  <si>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</si>
  <si>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</si>
  <si>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</si>
  <si>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</si>
  <si>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</si>
  <si>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</si>
  <si>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</si>
  <si>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</si>
  <si>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</si>
  <si>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</si>
  <si>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</si>
  <si>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</si>
  <si>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</si>
  <si>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</si>
  <si>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</si>
  <si>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</si>
  <si>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</si>
  <si>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</si>
  <si>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</si>
  <si>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</si>
  <si>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</si>
  <si>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</si>
  <si>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</si>
  <si>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</si>
  <si>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</si>
  <si>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</si>
  <si>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</si>
  <si>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</si>
  <si>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</si>
  <si>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</si>
  <si>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</si>
  <si>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</si>
  <si>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</si>
  <si>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</si>
  <si>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</si>
  <si>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</si>
  <si>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</si>
  <si>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</si>
  <si>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</si>
  <si>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</si>
  <si>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</si>
  <si>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</si>
  <si>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</si>
  <si>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</si>
  <si>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</si>
  <si>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</si>
  <si>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</si>
  <si>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</si>
  <si>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</si>
  <si>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</si>
  <si>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</si>
  <si>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</si>
  <si>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</si>
  <si>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</si>
  <si>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</si>
  <si>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</si>
  <si>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</si>
  <si>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</si>
  <si>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</si>
  <si>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</si>
  <si>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</si>
  <si>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</si>
  <si>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</si>
  <si>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</si>
  <si>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</si>
  <si>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</si>
  <si>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</si>
  <si>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</si>
  <si>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</si>
  <si>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</si>
  <si>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</si>
  <si>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</si>
  <si>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</si>
  <si>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</si>
  <si>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</si>
  <si>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</si>
  <si>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</si>
  <si>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</si>
  <si>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</si>
  <si>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</si>
  <si>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</si>
  <si>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</si>
  <si>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</si>
  <si>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</si>
  <si>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</si>
  <si>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</si>
  <si>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</si>
  <si>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</si>
  <si>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</si>
  <si>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</si>
  <si>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</si>
  <si>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</si>
  <si>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</si>
  <si>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</si>
  <si>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</si>
  <si>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</si>
  <si>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</si>
  <si>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</si>
  <si>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</si>
  <si>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</si>
  <si>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</si>
  <si>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</si>
  <si>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</si>
  <si>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</si>
  <si>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</si>
  <si>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</si>
  <si>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</si>
  <si>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</si>
  <si>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</si>
  <si>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</si>
  <si>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</si>
  <si>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</si>
  <si>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</si>
  <si>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</si>
  <si>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</si>
  <si>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</si>
  <si>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</si>
  <si>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</si>
  <si>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</si>
  <si>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</si>
  <si>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</si>
  <si>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</si>
  <si>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</si>
  <si>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</si>
  <si>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</si>
  <si>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</si>
  <si>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</si>
  <si>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</si>
  <si>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</si>
  <si>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</si>
  <si>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</si>
  <si>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</si>
  <si>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</si>
  <si>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</si>
  <si>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</si>
  <si>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</si>
  <si>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</si>
  <si>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</si>
  <si>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</si>
  <si>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</si>
  <si>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</si>
  <si>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</si>
  <si>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</si>
  <si>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</si>
  <si>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</si>
  <si>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</si>
  <si>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</si>
  <si>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</si>
  <si>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</si>
  <si>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</si>
  <si>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</si>
  <si>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</si>
  <si>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</si>
  <si>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</si>
  <si>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</si>
  <si>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</si>
  <si>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</si>
  <si>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</si>
  <si>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</si>
  <si>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</si>
  <si>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</si>
  <si>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</si>
  <si>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</si>
  <si>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</si>
  <si>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</si>
  <si>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</si>
  <si>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</si>
  <si>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</si>
  <si>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</si>
  <si>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</si>
  <si>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</si>
  <si>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</si>
  <si>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</si>
  <si>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</si>
  <si>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</si>
  <si>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</si>
  <si>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</si>
  <si>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</si>
  <si>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</si>
  <si>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</si>
  <si>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</si>
  <si>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</si>
  <si>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</si>
  <si>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</si>
  <si>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</si>
  <si>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</si>
  <si>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</si>
  <si>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</si>
  <si>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</si>
  <si>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</si>
  <si>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</si>
  <si>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</si>
  <si>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</si>
  <si>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</si>
  <si>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</si>
  <si>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</si>
  <si>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</si>
  <si>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</si>
  <si>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</si>
  <si>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</si>
  <si>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</si>
  <si>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</si>
  <si>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</si>
  <si>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</si>
  <si>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</si>
  <si>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</si>
  <si>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</si>
  <si>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</si>
  <si>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</si>
  <si>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</si>
  <si>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</si>
  <si>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</si>
  <si>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</si>
  <si>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</si>
  <si>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</si>
  <si>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</si>
  <si>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</si>
  <si>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</si>
  <si>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</si>
  <si>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</si>
  <si>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</si>
  <si>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</si>
  <si>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</si>
  <si>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</si>
  <si>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</si>
  <si>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</si>
  <si>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</si>
  <si>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</si>
  <si>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</si>
  <si>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</si>
  <si>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</si>
  <si>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</si>
  <si>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</si>
  <si>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</si>
  <si>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</si>
  <si>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</si>
  <si>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</si>
  <si>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</si>
  <si>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</si>
  <si>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</si>
  <si>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</si>
  <si>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</si>
  <si>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</si>
  <si>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</si>
  <si>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</si>
  <si>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</si>
  <si>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</si>
  <si>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</si>
  <si>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</si>
  <si>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</si>
  <si>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</si>
  <si>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</si>
  <si>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</si>
  <si>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</si>
  <si>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</si>
  <si>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</si>
  <si>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</si>
  <si>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</si>
  <si>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</si>
  <si>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</si>
  <si>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</si>
  <si>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</si>
  <si>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</si>
  <si>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</si>
  <si>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</si>
  <si>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</si>
  <si>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</si>
  <si>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</si>
  <si>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</si>
  <si>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</si>
  <si>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</si>
  <si>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</si>
  <si>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</si>
  <si>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</si>
  <si>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</si>
  <si>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</si>
  <si>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</si>
  <si>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</si>
  <si>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</si>
  <si>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</si>
  <si>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</si>
  <si>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</si>
  <si>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</si>
  <si>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</si>
  <si>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</si>
  <si>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</si>
  <si>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</si>
  <si>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</si>
  <si>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</si>
  <si>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</si>
  <si>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</si>
  <si>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</si>
  <si>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</si>
  <si>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</si>
  <si>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</si>
  <si>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</si>
  <si>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</si>
  <si>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</si>
  <si>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</si>
  <si>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</si>
  <si>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</si>
  <si>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</si>
  <si>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</si>
  <si>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</si>
  <si>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</si>
  <si>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</si>
  <si>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</si>
  <si>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</si>
  <si>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</si>
  <si>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</si>
  <si>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</si>
  <si>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</si>
  <si>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</si>
  <si>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</si>
  <si>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</si>
  <si>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</si>
  <si>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</si>
  <si>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</si>
  <si>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</si>
  <si>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</si>
  <si>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</si>
  <si>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</si>
  <si>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</si>
  <si>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</si>
  <si>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</si>
  <si>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</si>
  <si>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</si>
  <si>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</si>
  <si>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</si>
  <si>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</si>
  <si>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</si>
  <si>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</si>
  <si>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</si>
  <si>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</si>
  <si>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</si>
  <si>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</si>
  <si>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</si>
  <si>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</si>
  <si>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</si>
  <si>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</si>
  <si>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</si>
  <si>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</si>
  <si>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</si>
  <si>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</si>
  <si>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</si>
  <si>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</si>
  <si>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</si>
  <si>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</si>
  <si>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</si>
  <si>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</si>
  <si>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</si>
  <si>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</si>
  <si>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</si>
  <si>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</si>
  <si>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</si>
  <si>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</si>
  <si>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</si>
  <si>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</si>
  <si>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</si>
  <si>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</si>
  <si>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</si>
  <si>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</si>
  <si>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</si>
  <si>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</si>
  <si>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</si>
  <si>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</si>
  <si>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</si>
  <si>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</si>
  <si>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</si>
  <si>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</si>
  <si>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</si>
  <si>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</si>
  <si>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</si>
  <si>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</si>
  <si>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</si>
  <si>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</si>
  <si>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</si>
  <si>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</si>
  <si>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</si>
  <si>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</si>
  <si>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</si>
  <si>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</si>
  <si>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</si>
  <si>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</si>
  <si>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</si>
  <si>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</si>
  <si>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</si>
  <si>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</si>
  <si>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</si>
  <si>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</si>
  <si>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</si>
  <si>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</si>
  <si>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</si>
  <si>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</si>
  <si>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</si>
  <si>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</si>
  <si>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</si>
  <si>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</si>
  <si>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</si>
  <si>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</si>
  <si>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</si>
  <si>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</si>
  <si>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</si>
  <si>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</si>
  <si>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</si>
  <si>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</si>
  <si>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</si>
  <si>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</si>
  <si>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</si>
  <si>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</si>
  <si>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</si>
  <si>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</si>
  <si>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</si>
  <si>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</si>
  <si>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</si>
  <si>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</si>
  <si>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</si>
  <si>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</si>
  <si>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</si>
  <si>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</si>
  <si>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</si>
  <si>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</si>
  <si>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</si>
  <si>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</si>
  <si>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</si>
  <si>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</si>
  <si>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</si>
  <si>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</si>
  <si>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</si>
  <si>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</si>
  <si>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</si>
  <si>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</si>
  <si>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</si>
  <si>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</si>
  <si>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</si>
  <si>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</si>
  <si>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</si>
  <si>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</si>
  <si>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</si>
  <si>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</si>
  <si>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</si>
  <si>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</si>
  <si>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</si>
  <si>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</si>
  <si>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</si>
  <si>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</si>
  <si>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</si>
  <si>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</si>
  <si>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</si>
  <si>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</si>
  <si>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</si>
  <si>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</si>
  <si>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</si>
  <si>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</si>
  <si>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</si>
  <si>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</si>
  <si>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</si>
  <si>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</si>
  <si>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</si>
  <si>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</si>
  <si>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</si>
  <si>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</si>
  <si>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</si>
  <si>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</si>
  <si>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</si>
  <si>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</si>
  <si>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</si>
  <si>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</si>
  <si>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</si>
  <si>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</si>
  <si>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</si>
  <si>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</si>
  <si>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</si>
  <si>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</si>
  <si>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</si>
  <si>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</si>
  <si>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</si>
  <si>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</si>
  <si>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</si>
  <si>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</si>
  <si>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</si>
  <si>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</si>
  <si>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</si>
  <si>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</si>
  <si>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</si>
  <si>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</si>
  <si>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</si>
  <si>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</si>
  <si>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</si>
  <si>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</si>
  <si>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</si>
  <si>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</si>
  <si>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</si>
  <si>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</si>
  <si>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</si>
  <si>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</si>
  <si>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</si>
  <si>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</si>
  <si>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</si>
  <si>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</si>
  <si>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</si>
  <si>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</si>
  <si>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</si>
  <si>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</si>
  <si>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</si>
  <si>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</si>
  <si>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</si>
  <si>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</si>
  <si>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</si>
  <si>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</si>
  <si>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</si>
  <si>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</si>
  <si>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</si>
  <si>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</si>
  <si>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</si>
  <si>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</si>
  <si>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</si>
  <si>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</si>
  <si>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</si>
  <si>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</si>
  <si>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</si>
  <si>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</si>
  <si>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</si>
  <si>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</si>
  <si>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</si>
  <si>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</si>
  <si>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</si>
  <si>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</si>
  <si>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</si>
  <si>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</si>
  <si>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</si>
  <si>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</si>
  <si>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</si>
  <si>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</si>
  <si>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</si>
  <si>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</si>
  <si>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</si>
  <si>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</si>
  <si>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</si>
  <si>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</si>
  <si>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</si>
  <si>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</si>
  <si>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</si>
  <si>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</si>
  <si>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</si>
  <si>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</si>
  <si>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</si>
  <si>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</si>
  <si>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</si>
  <si>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</si>
  <si>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</si>
  <si>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</si>
  <si>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</si>
  <si>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</si>
  <si>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</si>
  <si>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</si>
  <si>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</si>
  <si>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</si>
  <si>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</si>
  <si>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</si>
  <si>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</si>
  <si>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</si>
  <si>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</si>
  <si>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</si>
  <si>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</si>
  <si>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</si>
  <si>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</si>
  <si>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</si>
  <si>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</si>
  <si>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</si>
  <si>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</si>
  <si>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</si>
  <si>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</si>
  <si>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</si>
  <si>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</si>
  <si>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</si>
  <si>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</si>
  <si>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</si>
  <si>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</si>
  <si>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</si>
  <si>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</si>
  <si>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</si>
  <si>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</si>
  <si>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</si>
  <si>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</si>
  <si>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</si>
  <si>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</si>
  <si>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</si>
  <si>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</si>
  <si>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</si>
  <si>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</si>
  <si>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</si>
  <si>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</si>
  <si>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</si>
  <si>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</si>
  <si>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</si>
  <si>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</si>
  <si>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</si>
  <si>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</si>
  <si>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</si>
  <si>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</si>
  <si>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</si>
  <si>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</si>
  <si>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</si>
  <si>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</si>
  <si>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</si>
  <si>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</si>
  <si>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</si>
  <si>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</si>
  <si>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</si>
  <si>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</si>
  <si>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</si>
  <si>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</si>
  <si>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</si>
  <si>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</si>
  <si>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</si>
  <si>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</si>
  <si>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</si>
  <si>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</si>
  <si>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</si>
  <si>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</si>
  <si>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</si>
  <si>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</si>
  <si>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</si>
  <si>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</si>
  <si>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</si>
  <si>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</si>
  <si>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</si>
  <si>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</si>
  <si>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</si>
  <si>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</si>
  <si>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</si>
  <si>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</si>
  <si>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</si>
  <si>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</si>
  <si>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</si>
  <si>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</si>
  <si>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</si>
  <si>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</si>
  <si>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</si>
  <si>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</si>
  <si>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</si>
  <si>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</si>
  <si>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</si>
  <si>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</si>
  <si>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</si>
  <si>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</si>
  <si>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</si>
  <si>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</si>
  <si>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</si>
  <si>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</si>
  <si>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</si>
  <si>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</si>
  <si>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</si>
  <si>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</si>
  <si>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</si>
  <si>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</si>
  <si>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</si>
  <si>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</si>
  <si>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</si>
  <si>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</si>
  <si>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</si>
  <si>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</si>
  <si>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</si>
  <si>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</si>
  <si>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</si>
  <si>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</si>
  <si>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</si>
  <si>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</si>
  <si>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</si>
  <si>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</si>
  <si>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</si>
  <si>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</si>
  <si>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</si>
  <si>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</si>
  <si>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</si>
  <si>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</si>
  <si>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</si>
  <si>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</si>
  <si>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</si>
  <si>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</si>
  <si>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</si>
  <si>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</si>
  <si>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</si>
  <si>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</si>
  <si>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</si>
  <si>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</si>
  <si>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</si>
  <si>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</si>
  <si>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</si>
  <si>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</si>
  <si>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</si>
  <si>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</si>
  <si>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</si>
  <si>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</si>
  <si>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</si>
  <si>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</si>
  <si>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</si>
  <si>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</si>
  <si>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</si>
  <si>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</si>
  <si>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</si>
  <si>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</si>
  <si>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</si>
  <si>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</si>
  <si>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</si>
  <si>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</si>
  <si>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</si>
  <si>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</si>
  <si>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</si>
  <si>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</si>
  <si>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</si>
  <si>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</si>
  <si>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</si>
  <si>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</si>
  <si>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</si>
  <si>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</si>
  <si>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</si>
  <si>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</si>
  <si>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</si>
  <si>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</si>
  <si>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</si>
  <si>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</si>
  <si>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</si>
  <si>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</si>
  <si>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</si>
  <si>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</si>
  <si>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</si>
  <si>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</si>
  <si>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</si>
  <si>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</si>
  <si>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</si>
  <si>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</si>
  <si>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</si>
  <si>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</si>
  <si>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</si>
  <si>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</si>
  <si>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</si>
  <si>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</si>
  <si>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</si>
  <si>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</si>
  <si>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</si>
  <si>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</si>
  <si>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</si>
  <si>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</si>
  <si>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</si>
  <si>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</si>
  <si>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</si>
  <si>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</si>
  <si>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</si>
  <si>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</si>
  <si>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</si>
  <si>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</si>
  <si>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</si>
  <si>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</si>
  <si>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</si>
  <si>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</si>
  <si>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</si>
  <si>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</si>
  <si>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</si>
  <si>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</si>
  <si>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</si>
  <si>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</si>
  <si>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</si>
  <si>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</si>
  <si>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</si>
  <si>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</si>
  <si>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</si>
  <si>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</si>
  <si>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</si>
  <si>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</si>
  <si>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</si>
  <si>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</si>
  <si>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</si>
  <si>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</si>
  <si>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</si>
  <si>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</si>
  <si>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</si>
  <si>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</si>
  <si>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</si>
  <si>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</si>
  <si>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</si>
  <si>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</si>
  <si>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</si>
  <si>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</si>
  <si>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</si>
  <si>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</si>
  <si>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</si>
  <si>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</si>
  <si>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</si>
  <si>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</si>
  <si>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</si>
  <si>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</si>
  <si>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</si>
  <si>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</si>
  <si>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</si>
  <si>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</si>
  <si>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</si>
  <si>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</si>
  <si>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</si>
  <si>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</si>
  <si>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</si>
  <si>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</si>
  <si>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</si>
  <si>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</si>
  <si>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</si>
  <si>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</si>
  <si>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</si>
  <si>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</si>
  <si>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</si>
  <si>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</si>
  <si>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</si>
  <si>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</si>
  <si>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</si>
  <si>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</si>
  <si>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</si>
  <si>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</si>
  <si>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</si>
  <si>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</si>
  <si>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</si>
  <si>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</si>
  <si>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</si>
  <si>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</si>
  <si>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</si>
  <si>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</si>
  <si>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</si>
  <si>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</si>
  <si>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</si>
  <si>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</si>
  <si>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</si>
  <si>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</si>
  <si>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</si>
  <si>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</si>
  <si>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</si>
  <si>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</si>
  <si>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</si>
  <si>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</si>
  <si>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</si>
  <si>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</si>
  <si>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</si>
  <si>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</si>
  <si>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</si>
  <si>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</si>
  <si>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</si>
  <si>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</si>
  <si>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</si>
  <si>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</si>
  <si>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</si>
  <si>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</si>
  <si>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</si>
  <si>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</si>
  <si>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</si>
  <si>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</si>
  <si>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</si>
  <si>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</si>
  <si>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</si>
  <si>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</si>
  <si>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</si>
  <si>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</si>
  <si>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</si>
  <si>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</si>
  <si>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</si>
  <si>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</si>
  <si>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</si>
  <si>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</si>
  <si>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</si>
  <si>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</si>
  <si>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</si>
  <si>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</si>
  <si>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</si>
  <si>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</si>
  <si>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</si>
  <si>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</si>
  <si>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</si>
  <si>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</si>
  <si>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</si>
  <si>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</si>
  <si>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</si>
  <si>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</si>
  <si>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</si>
  <si>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</si>
  <si>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</si>
  <si>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</si>
  <si>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</si>
  <si>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</si>
  <si>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</si>
  <si>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</si>
  <si>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</si>
  <si>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</si>
  <si>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</si>
  <si>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</si>
  <si>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</si>
  <si>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</si>
  <si>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</si>
  <si>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</si>
  <si>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</si>
  <si>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</si>
  <si>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</si>
  <si>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</si>
  <si>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</si>
  <si>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</si>
  <si>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</si>
  <si>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</si>
  <si>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</si>
  <si>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</si>
  <si>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</si>
  <si>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</si>
  <si>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</si>
  <si>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</si>
  <si>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</si>
  <si>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</si>
  <si>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</si>
  <si>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</si>
  <si>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</si>
  <si>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</si>
  <si>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</si>
  <si>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</si>
  <si>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</si>
  <si>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</si>
  <si>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</si>
  <si>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</si>
  <si>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</si>
  <si>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</si>
  <si>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</si>
  <si>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</si>
  <si>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</si>
  <si>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</si>
  <si>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</si>
  <si>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</si>
  <si>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</si>
  <si>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</si>
  <si>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</si>
  <si>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</si>
  <si>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</si>
  <si>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</si>
  <si>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</si>
  <si>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</si>
  <si>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</si>
  <si>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</si>
  <si>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</si>
  <si>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</si>
  <si>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</si>
  <si>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</si>
  <si>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</si>
  <si>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</si>
  <si>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</si>
  <si>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</si>
  <si>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</si>
  <si>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</si>
  <si>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</si>
  <si>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</si>
  <si>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</si>
  <si>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</si>
  <si>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</si>
  <si>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</si>
  <si>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</si>
  <si>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</si>
  <si>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</si>
  <si>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</si>
  <si>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</si>
  <si>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</si>
  <si>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</si>
  <si>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</si>
  <si>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</si>
  <si>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</si>
  <si>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</si>
  <si>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</si>
  <si>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</si>
  <si>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</si>
  <si>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</si>
  <si>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</si>
  <si>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</si>
  <si>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</si>
  <si>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</si>
  <si>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</si>
  <si>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</si>
  <si>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</si>
  <si>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</si>
  <si>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</si>
  <si>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</si>
  <si>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</si>
  <si>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</si>
  <si>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</si>
  <si>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</si>
  <si>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</si>
  <si>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</si>
  <si>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</si>
  <si>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</si>
  <si>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</si>
  <si>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</si>
  <si>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</si>
  <si>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</si>
  <si>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</si>
  <si>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</si>
  <si>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</si>
  <si>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</si>
  <si>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</si>
  <si>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</si>
  <si>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</si>
  <si>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</si>
  <si>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</si>
  <si>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</si>
  <si>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</si>
  <si>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</si>
  <si>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</si>
  <si>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</si>
  <si>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</si>
  <si>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</si>
  <si>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</si>
  <si>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</si>
  <si>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</si>
  <si>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</si>
  <si>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</si>
  <si>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</si>
  <si>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</si>
  <si>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</si>
  <si>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</si>
  <si>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</si>
  <si>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</si>
  <si>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</si>
  <si>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</si>
  <si>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</si>
  <si>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</si>
  <si>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</si>
  <si>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</si>
  <si>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</si>
  <si>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</si>
  <si>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</si>
  <si>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</si>
  <si>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</si>
  <si>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</si>
  <si>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</si>
  <si>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</si>
  <si>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</si>
  <si>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</si>
  <si>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</si>
  <si>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</si>
  <si>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</si>
  <si>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</si>
  <si>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</si>
  <si>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</si>
  <si>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</si>
  <si>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</si>
  <si>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</si>
  <si>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</si>
  <si>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</si>
  <si>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</si>
  <si>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</si>
  <si>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</si>
  <si>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</si>
  <si>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</si>
  <si>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</si>
  <si>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</si>
  <si>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</si>
  <si>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</si>
  <si>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</si>
  <si>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</si>
  <si>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</si>
  <si>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</si>
  <si>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</si>
  <si>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</si>
  <si>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</si>
  <si>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</si>
  <si>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</si>
  <si>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</si>
  <si>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</si>
  <si>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</si>
  <si>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</si>
  <si>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</si>
  <si>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</si>
  <si>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</si>
  <si>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</si>
  <si>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</si>
  <si>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</si>
  <si>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</si>
  <si>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</si>
  <si>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</si>
  <si>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</si>
  <si>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</si>
  <si>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</si>
  <si>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</si>
  <si>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</si>
  <si>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</si>
  <si>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</si>
  <si>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</si>
  <si>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</si>
  <si>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</si>
  <si>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</si>
  <si>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</si>
  <si>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</si>
  <si>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</si>
  <si>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</si>
  <si>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</si>
  <si>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</si>
  <si>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</si>
  <si>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</si>
  <si>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</si>
  <si>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</si>
  <si>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</si>
  <si>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</si>
  <si>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</si>
  <si>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</si>
  <si>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</si>
  <si>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</si>
  <si>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</si>
  <si>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</si>
  <si>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</si>
  <si>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</si>
  <si>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</si>
  <si>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</si>
  <si>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</si>
  <si>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</si>
  <si>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</si>
  <si>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</si>
  <si>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</si>
  <si>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</si>
  <si>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</si>
  <si>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</si>
  <si>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</si>
  <si>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</si>
  <si>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</si>
  <si>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</si>
  <si>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</si>
  <si>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</si>
  <si>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</si>
  <si>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</si>
  <si>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</si>
  <si>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</si>
  <si>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</si>
  <si>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</si>
  <si>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</si>
  <si>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</si>
  <si>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</si>
  <si>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</si>
  <si>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</si>
  <si>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</si>
  <si>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</si>
  <si>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</si>
  <si>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</si>
  <si>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</si>
  <si>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</si>
  <si>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</si>
  <si>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</si>
  <si>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</si>
  <si>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</si>
  <si>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</si>
  <si>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</si>
  <si>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</si>
  <si>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</si>
  <si>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</si>
  <si>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</si>
  <si>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</si>
  <si>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</si>
  <si>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</si>
  <si>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</si>
  <si>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</si>
  <si>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</si>
  <si>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</si>
  <si>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</si>
  <si>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</si>
  <si>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</si>
  <si>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</si>
  <si>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</si>
  <si>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</si>
  <si>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</si>
  <si>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</si>
  <si>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</si>
  <si>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</si>
  <si>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</si>
  <si>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</si>
  <si>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</si>
  <si>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</si>
  <si>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</si>
  <si>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</si>
  <si>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</si>
  <si>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</si>
  <si>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</si>
  <si>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</si>
  <si>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</si>
  <si>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</si>
  <si>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</si>
  <si>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</si>
  <si>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</si>
  <si>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</si>
  <si>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</si>
  <si>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</si>
  <si>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</si>
  <si>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</si>
  <si>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</si>
  <si>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</si>
  <si>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</si>
  <si>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</si>
  <si>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</si>
  <si>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</si>
  <si>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</si>
  <si>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</si>
  <si>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</si>
  <si>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</si>
  <si>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</si>
  <si>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</si>
  <si>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</si>
  <si>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</si>
  <si>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</si>
  <si>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</si>
  <si>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</si>
  <si>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</si>
  <si>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</si>
  <si>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</si>
  <si>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</si>
  <si>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</si>
  <si>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</si>
  <si>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</si>
  <si>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</si>
  <si>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</si>
  <si>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</si>
  <si>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</si>
  <si>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</si>
  <si>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</si>
  <si>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</si>
  <si>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</si>
  <si>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</si>
  <si>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</si>
  <si>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</si>
  <si>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</si>
  <si>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</si>
  <si>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</si>
  <si>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</si>
  <si>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</si>
  <si>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</si>
  <si>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</si>
  <si>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</si>
  <si>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</si>
  <si>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</si>
  <si>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</si>
  <si>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</si>
  <si>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</si>
  <si>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</si>
  <si>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</si>
  <si>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</si>
  <si>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</si>
  <si>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</si>
  <si>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</si>
  <si>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</si>
  <si>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</si>
  <si>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</si>
  <si>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</si>
  <si>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</si>
  <si>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</si>
  <si>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</si>
  <si>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</si>
  <si>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</si>
  <si>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</si>
  <si>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</si>
  <si>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</si>
  <si>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</si>
  <si>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</si>
  <si>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</si>
  <si>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</si>
  <si>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</si>
  <si>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</si>
  <si>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</si>
  <si>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</si>
  <si>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</si>
  <si>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</si>
  <si>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</si>
  <si>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</si>
  <si>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</si>
  <si>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</si>
  <si>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</si>
  <si>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</si>
  <si>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</si>
  <si>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</si>
  <si>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</si>
  <si>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</si>
  <si>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</si>
  <si>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</si>
  <si>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</si>
  <si>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</si>
  <si>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</si>
  <si>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</si>
  <si>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</si>
  <si>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</si>
  <si>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</si>
  <si>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</si>
  <si>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</si>
  <si>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</si>
  <si>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</si>
  <si>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</si>
  <si>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</si>
  <si>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</si>
  <si>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</si>
  <si>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</si>
  <si>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</si>
  <si>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</si>
  <si>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</si>
  <si>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</si>
  <si>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</si>
  <si>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</si>
  <si>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</si>
  <si>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</si>
  <si>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</si>
  <si>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</si>
  <si>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</si>
  <si>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</si>
  <si>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</si>
  <si>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</si>
  <si>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</si>
  <si>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</si>
  <si>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</si>
  <si>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</si>
  <si>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</si>
  <si>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</si>
  <si>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</si>
  <si>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</si>
  <si>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</si>
  <si>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</si>
  <si>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</si>
  <si>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</si>
  <si>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</si>
  <si>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</si>
  <si>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</si>
  <si>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</si>
  <si>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</si>
  <si>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</si>
  <si>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</si>
  <si>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</si>
  <si>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</si>
  <si>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</si>
  <si>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</si>
  <si>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</si>
  <si>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</si>
  <si>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</si>
  <si>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</si>
  <si>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</si>
  <si>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</si>
  <si>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</si>
  <si>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</si>
  <si>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</si>
  <si>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</si>
  <si>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</si>
  <si>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</si>
  <si>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</si>
  <si>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</si>
  <si>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</si>
  <si>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</si>
  <si>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</si>
  <si>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</si>
  <si>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</si>
  <si>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</si>
  <si>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</si>
  <si>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</si>
  <si>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</si>
  <si>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</si>
  <si>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</si>
  <si>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</si>
  <si>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</si>
  <si>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</si>
  <si>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</si>
  <si>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</si>
  <si>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</si>
  <si>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</si>
  <si>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</si>
  <si>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</si>
  <si>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</si>
  <si>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</si>
  <si>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</si>
  <si>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</si>
  <si>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</si>
  <si>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</si>
  <si>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</si>
  <si>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</si>
  <si>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</si>
  <si>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</si>
  <si>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</si>
  <si>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</si>
  <si>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</si>
  <si>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</si>
  <si>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</si>
  <si>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</si>
  <si>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</si>
  <si>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</si>
  <si>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</si>
  <si>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</si>
  <si>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</si>
  <si>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</si>
  <si>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</si>
  <si>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</si>
  <si>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</si>
  <si>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</si>
  <si>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</si>
  <si>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</si>
  <si>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</si>
  <si>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</si>
  <si>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</si>
  <si>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</si>
  <si>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</si>
  <si>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</si>
  <si>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</si>
  <si>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</si>
  <si>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</si>
  <si>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</si>
  <si>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</si>
  <si>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</si>
  <si>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</si>
  <si>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</si>
  <si>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</si>
  <si>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</si>
  <si>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</si>
  <si>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</si>
  <si>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</si>
  <si>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</si>
  <si>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</si>
  <si>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</si>
  <si>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</si>
  <si>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</si>
  <si>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</si>
  <si>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</si>
  <si>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</si>
  <si>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</si>
  <si>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</si>
  <si>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</si>
  <si>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</si>
  <si>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</si>
  <si>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</si>
  <si>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</si>
  <si>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</si>
  <si>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</si>
  <si>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</si>
  <si>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</si>
  <si>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</si>
  <si>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</si>
  <si>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</si>
  <si>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</si>
  <si>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</si>
  <si>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</si>
  <si>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</si>
  <si>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</si>
  <si>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</si>
  <si>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</si>
  <si>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</si>
  <si>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</si>
  <si>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</si>
  <si>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</si>
  <si>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</si>
  <si>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</si>
  <si>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</si>
  <si>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</si>
  <si>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</si>
  <si>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</si>
  <si>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</si>
  <si>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</si>
  <si>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</si>
  <si>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</si>
  <si>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</si>
  <si>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</si>
  <si>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</si>
  <si>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</si>
  <si>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</si>
  <si>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</si>
  <si>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</si>
  <si>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</si>
  <si>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</si>
  <si>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</si>
  <si>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</si>
  <si>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</si>
  <si>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</si>
  <si>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</si>
  <si>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</si>
  <si>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</si>
  <si>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</si>
  <si>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</si>
  <si>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</si>
  <si>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</si>
  <si>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</si>
  <si>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</si>
  <si>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</si>
  <si>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</si>
  <si>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</si>
  <si>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</si>
  <si>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</si>
  <si>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</si>
  <si>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</si>
  <si>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</si>
  <si>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</si>
  <si>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</si>
  <si>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</si>
  <si>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</si>
  <si>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</si>
  <si>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</si>
  <si>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</si>
  <si>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</si>
  <si>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</si>
  <si>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</si>
  <si>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</si>
  <si>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</si>
  <si>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</si>
  <si>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</si>
  <si>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</si>
  <si>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</si>
  <si>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</si>
  <si>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</si>
  <si>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</si>
  <si>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</si>
  <si>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</si>
  <si>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</si>
  <si>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</si>
  <si>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</si>
  <si>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</si>
  <si>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</si>
  <si>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</si>
  <si>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</si>
  <si>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</si>
  <si>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</si>
  <si>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</si>
  <si>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</si>
  <si>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</si>
  <si>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</si>
  <si>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</si>
  <si>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</si>
  <si>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</si>
  <si>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</si>
  <si>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</si>
  <si>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</si>
  <si>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</si>
  <si>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</si>
  <si>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</si>
  <si>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</si>
  <si>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</si>
  <si>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</si>
  <si>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</si>
  <si>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</si>
  <si>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</si>
  <si>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</si>
  <si>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</si>
  <si>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</si>
  <si>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</si>
  <si>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</si>
  <si>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</si>
  <si>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</si>
  <si>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</si>
  <si>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</si>
  <si>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</si>
  <si>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</si>
  <si>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</si>
  <si>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</si>
  <si>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</si>
  <si>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</si>
  <si>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</si>
  <si>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</si>
  <si>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</si>
  <si>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</si>
  <si>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</si>
  <si>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</si>
  <si>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</si>
  <si>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</si>
  <si>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</si>
  <si>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</si>
  <si>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</si>
  <si>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</si>
  <si>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</si>
  <si>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</si>
  <si>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</si>
  <si>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</si>
  <si>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</si>
  <si>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</si>
  <si>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</si>
  <si>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</si>
  <si>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</si>
  <si>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</si>
  <si>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</si>
  <si>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</si>
  <si>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</si>
  <si>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</si>
  <si>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</si>
  <si>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</si>
  <si>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</si>
  <si>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</si>
  <si>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</si>
  <si>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</si>
  <si>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</si>
  <si>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</si>
  <si>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</si>
  <si>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</si>
  <si>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</si>
  <si>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</si>
  <si>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</si>
  <si>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</si>
  <si>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</si>
  <si>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</si>
  <si>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</si>
  <si>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</si>
  <si>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</si>
  <si>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</si>
  <si>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</si>
  <si>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</si>
  <si>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</si>
  <si>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</si>
  <si>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</si>
  <si>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</si>
  <si>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</si>
  <si>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</si>
  <si>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</si>
  <si>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</si>
  <si>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</si>
  <si>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</si>
  <si>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</si>
  <si>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</si>
  <si>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</si>
  <si>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</si>
  <si>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</si>
  <si>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</si>
  <si>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</si>
  <si>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</si>
  <si>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</si>
  <si>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</si>
  <si>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</si>
  <si>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</si>
  <si>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</si>
  <si>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</si>
  <si>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</si>
  <si>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</si>
  <si>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</si>
  <si>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</si>
  <si>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</si>
  <si>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</si>
  <si>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</si>
  <si>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</si>
  <si>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</si>
  <si>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</si>
  <si>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</si>
  <si>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</si>
  <si>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</si>
  <si>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</si>
  <si>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</si>
  <si>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</si>
  <si>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</si>
  <si>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</si>
  <si>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</si>
  <si>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</si>
  <si>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</si>
  <si>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</si>
  <si>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</si>
  <si>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</si>
  <si>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</si>
  <si>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</si>
  <si>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</si>
  <si>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</si>
  <si>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</si>
  <si>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</si>
  <si>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</si>
  <si>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</si>
  <si>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</si>
  <si>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</si>
  <si>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</si>
  <si>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</si>
  <si>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</si>
  <si>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</si>
  <si>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</si>
  <si>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</si>
  <si>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</si>
  <si>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</si>
  <si>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</si>
  <si>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</si>
  <si>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</si>
  <si>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</si>
  <si>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</si>
  <si>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</si>
  <si>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</si>
  <si>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</si>
  <si>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</si>
  <si>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</si>
  <si>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</si>
  <si>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</si>
  <si>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</si>
  <si>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</si>
  <si>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</si>
  <si>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</si>
  <si>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</si>
  <si>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</si>
  <si>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</si>
  <si>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</si>
  <si>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</si>
  <si>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</si>
  <si>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</si>
  <si>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</si>
  <si>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</si>
  <si>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</si>
  <si>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</si>
  <si>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</si>
  <si>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</si>
  <si>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</si>
  <si>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</si>
  <si>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</si>
  <si>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</si>
  <si>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</si>
  <si>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</si>
  <si>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</si>
  <si>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</si>
  <si>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</si>
  <si>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</si>
  <si>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</si>
  <si>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</si>
  <si>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</si>
  <si>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</si>
  <si>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</si>
  <si>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</si>
  <si>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</si>
  <si>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</si>
  <si>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</si>
  <si>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</si>
  <si>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</si>
  <si>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</si>
  <si>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</si>
  <si>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</si>
  <si>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</si>
  <si>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</si>
  <si>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</si>
  <si>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</si>
  <si>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</si>
  <si>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</si>
  <si>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</si>
  <si>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</si>
  <si>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</si>
  <si>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</si>
  <si>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</si>
  <si>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</si>
  <si>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</si>
  <si>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</si>
  <si>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</si>
  <si>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</si>
  <si>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</si>
  <si>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</si>
  <si>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</si>
  <si>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</si>
  <si>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</si>
  <si>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</si>
  <si>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</si>
  <si>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</si>
  <si>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</si>
  <si>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</si>
  <si>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</si>
  <si>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</si>
  <si>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</si>
  <si>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</si>
  <si>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</si>
  <si>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</si>
  <si>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</si>
  <si>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</si>
  <si>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</si>
  <si>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</si>
  <si>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</si>
  <si>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</si>
  <si>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</si>
  <si>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</si>
  <si>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</si>
  <si>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</si>
  <si>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</si>
  <si>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</si>
  <si>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</si>
  <si>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</si>
  <si>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</si>
  <si>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</si>
  <si>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</si>
  <si>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</si>
  <si>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</si>
  <si>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</si>
  <si>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</si>
  <si>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</si>
  <si>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</si>
  <si>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</si>
  <si>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</si>
  <si>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</si>
  <si>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</si>
  <si>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</si>
  <si>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</si>
  <si>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</si>
  <si>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</si>
  <si>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</si>
  <si>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</si>
  <si>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</si>
  <si>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</si>
  <si>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</si>
  <si>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</si>
  <si>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</si>
  <si>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</si>
  <si>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</si>
  <si>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</si>
  <si>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</si>
  <si>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</si>
  <si>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</si>
  <si>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</si>
  <si>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</si>
  <si>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</si>
  <si>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</si>
  <si>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</si>
  <si>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</si>
  <si>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</si>
  <si>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</si>
  <si>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</si>
  <si>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</si>
  <si>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</si>
  <si>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</si>
  <si>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</si>
  <si>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</si>
  <si>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</si>
  <si>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</si>
  <si>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</si>
  <si>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</si>
  <si>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</si>
  <si>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</si>
  <si>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</si>
  <si>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</si>
  <si>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</si>
  <si>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</si>
  <si>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</si>
  <si>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</si>
  <si>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</si>
  <si>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</si>
  <si>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</si>
  <si>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</si>
  <si>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</si>
  <si>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</si>
  <si>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</si>
  <si>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</si>
  <si>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</si>
  <si>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</si>
  <si>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</si>
  <si>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</si>
  <si>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</si>
  <si>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</si>
  <si>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</si>
  <si>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</si>
  <si>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</si>
  <si>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</si>
  <si>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</si>
  <si>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</si>
  <si>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</si>
  <si>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</si>
  <si>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</si>
  <si>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</si>
  <si>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</si>
  <si>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</si>
  <si>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</si>
  <si>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</si>
  <si>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</si>
  <si>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</si>
  <si>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</si>
  <si>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</si>
  <si>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</si>
  <si>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</si>
  <si>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</si>
  <si>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</si>
  <si>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</si>
  <si>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</si>
  <si>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</si>
  <si>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</si>
  <si>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</si>
  <si>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</si>
  <si>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</si>
  <si>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</si>
  <si>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</si>
  <si>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</si>
  <si>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</si>
  <si>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</si>
  <si>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</si>
  <si>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</si>
  <si>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</si>
  <si>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</si>
  <si>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</si>
  <si>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</si>
  <si>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</si>
  <si>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</si>
  <si>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</si>
  <si>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</si>
  <si>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</si>
  <si>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</si>
  <si>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</si>
  <si>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</si>
  <si>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</si>
  <si>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</si>
  <si>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</si>
  <si>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</si>
  <si>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</si>
  <si>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</si>
  <si>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</si>
  <si>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</si>
  <si>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</si>
  <si>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</si>
  <si>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</si>
  <si>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</si>
  <si>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</si>
  <si>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</si>
  <si>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</si>
  <si>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</si>
  <si>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</si>
  <si>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</si>
  <si>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</si>
  <si>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</si>
  <si>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</si>
  <si>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</si>
  <si>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</si>
  <si>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</si>
  <si>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</si>
  <si>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</si>
  <si>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</si>
  <si>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</si>
  <si>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</si>
  <si>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</si>
  <si>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</si>
  <si>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</si>
  <si>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</si>
  <si>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</si>
  <si>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</si>
  <si>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</si>
  <si>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</si>
  <si>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</si>
  <si>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</si>
  <si>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</si>
  <si>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</si>
  <si>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</si>
  <si>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</si>
  <si>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</si>
  <si>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</si>
  <si>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</si>
  <si>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</si>
  <si>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</si>
  <si>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</si>
  <si>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</si>
  <si>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</si>
  <si>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</si>
  <si>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</si>
  <si>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</si>
  <si>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</si>
  <si>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</si>
  <si>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</si>
  <si>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</si>
  <si>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</si>
  <si>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</si>
  <si>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</si>
  <si>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</si>
  <si>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</si>
  <si>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</si>
  <si>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</si>
  <si>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</si>
  <si>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</si>
  <si>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</si>
  <si>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</si>
  <si>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</si>
  <si>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</si>
  <si>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</si>
  <si>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</si>
  <si>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</si>
  <si>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</si>
  <si>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</si>
  <si>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</si>
  <si>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</si>
  <si>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</si>
  <si>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</si>
  <si>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</si>
  <si>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</si>
  <si>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</si>
  <si>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</si>
  <si>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</si>
  <si>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</si>
  <si>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</si>
  <si>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</si>
  <si>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</si>
  <si>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</si>
  <si>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</si>
  <si>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</si>
  <si>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</si>
  <si>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</si>
  <si>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</si>
  <si>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</si>
  <si>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</si>
  <si>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</si>
  <si>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</si>
  <si>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</si>
  <si>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</si>
  <si>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</si>
  <si>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</si>
  <si>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</si>
  <si>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</si>
  <si>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</si>
  <si>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</si>
  <si>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</si>
  <si>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</si>
  <si>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</si>
  <si>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</si>
  <si>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</si>
  <si>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</si>
  <si>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</si>
  <si>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</si>
  <si>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</si>
  <si>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</si>
  <si>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</si>
  <si>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</si>
  <si>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</si>
  <si>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</si>
  <si>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</si>
  <si>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</si>
  <si>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</si>
  <si>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</si>
  <si>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</si>
  <si>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</si>
  <si>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</si>
  <si>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</si>
  <si>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</si>
  <si>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</si>
  <si>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</si>
  <si>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</si>
  <si>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</si>
  <si>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</si>
  <si>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</si>
  <si>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</si>
  <si>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</si>
  <si>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</si>
  <si>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</si>
  <si>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</si>
  <si>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</si>
  <si>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</si>
  <si>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</si>
  <si>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</si>
  <si>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</si>
  <si>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</si>
  <si>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</si>
  <si>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</si>
  <si>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</si>
  <si>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</si>
  <si>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</si>
  <si>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</si>
  <si>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</si>
  <si>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</si>
  <si>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</si>
  <si>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</si>
  <si>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</si>
  <si>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</si>
  <si>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</si>
  <si>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</si>
  <si>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</si>
  <si>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</si>
  <si>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</si>
  <si>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</si>
  <si>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</si>
  <si>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</si>
  <si>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</si>
  <si>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</si>
  <si>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</si>
  <si>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</si>
  <si>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</si>
  <si>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</si>
  <si>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</si>
  <si>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</si>
  <si>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</si>
  <si>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</si>
  <si>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</si>
  <si>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</si>
  <si>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</si>
  <si>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</si>
  <si>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</si>
  <si>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</si>
  <si>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</si>
  <si>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</si>
  <si>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</si>
  <si>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</si>
  <si>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</si>
  <si>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</si>
  <si>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</si>
  <si>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</si>
  <si>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</si>
  <si>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</si>
  <si>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</si>
  <si>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</si>
  <si>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</si>
  <si>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</si>
  <si>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</si>
  <si>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</si>
  <si>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</si>
  <si>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</si>
  <si>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</si>
  <si>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</si>
  <si>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</si>
  <si>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</si>
  <si>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</si>
  <si>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</si>
  <si>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</si>
  <si>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</si>
  <si>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</si>
  <si>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</si>
  <si>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</si>
  <si>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</si>
  <si>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</si>
  <si>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</si>
  <si>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</si>
  <si>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</si>
  <si>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</si>
  <si>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</si>
  <si>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</si>
  <si>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</si>
  <si>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</si>
  <si>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</si>
  <si>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</si>
  <si>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</si>
  <si>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</si>
  <si>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</si>
  <si>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</si>
  <si>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</si>
  <si>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</si>
  <si>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</si>
  <si>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</si>
  <si>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</si>
  <si>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</si>
  <si>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</si>
  <si>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</si>
  <si>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</si>
  <si>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</si>
  <si>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</si>
  <si>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</si>
  <si>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</si>
  <si>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</si>
  <si>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</si>
  <si>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</si>
  <si>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</si>
  <si>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</si>
  <si>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</si>
  <si>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</si>
  <si>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</si>
  <si>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</si>
  <si>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</si>
  <si>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</si>
  <si>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</si>
  <si>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</si>
  <si>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</si>
  <si>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</si>
  <si>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</si>
  <si>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</si>
  <si>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</si>
  <si>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</si>
  <si>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</si>
  <si>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</si>
  <si>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</si>
  <si>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</si>
  <si>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</si>
  <si>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</si>
  <si>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</si>
  <si>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</si>
  <si>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</si>
  <si>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</si>
  <si>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</si>
  <si>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</si>
  <si>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</si>
  <si>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</si>
  <si>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</si>
  <si>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</si>
  <si>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</si>
  <si>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</si>
  <si>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</si>
  <si>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</si>
  <si>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</si>
  <si>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</si>
  <si>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</si>
  <si>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</si>
  <si>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</si>
  <si>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</si>
  <si>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</si>
  <si>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</si>
  <si>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</si>
  <si>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</si>
  <si>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</si>
  <si>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</si>
  <si>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</si>
  <si>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</si>
  <si>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</si>
  <si>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</si>
  <si>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</si>
  <si>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</si>
  <si>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</si>
  <si>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</si>
  <si>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</si>
  <si>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</si>
  <si>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</si>
  <si>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</si>
  <si>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</si>
  <si>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</si>
  <si>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</si>
  <si>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</si>
  <si>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</si>
  <si>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</si>
  <si>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</si>
  <si>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</si>
  <si>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</si>
  <si>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</si>
  <si>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</si>
  <si>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</si>
  <si>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</si>
  <si>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</si>
  <si>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</si>
  <si>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</si>
  <si>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</si>
  <si>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</si>
  <si>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</si>
  <si>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</si>
  <si>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</si>
  <si>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</si>
  <si>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</si>
  <si>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</si>
  <si>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</si>
  <si>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</si>
  <si>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</si>
  <si>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</si>
  <si>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</si>
  <si>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</si>
  <si>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</si>
  <si>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</si>
  <si>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</si>
  <si>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</si>
  <si>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</si>
  <si>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</si>
  <si>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</si>
  <si>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</si>
  <si>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</si>
  <si>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</si>
  <si>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</si>
  <si>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</si>
  <si>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</si>
  <si>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</si>
  <si>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</si>
  <si>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</si>
  <si>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</si>
  <si>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</si>
  <si>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</si>
  <si>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</si>
  <si>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</si>
  <si>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</si>
  <si>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</si>
  <si>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</si>
  <si>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</si>
  <si>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</si>
  <si>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</si>
  <si>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</si>
  <si>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</si>
  <si>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</si>
  <si>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</si>
  <si>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</si>
  <si>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</si>
  <si>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</si>
  <si>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</si>
  <si>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</si>
  <si>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</si>
  <si>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</si>
  <si>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</si>
  <si>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</si>
  <si>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</si>
  <si>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</si>
  <si>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</si>
  <si>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</si>
  <si>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</si>
  <si>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</si>
  <si>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</si>
  <si>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</si>
  <si>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</si>
  <si>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</si>
  <si>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</si>
  <si>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</si>
  <si>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</si>
  <si>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</si>
  <si>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</si>
  <si>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</si>
  <si>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</si>
  <si>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</si>
  <si>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</si>
  <si>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</si>
  <si>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</si>
  <si>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</si>
  <si>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</si>
  <si>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</si>
  <si>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</si>
  <si>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</si>
  <si>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</si>
  <si>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</si>
  <si>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</si>
  <si>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</si>
  <si>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</si>
  <si>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</si>
  <si>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</si>
  <si>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</si>
  <si>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</si>
  <si>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</si>
  <si>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</si>
  <si>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</si>
  <si>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</si>
  <si>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</si>
  <si>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</si>
  <si>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</si>
  <si>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</si>
  <si>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</si>
  <si>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</si>
  <si>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</si>
  <si>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</si>
  <si>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</si>
  <si>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</si>
  <si>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</si>
  <si>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</si>
  <si>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</si>
  <si>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</si>
  <si>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</si>
  <si>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</si>
  <si>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</si>
  <si>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</si>
  <si>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</si>
  <si>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</si>
  <si>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</si>
  <si>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</si>
  <si>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</si>
  <si>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</si>
  <si>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</si>
  <si>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</si>
  <si>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</si>
  <si>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</si>
  <si>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</si>
  <si>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</si>
  <si>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</si>
  <si>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</si>
  <si>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</si>
  <si>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</si>
  <si>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</si>
  <si>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</si>
  <si>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</si>
  <si>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</si>
  <si>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</si>
  <si>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</si>
  <si>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</si>
  <si>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</si>
  <si>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</si>
  <si>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</si>
  <si>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</si>
  <si>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</si>
  <si>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</si>
  <si>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</si>
  <si>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</si>
  <si>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</si>
  <si>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</si>
  <si>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</si>
  <si>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</si>
  <si>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</si>
  <si>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</si>
  <si>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</si>
  <si>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</si>
  <si>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</si>
  <si>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</si>
  <si>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</si>
  <si>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</si>
  <si>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</si>
  <si>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</si>
  <si>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</si>
  <si>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</si>
  <si>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</si>
  <si>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</si>
  <si>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</si>
  <si>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</si>
  <si>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</si>
  <si>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</si>
  <si>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</si>
  <si>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</si>
  <si>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</si>
  <si>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</si>
  <si>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</si>
  <si>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</si>
  <si>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</si>
  <si>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</si>
  <si>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</si>
  <si>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</si>
  <si>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</si>
  <si>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</si>
  <si>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</si>
  <si>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</si>
  <si>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</si>
  <si>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</si>
  <si>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</si>
  <si>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</si>
  <si>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</si>
  <si>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</si>
  <si>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</si>
  <si>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</si>
  <si>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</si>
  <si>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</si>
  <si>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</si>
  <si>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</si>
  <si>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</si>
  <si>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</si>
  <si>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</si>
  <si>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</si>
  <si>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</si>
  <si>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</si>
  <si>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</si>
  <si>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</si>
  <si>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</si>
  <si>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</si>
  <si>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</si>
  <si>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</si>
  <si>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</si>
  <si>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</si>
  <si>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</si>
  <si>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</si>
  <si>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</si>
  <si>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</si>
  <si>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</si>
  <si>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</si>
  <si>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</si>
  <si>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</si>
  <si>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</si>
  <si>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</si>
  <si>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</si>
  <si>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</si>
  <si>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</si>
  <si>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</si>
  <si>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</si>
  <si>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</si>
  <si>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</si>
  <si>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</si>
  <si>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</si>
  <si>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</si>
  <si>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</si>
  <si>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</si>
  <si>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</si>
  <si>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</si>
  <si>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</si>
  <si>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</si>
  <si>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</si>
  <si>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</si>
  <si>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</si>
  <si>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</si>
  <si>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</si>
  <si>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</si>
  <si>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</si>
  <si>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</si>
  <si>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</si>
  <si>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</si>
  <si>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</si>
  <si>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</si>
  <si>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</si>
  <si>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</si>
  <si>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</si>
  <si>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</si>
  <si>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</si>
  <si>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</si>
  <si>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</si>
  <si>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</si>
  <si>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</si>
  <si>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</si>
  <si>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</si>
  <si>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</si>
  <si>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</si>
  <si>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</si>
  <si>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</si>
  <si>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</si>
  <si>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</si>
  <si>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</si>
  <si>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</si>
  <si>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</si>
  <si>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</si>
  <si>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</si>
  <si>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</si>
  <si>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</si>
  <si>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</si>
  <si>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</si>
  <si>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</si>
  <si>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</si>
  <si>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</si>
  <si>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</si>
  <si>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</si>
  <si>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</si>
  <si>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</si>
  <si>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</si>
  <si>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</si>
  <si>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</si>
  <si>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</si>
  <si>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</si>
  <si>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</si>
  <si>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</si>
  <si>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</si>
  <si>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</si>
  <si>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</si>
  <si>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</si>
  <si>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</si>
  <si>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</si>
  <si>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</si>
  <si>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</si>
  <si>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</si>
  <si>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</si>
  <si>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</si>
  <si>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</si>
  <si>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</si>
  <si>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</si>
  <si>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</si>
  <si>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</si>
  <si>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</si>
  <si>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</si>
  <si>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</si>
  <si>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</si>
  <si>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</si>
  <si>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</si>
  <si>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</si>
  <si>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</si>
  <si>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</si>
  <si>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</si>
  <si>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</si>
  <si>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</si>
  <si>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</si>
  <si>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</si>
  <si>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</si>
  <si>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</si>
  <si>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</si>
  <si>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</si>
  <si>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</si>
  <si>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</si>
  <si>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</si>
  <si>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</si>
  <si>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</si>
  <si>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</si>
  <si>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</si>
  <si>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</si>
  <si>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</si>
  <si>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</si>
  <si>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</si>
  <si>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</si>
  <si>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</si>
  <si>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</si>
  <si>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</si>
  <si>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</si>
  <si>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</si>
  <si>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</si>
  <si>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</si>
  <si>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</si>
  <si>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</si>
  <si>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</si>
  <si>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</si>
  <si>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</si>
  <si>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</si>
  <si>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</si>
  <si>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</si>
  <si>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</si>
  <si>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</si>
  <si>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</si>
  <si>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</si>
  <si>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</si>
  <si>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</si>
  <si>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</si>
  <si>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</si>
  <si>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</si>
  <si>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</si>
  <si>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</si>
  <si>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</si>
  <si>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</si>
  <si>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</si>
  <si>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</si>
  <si>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</si>
  <si>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</si>
  <si>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</si>
  <si>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</si>
  <si>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</si>
  <si>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</si>
  <si>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</si>
  <si>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</si>
  <si>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</si>
  <si>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</si>
  <si>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</si>
  <si>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</si>
  <si>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</si>
  <si>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</si>
  <si>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</si>
  <si>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</si>
  <si>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</si>
  <si>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</si>
  <si>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</si>
  <si>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</si>
  <si>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</si>
  <si>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</si>
  <si>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</si>
  <si>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</si>
  <si>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</si>
  <si>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</si>
  <si>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</si>
  <si>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</si>
  <si>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</si>
  <si>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</si>
  <si>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</si>
  <si>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</si>
  <si>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</si>
  <si>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</si>
  <si>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</si>
  <si>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</si>
  <si>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</si>
  <si>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</si>
  <si>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</si>
  <si>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</si>
  <si>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</si>
  <si>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</si>
  <si>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</si>
  <si>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</si>
  <si>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</si>
  <si>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</si>
  <si>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</si>
  <si>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</si>
  <si>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</si>
  <si>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</si>
  <si>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</si>
  <si>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</si>
  <si>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</si>
  <si>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</si>
  <si>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</si>
  <si>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</si>
  <si>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</si>
  <si>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</si>
  <si>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</si>
  <si>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</si>
  <si>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</si>
  <si>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</si>
  <si>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</si>
  <si>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</si>
  <si>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</si>
  <si>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</si>
  <si>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</si>
  <si>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</si>
  <si>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</si>
  <si>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</si>
  <si>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</si>
  <si>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</si>
  <si>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</si>
  <si>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</si>
  <si>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</si>
  <si>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</si>
  <si>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</si>
  <si>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</si>
  <si>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</si>
  <si>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</si>
  <si>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</si>
  <si>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</si>
  <si>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</si>
  <si>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</si>
  <si>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</si>
  <si>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</si>
  <si>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</si>
  <si>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</si>
  <si>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</si>
  <si>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</si>
  <si>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</si>
  <si>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</si>
  <si>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</si>
  <si>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</si>
  <si>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</si>
  <si>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</si>
  <si>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</si>
  <si>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</si>
  <si>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</si>
  <si>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</si>
  <si>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</si>
  <si>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</si>
  <si>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</si>
  <si>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</si>
  <si>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</si>
  <si>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</si>
  <si>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</si>
  <si>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</si>
  <si>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</si>
  <si>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</si>
  <si>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</si>
  <si>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</si>
  <si>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</si>
  <si>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</si>
  <si>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</si>
  <si>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</si>
  <si>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</si>
  <si>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</si>
  <si>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</si>
  <si>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</si>
  <si>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</si>
  <si>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</si>
  <si>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</si>
  <si>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</si>
  <si>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</si>
  <si>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</si>
  <si>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</si>
  <si>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</si>
  <si>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</si>
  <si>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</si>
  <si>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</si>
  <si>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</si>
  <si>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</si>
  <si>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</si>
  <si>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</si>
  <si>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</si>
  <si>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</si>
  <si>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</si>
  <si>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</si>
  <si>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</si>
  <si>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</si>
  <si>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</si>
  <si>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</si>
  <si>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</si>
  <si>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</si>
  <si>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</si>
  <si>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</si>
  <si>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</si>
  <si>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</si>
  <si>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</si>
  <si>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</si>
  <si>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</si>
  <si>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</si>
  <si>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</si>
  <si>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</si>
  <si>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</si>
  <si>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</si>
  <si>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</si>
  <si>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</si>
  <si>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</si>
  <si>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</si>
  <si>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</si>
  <si>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</si>
  <si>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</si>
  <si>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</si>
  <si>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</si>
  <si>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</si>
  <si>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</si>
  <si>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</si>
  <si>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</si>
  <si>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</si>
  <si>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</si>
  <si>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</si>
  <si>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</si>
  <si>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</si>
  <si>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</si>
  <si>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</si>
  <si>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</si>
  <si>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</si>
  <si>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</si>
  <si>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</si>
  <si>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</si>
  <si>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</si>
  <si>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</si>
  <si>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</si>
  <si>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</si>
  <si>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</si>
  <si>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</si>
  <si>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</si>
  <si>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</si>
  <si>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</si>
  <si>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</si>
  <si>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</si>
  <si>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</si>
  <si>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</si>
  <si>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</si>
  <si>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</si>
  <si>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</si>
  <si>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</si>
  <si>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</si>
  <si>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</si>
  <si>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</si>
  <si>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</si>
  <si>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</si>
  <si>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</si>
  <si>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</si>
  <si>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</si>
  <si>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</si>
  <si>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</si>
  <si>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</si>
  <si>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</si>
  <si>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</si>
  <si>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</si>
  <si>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</si>
  <si>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</si>
  <si>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</si>
  <si>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</si>
  <si>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</si>
  <si>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</si>
  <si>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</si>
  <si>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</si>
  <si>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</si>
  <si>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</si>
  <si>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</si>
  <si>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</si>
  <si>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</si>
  <si>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</si>
  <si>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</si>
  <si>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</si>
  <si>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</si>
  <si>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</si>
  <si>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</si>
  <si>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</si>
  <si>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</si>
  <si>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</si>
  <si>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</si>
  <si>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</si>
  <si>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</si>
  <si>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</si>
  <si>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</si>
  <si>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</si>
  <si>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</si>
  <si>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</si>
  <si>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</si>
  <si>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</si>
  <si>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</si>
  <si>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</si>
  <si>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</si>
  <si>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</si>
  <si>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</si>
  <si>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</si>
  <si>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</si>
  <si>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</si>
  <si>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</si>
  <si>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</si>
  <si>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</si>
  <si>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</si>
  <si>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</si>
  <si>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</si>
  <si>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</si>
  <si>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</si>
  <si>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</si>
  <si>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</si>
  <si>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</si>
  <si>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</si>
  <si>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</si>
  <si>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</si>
  <si>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</si>
  <si>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</si>
  <si>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</si>
  <si>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</si>
  <si>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</si>
  <si>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</si>
  <si>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</si>
  <si>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</si>
  <si>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</si>
  <si>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</si>
  <si>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</si>
  <si>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</si>
  <si>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</si>
  <si>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</si>
  <si>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</si>
  <si>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</si>
  <si>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</si>
  <si>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</si>
  <si>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</si>
  <si>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</si>
  <si>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</si>
  <si>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</si>
  <si>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</si>
  <si>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</si>
  <si>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</si>
  <si>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</si>
  <si>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</si>
  <si>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</si>
  <si>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</si>
  <si>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</si>
  <si>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</si>
  <si>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</si>
  <si>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</si>
  <si>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</si>
  <si>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</si>
  <si>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</si>
  <si>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</si>
  <si>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</si>
  <si>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</si>
  <si>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</si>
  <si>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</si>
  <si>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</si>
  <si>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</si>
  <si>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</si>
  <si>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</si>
  <si>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</si>
  <si>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</si>
  <si>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</si>
  <si>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</si>
  <si>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</si>
  <si>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</si>
  <si>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</si>
  <si>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</si>
  <si>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</si>
  <si>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</si>
  <si>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</si>
  <si>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</si>
  <si>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</si>
  <si>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</si>
  <si>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</si>
  <si>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</si>
  <si>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</si>
  <si>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</si>
  <si>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</si>
  <si>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</si>
  <si>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</si>
  <si>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</si>
  <si>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</si>
  <si>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</si>
  <si>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</si>
  <si>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</si>
  <si>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</si>
  <si>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</si>
  <si>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</si>
  <si>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</si>
  <si>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</si>
  <si>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</si>
  <si>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</si>
  <si>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</si>
  <si>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</si>
  <si>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</si>
  <si>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</si>
  <si>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</si>
  <si>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</si>
  <si>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</si>
  <si>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</si>
  <si>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</si>
  <si>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</si>
  <si>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</si>
  <si>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</si>
  <si>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</si>
  <si>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</si>
  <si>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</si>
  <si>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</si>
  <si>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</si>
  <si>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</si>
  <si>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</si>
  <si>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</si>
  <si>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</si>
  <si>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</si>
  <si>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</si>
  <si>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</si>
  <si>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</si>
  <si>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</si>
  <si>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</si>
  <si>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</si>
  <si>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</si>
  <si>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</si>
  <si>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</si>
  <si>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</si>
  <si>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</si>
  <si>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</si>
  <si>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</si>
  <si>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</si>
  <si>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</si>
  <si>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</si>
  <si>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</si>
  <si>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</si>
  <si>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</si>
  <si>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</si>
  <si>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</si>
  <si>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</si>
  <si>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</si>
  <si>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</si>
  <si>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</si>
  <si>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</si>
  <si>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</si>
  <si>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</si>
  <si>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</si>
  <si>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</si>
  <si>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</si>
  <si>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</si>
  <si>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</si>
  <si>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</si>
  <si>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</si>
  <si>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</si>
  <si>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</si>
  <si>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</si>
  <si>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</si>
  <si>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</si>
  <si>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</si>
  <si>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</si>
  <si>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</si>
  <si>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</si>
  <si>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</si>
  <si>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</si>
  <si>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</si>
  <si>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</si>
  <si>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</si>
  <si>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</si>
  <si>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</si>
  <si>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</si>
  <si>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</si>
  <si>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</si>
  <si>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</si>
  <si>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</si>
  <si>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</si>
  <si>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</si>
  <si>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</si>
  <si>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</si>
  <si>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</si>
  <si>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</si>
  <si>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</si>
  <si>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</si>
  <si>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</si>
  <si>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</si>
  <si>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</si>
  <si>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</si>
  <si>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</si>
  <si>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</si>
  <si>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</si>
  <si>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</si>
  <si>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</si>
  <si>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</si>
  <si>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</si>
  <si>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</si>
  <si>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</si>
  <si>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</si>
  <si>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</si>
  <si>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</si>
  <si>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</si>
  <si>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</si>
  <si>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</si>
  <si>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</si>
  <si>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</si>
  <si>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</si>
  <si>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</si>
  <si>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</si>
  <si>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</si>
  <si>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</si>
  <si>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</si>
  <si>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</si>
  <si>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</si>
  <si>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</si>
  <si>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</si>
  <si>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</si>
  <si>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</si>
  <si>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</si>
  <si>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</si>
  <si>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</si>
  <si>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</si>
  <si>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</si>
  <si>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</si>
  <si>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</si>
  <si>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</si>
  <si>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</si>
  <si>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</si>
  <si>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</si>
  <si>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</si>
  <si>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</si>
  <si>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</si>
  <si>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</si>
  <si>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</si>
  <si>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</si>
  <si>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</si>
  <si>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</si>
  <si>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</si>
  <si>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</si>
  <si>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</si>
  <si>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</si>
  <si>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</si>
  <si>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</si>
  <si>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</si>
  <si>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</si>
  <si>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</si>
  <si>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</si>
  <si>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</si>
  <si>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</si>
  <si>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</si>
  <si>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</si>
  <si>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</si>
  <si>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</si>
  <si>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</si>
  <si>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</si>
  <si>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</si>
  <si>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</si>
  <si>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</si>
  <si>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</si>
  <si>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</si>
  <si>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</si>
  <si>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</si>
  <si>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</si>
  <si>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</si>
  <si>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</si>
  <si>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</si>
  <si>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</si>
  <si>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</si>
  <si>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</si>
  <si>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</si>
  <si>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</si>
  <si>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</si>
  <si>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</si>
  <si>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</si>
  <si>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</si>
  <si>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</si>
  <si>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</si>
  <si>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</si>
  <si>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</si>
  <si>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</si>
  <si>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</si>
  <si>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</si>
  <si>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</si>
  <si>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</si>
  <si>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</si>
  <si>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</si>
  <si>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</si>
  <si>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</si>
  <si>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</si>
  <si>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</si>
  <si>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</si>
  <si>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</si>
  <si>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</si>
  <si>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</si>
  <si>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</si>
  <si>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</si>
  <si>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</si>
  <si>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</si>
  <si>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</si>
  <si>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</si>
  <si>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</si>
  <si>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</si>
  <si>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</si>
  <si>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</si>
  <si>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</si>
  <si>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</si>
  <si>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</si>
  <si>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</si>
  <si>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</si>
  <si>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</si>
  <si>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</si>
  <si>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</si>
  <si>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</si>
  <si>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</si>
  <si>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</si>
  <si>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</si>
  <si>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</si>
  <si>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</si>
  <si>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</si>
  <si>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</si>
  <si>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</si>
  <si>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</si>
  <si>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</si>
  <si>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</si>
  <si>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</si>
  <si>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</si>
  <si>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</si>
  <si>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</si>
  <si>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</si>
  <si>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</si>
  <si>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</si>
  <si>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</si>
  <si>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</si>
  <si>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</si>
  <si>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</si>
  <si>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</si>
  <si>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</si>
  <si>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</si>
  <si>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</si>
  <si>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</si>
  <si>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</si>
  <si>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</si>
  <si>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</si>
  <si>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</si>
  <si>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</si>
  <si>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</si>
  <si>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</si>
  <si>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</si>
  <si>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</si>
  <si>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</si>
  <si>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</si>
  <si>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</si>
  <si>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</si>
  <si>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</si>
  <si>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</si>
  <si>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</si>
  <si>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</si>
  <si>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</si>
  <si>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</si>
  <si>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</si>
  <si>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</si>
  <si>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</si>
  <si>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</si>
  <si>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</si>
  <si>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</si>
  <si>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</si>
  <si>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</si>
  <si>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</si>
  <si>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</si>
  <si>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</si>
  <si>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</si>
  <si>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</si>
  <si>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</si>
  <si>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</si>
  <si>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</si>
  <si>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</si>
  <si>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</si>
  <si>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</si>
  <si>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</si>
  <si>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</si>
  <si>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</si>
  <si>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</si>
  <si>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</si>
  <si>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</si>
  <si>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</si>
  <si>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</si>
  <si>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</si>
  <si>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</si>
  <si>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</si>
  <si>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</si>
  <si>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</si>
  <si>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</si>
  <si>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</si>
  <si>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</si>
  <si>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</si>
  <si>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</si>
  <si>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</si>
  <si>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</si>
  <si>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</si>
  <si>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</si>
  <si>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</si>
  <si>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</si>
  <si>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</si>
  <si>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</si>
  <si>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</si>
  <si>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</si>
  <si>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</si>
  <si>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</si>
  <si>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</si>
  <si>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</si>
  <si>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</si>
  <si>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</si>
  <si>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</si>
  <si>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</si>
  <si>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</si>
  <si>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</si>
  <si>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</si>
  <si>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</si>
  <si>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</si>
  <si>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</si>
  <si>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</si>
  <si>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</si>
  <si>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</si>
  <si>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</si>
  <si>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</si>
  <si>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</si>
  <si>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</si>
  <si>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</si>
  <si>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</si>
  <si>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</si>
  <si>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</si>
  <si>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</si>
  <si>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</si>
  <si>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</si>
  <si>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</si>
  <si>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</si>
  <si>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</si>
  <si>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</si>
  <si>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</si>
  <si>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</si>
  <si>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</si>
  <si>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</si>
  <si>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</si>
  <si>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</si>
  <si>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</si>
  <si>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</si>
  <si>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</si>
  <si>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</si>
  <si>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</si>
  <si>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</si>
  <si>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</si>
  <si>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</si>
  <si>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</si>
  <si>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</si>
  <si>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</si>
  <si>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</si>
  <si>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</si>
  <si>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</si>
  <si>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</si>
  <si>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</si>
  <si>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</si>
  <si>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</si>
  <si>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</si>
  <si>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</si>
  <si>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</si>
  <si>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</si>
  <si>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</si>
  <si>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</si>
  <si>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</si>
  <si>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</si>
  <si>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</si>
  <si>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</si>
  <si>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</si>
  <si>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</si>
  <si>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</si>
  <si>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</si>
  <si>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</si>
  <si>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</si>
  <si>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</si>
  <si>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</si>
  <si>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</si>
  <si>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</si>
  <si>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</si>
  <si>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</si>
  <si>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</si>
  <si>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</si>
  <si>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</si>
  <si>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</si>
  <si>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</si>
  <si>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</si>
  <si>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</si>
  <si>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</si>
  <si>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</si>
  <si>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</si>
  <si>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</si>
  <si>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</si>
  <si>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</si>
  <si>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</si>
  <si>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</si>
  <si>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</si>
  <si>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</si>
  <si>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</si>
  <si>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</si>
  <si>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</si>
  <si>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</si>
  <si>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</si>
  <si>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</si>
  <si>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</si>
  <si>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</si>
  <si>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</si>
  <si>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</si>
  <si>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</si>
  <si>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</si>
  <si>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</si>
  <si>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</si>
  <si>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</si>
  <si>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</si>
  <si>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</si>
  <si>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</si>
  <si>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</si>
  <si>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</si>
  <si>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</si>
  <si>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</si>
  <si>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</si>
  <si>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</si>
  <si>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</si>
  <si>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</si>
  <si>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</si>
  <si>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</si>
  <si>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</si>
  <si>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</si>
  <si>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</si>
  <si>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</si>
  <si>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</si>
  <si>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</si>
  <si>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</si>
  <si>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</si>
  <si>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</si>
  <si>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</si>
  <si>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</si>
  <si>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</si>
  <si>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</si>
  <si>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</si>
  <si>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</si>
  <si>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</si>
  <si>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</si>
  <si>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</si>
  <si>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</si>
  <si>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</si>
  <si>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</si>
  <si>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</si>
  <si>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</si>
  <si>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</si>
  <si>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</si>
  <si>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</si>
  <si>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</si>
  <si>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</si>
  <si>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</si>
  <si>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</si>
  <si>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</si>
  <si>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</si>
  <si>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</si>
  <si>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</si>
  <si>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</si>
  <si>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</si>
  <si>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</si>
  <si>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</si>
  <si>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</si>
  <si>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</si>
  <si>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</si>
  <si>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</si>
  <si>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</si>
  <si>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</si>
  <si>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</si>
  <si>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</si>
  <si>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</si>
  <si>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</si>
  <si>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</si>
  <si>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</si>
  <si>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</si>
  <si>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</si>
  <si>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</si>
  <si>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</si>
  <si>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</si>
  <si>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</si>
  <si>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</si>
  <si>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</si>
  <si>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</si>
  <si>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</si>
  <si>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</si>
  <si>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</si>
  <si>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</si>
  <si>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</si>
  <si>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</si>
  <si>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</si>
  <si>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</si>
  <si>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</si>
  <si>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</si>
  <si>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</si>
  <si>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</si>
  <si>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</si>
  <si>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</si>
  <si>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</si>
  <si>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</si>
  <si>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</si>
  <si>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</si>
  <si>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</si>
  <si>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</si>
  <si>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</si>
  <si>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</si>
  <si>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</si>
  <si>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</si>
  <si>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</si>
  <si>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</si>
  <si>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</si>
  <si>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</si>
  <si>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</si>
  <si>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</si>
  <si>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</si>
  <si>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</si>
  <si>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</si>
  <si>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</si>
  <si>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</si>
  <si>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</si>
  <si>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</si>
  <si>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</si>
  <si>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</si>
  <si>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</si>
  <si>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</si>
  <si>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</si>
  <si>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</si>
  <si>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</si>
  <si>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</si>
  <si>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</si>
  <si>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</si>
  <si>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</si>
  <si>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</si>
  <si>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</si>
  <si>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</si>
  <si>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</si>
  <si>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</si>
  <si>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</si>
  <si>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</si>
  <si>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</si>
  <si>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</si>
  <si>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</si>
  <si>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</si>
  <si>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</si>
  <si>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</si>
  <si>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</si>
  <si>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</si>
  <si>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</si>
  <si>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</si>
  <si>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</si>
  <si>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</si>
  <si>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</si>
  <si>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</si>
  <si>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</si>
  <si>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</si>
  <si>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</si>
  <si>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</si>
  <si>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</si>
  <si>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</si>
  <si>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</si>
  <si>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</si>
  <si>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</si>
  <si>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</si>
  <si>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</si>
  <si>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</si>
  <si>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</si>
  <si>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</si>
  <si>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</si>
  <si>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</si>
  <si>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</si>
  <si>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</si>
  <si>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</si>
  <si>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</si>
  <si>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</si>
  <si>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</si>
  <si>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</si>
  <si>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</si>
  <si>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</si>
  <si>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</si>
  <si>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</si>
  <si>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</si>
  <si>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</si>
  <si>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</si>
  <si>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</si>
  <si>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</si>
  <si>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</si>
  <si>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</si>
  <si>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</si>
  <si>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</si>
  <si>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</si>
  <si>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</si>
  <si>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</si>
  <si>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</si>
  <si>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</si>
  <si>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</si>
  <si>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</si>
  <si>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</si>
  <si>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</si>
  <si>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</si>
  <si>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</si>
  <si>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</si>
  <si>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</si>
  <si>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</si>
  <si>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</si>
  <si>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</si>
  <si>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</si>
  <si>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</si>
  <si>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</si>
  <si>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</si>
  <si>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</si>
  <si>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</si>
  <si>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</si>
  <si>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</si>
  <si>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</si>
  <si>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</si>
  <si>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</si>
  <si>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</si>
  <si>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</si>
  <si>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</si>
  <si>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</si>
  <si>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</si>
  <si>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</si>
  <si>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</si>
  <si>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</si>
  <si>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</si>
  <si>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</si>
  <si>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</si>
  <si>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</si>
  <si>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</si>
  <si>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</si>
  <si>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</si>
  <si>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</si>
  <si>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</si>
  <si>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</si>
  <si>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</si>
  <si>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</si>
  <si>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</si>
  <si>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</si>
  <si>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</si>
  <si>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</si>
  <si>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</si>
  <si>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</si>
  <si>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</si>
  <si>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</si>
  <si>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</si>
  <si>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</si>
  <si>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</si>
  <si>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</si>
  <si>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</si>
  <si>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</si>
  <si>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</si>
  <si>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</si>
  <si>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</si>
  <si>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</si>
  <si>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</si>
  <si>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</si>
  <si>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</si>
  <si>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</si>
  <si>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</si>
  <si>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</si>
  <si>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</si>
  <si>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</si>
  <si>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</si>
  <si>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</si>
  <si>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</si>
  <si>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</si>
  <si>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</si>
  <si>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</si>
  <si>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</si>
  <si>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</si>
  <si>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</si>
  <si>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</si>
  <si>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</si>
  <si>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</si>
  <si>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</si>
  <si>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</si>
  <si>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</si>
  <si>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</si>
  <si>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</si>
  <si>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</si>
  <si>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</si>
  <si>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</si>
  <si>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</si>
  <si>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</si>
  <si>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</si>
  <si>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</si>
  <si>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</si>
  <si>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</si>
  <si>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</si>
  <si>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</si>
  <si>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</si>
  <si>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</si>
  <si>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</si>
  <si>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</si>
  <si>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</si>
  <si>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</si>
  <si>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</si>
  <si>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</si>
  <si>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</si>
  <si>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</si>
  <si>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</si>
  <si>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</si>
  <si>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</si>
  <si>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</si>
  <si>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</si>
  <si>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</si>
  <si>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</si>
  <si>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</si>
  <si>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</si>
  <si>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</si>
  <si>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</si>
  <si>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</si>
  <si>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</si>
  <si>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</si>
  <si>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</si>
  <si>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</si>
  <si>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</si>
  <si>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</si>
  <si>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</si>
  <si>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</si>
  <si>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</si>
  <si>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</si>
  <si>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</si>
  <si>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</si>
  <si>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</si>
  <si>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</si>
  <si>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</si>
  <si>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</si>
  <si>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</si>
  <si>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</si>
  <si>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</si>
  <si>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</si>
  <si>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</si>
  <si>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</si>
  <si>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</si>
  <si>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</si>
  <si>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</si>
  <si>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</si>
  <si>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</si>
  <si>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</si>
  <si>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</si>
  <si>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</si>
  <si>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</si>
  <si>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</si>
  <si>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</si>
  <si>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</si>
  <si>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</si>
  <si>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</si>
  <si>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</si>
  <si>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</si>
  <si>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</si>
  <si>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</si>
  <si>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</si>
  <si>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</si>
  <si>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</si>
  <si>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</si>
  <si>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</si>
  <si>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</si>
  <si>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</si>
  <si>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</si>
  <si>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</si>
  <si>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</si>
  <si>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</si>
  <si>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</si>
  <si>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</si>
  <si>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</si>
  <si>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</si>
  <si>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</si>
  <si>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</si>
  <si>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</si>
  <si>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</si>
  <si>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</si>
  <si>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</si>
  <si>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</si>
  <si>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</si>
  <si>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</si>
  <si>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</si>
  <si>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</si>
  <si>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</si>
  <si>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</si>
  <si>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</si>
  <si>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</si>
  <si>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</si>
  <si>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</si>
  <si>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</si>
  <si>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</si>
  <si>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</si>
  <si>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</si>
  <si>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</si>
  <si>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</si>
  <si>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</si>
  <si>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</si>
  <si>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</si>
  <si>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</si>
  <si>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</si>
  <si>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</si>
  <si>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</si>
  <si>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</si>
  <si>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</si>
  <si>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</si>
  <si>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</si>
  <si>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</si>
  <si>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</si>
  <si>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</si>
  <si>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</si>
  <si>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</si>
  <si>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</si>
  <si>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</si>
  <si>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</si>
  <si>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</si>
  <si>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</si>
  <si>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</si>
  <si>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</si>
  <si>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</si>
  <si>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</si>
  <si>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</si>
  <si>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</si>
  <si>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</si>
  <si>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</si>
  <si>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</si>
  <si>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</si>
  <si>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</si>
  <si>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</si>
  <si>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</si>
  <si>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</si>
  <si>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</si>
  <si>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</si>
  <si>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</si>
  <si>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</si>
  <si>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</si>
  <si>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</si>
  <si>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</si>
  <si>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</si>
  <si>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</si>
  <si>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</si>
  <si>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</si>
  <si>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</si>
  <si>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</si>
  <si>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</si>
  <si>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</si>
  <si>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</si>
  <si>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</si>
  <si>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</si>
  <si>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</si>
  <si>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</si>
  <si>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</si>
  <si>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</si>
  <si>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</si>
  <si>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</si>
  <si>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</si>
  <si>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</si>
  <si>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</si>
  <si>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</si>
  <si>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</si>
  <si>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</si>
  <si>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</si>
  <si>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</si>
  <si>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</si>
  <si>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</si>
  <si>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</si>
  <si>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</si>
  <si>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</si>
  <si>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</si>
  <si>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</si>
  <si>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</si>
  <si>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</si>
  <si>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</si>
  <si>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</si>
  <si>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</si>
  <si>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</si>
  <si>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</si>
  <si>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</si>
  <si>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</si>
  <si>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</si>
  <si>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</si>
  <si>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</si>
  <si>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</si>
  <si>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</si>
  <si>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</si>
  <si>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</si>
  <si>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</si>
  <si>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</si>
  <si>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</si>
  <si>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</si>
  <si>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</si>
  <si>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</si>
  <si>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</si>
  <si>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</si>
  <si>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</si>
  <si>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</si>
  <si>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</si>
  <si>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</si>
  <si>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</si>
  <si>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</si>
  <si>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</si>
  <si>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</si>
  <si>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</si>
  <si>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</si>
  <si>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</si>
  <si>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</si>
  <si>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</si>
  <si>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</si>
  <si>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</si>
  <si>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</si>
  <si>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</si>
  <si>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</si>
  <si>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</si>
  <si>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</si>
  <si>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</si>
  <si>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</si>
  <si>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</si>
  <si>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</si>
  <si>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</si>
  <si>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</si>
  <si>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</si>
  <si>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</si>
  <si>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</si>
  <si>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</si>
  <si>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</si>
  <si>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</si>
  <si>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</si>
  <si>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</si>
  <si>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</si>
  <si>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</si>
  <si>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</si>
  <si>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</si>
  <si>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</si>
  <si>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</si>
  <si>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</si>
  <si>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</si>
  <si>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</si>
  <si>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</si>
  <si>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</si>
  <si>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</si>
  <si>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</si>
  <si>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</si>
  <si>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</si>
  <si>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</si>
  <si>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</si>
  <si>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</si>
  <si>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</si>
  <si>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</si>
  <si>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</si>
  <si>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</si>
  <si>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</si>
  <si>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</si>
  <si>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</si>
  <si>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</si>
  <si>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</si>
  <si>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</si>
  <si>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</si>
  <si>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</si>
  <si>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</si>
  <si>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</si>
  <si>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</si>
  <si>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</si>
  <si>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</si>
  <si>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</si>
  <si>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</si>
  <si>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</si>
  <si>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</si>
  <si>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</si>
  <si>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</si>
  <si>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</si>
  <si>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</si>
  <si>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</si>
  <si>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</si>
  <si>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</si>
  <si>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</si>
  <si>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</si>
  <si>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</si>
  <si>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</si>
  <si>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</si>
  <si>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</si>
  <si>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</si>
  <si>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</si>
  <si>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</si>
  <si>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</si>
  <si>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</si>
  <si>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</si>
  <si>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</si>
  <si>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</si>
  <si>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</si>
  <si>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</si>
  <si>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</si>
  <si>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</si>
  <si>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</si>
  <si>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</si>
  <si>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</si>
  <si>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</si>
  <si>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</si>
  <si>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</si>
  <si>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</si>
  <si>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</si>
  <si>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</si>
  <si>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</si>
  <si>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</si>
  <si>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</si>
  <si>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</si>
  <si>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</si>
  <si>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</si>
  <si>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</si>
  <si>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</si>
  <si>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</si>
  <si>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</si>
  <si>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</si>
  <si>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</si>
  <si>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</si>
  <si>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</si>
  <si>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</si>
  <si>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</si>
  <si>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</si>
  <si>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</si>
  <si>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</si>
  <si>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</si>
  <si>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</si>
  <si>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</si>
  <si>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</si>
  <si>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</si>
  <si>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</si>
  <si>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</si>
  <si>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</si>
  <si>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</si>
  <si>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</si>
  <si>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</si>
  <si>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</si>
  <si>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</si>
  <si>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</si>
  <si>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</si>
  <si>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</si>
  <si>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</si>
  <si>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</si>
  <si>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</si>
  <si>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</si>
  <si>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</si>
  <si>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</si>
  <si>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</si>
  <si>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</si>
  <si>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</si>
  <si>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</si>
  <si>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</si>
  <si>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</si>
  <si>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</si>
  <si>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</si>
  <si>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</si>
  <si>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</si>
  <si>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</si>
  <si>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</si>
  <si>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</si>
  <si>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</si>
  <si>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</si>
  <si>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</si>
  <si>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</si>
  <si>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</si>
  <si>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</si>
  <si>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</si>
  <si>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</si>
  <si>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</si>
  <si>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</si>
  <si>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</si>
  <si>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</si>
  <si>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</si>
  <si>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</si>
  <si>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</si>
  <si>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</si>
  <si>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</si>
  <si>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</si>
  <si>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</si>
  <si>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</si>
  <si>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</si>
  <si>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</si>
  <si>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</si>
  <si>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</si>
  <si>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</si>
  <si>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</si>
  <si>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</si>
  <si>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</si>
  <si>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</si>
  <si>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</si>
  <si>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</si>
  <si>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</si>
  <si>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</si>
  <si>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</si>
  <si>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</si>
  <si>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</si>
  <si>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</si>
  <si>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</si>
  <si>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</si>
  <si>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</si>
  <si>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</si>
  <si>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</si>
  <si>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</si>
  <si>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</si>
  <si>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</si>
  <si>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</si>
  <si>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</si>
  <si>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</si>
  <si>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</si>
  <si>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</si>
  <si>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</si>
  <si>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</si>
  <si>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</si>
  <si>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</si>
  <si>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</si>
  <si>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</si>
  <si>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</si>
  <si>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</si>
  <si>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</si>
  <si>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</si>
  <si>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</si>
  <si>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</si>
  <si>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</si>
  <si>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</si>
  <si>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</si>
  <si>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</si>
  <si>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</si>
  <si>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</si>
  <si>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</si>
  <si>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</si>
  <si>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</si>
  <si>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</si>
  <si>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</si>
  <si>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</si>
  <si>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</si>
  <si>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</si>
  <si>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</si>
  <si>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</si>
  <si>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</si>
  <si>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</si>
  <si>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</si>
  <si>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</si>
  <si>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</si>
  <si>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</si>
  <si>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</si>
  <si>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</si>
  <si>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</si>
  <si>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</si>
  <si>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</si>
  <si>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</si>
  <si>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</si>
  <si>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</si>
  <si>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</si>
  <si>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</si>
  <si>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</si>
  <si>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</si>
  <si>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</si>
  <si>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</si>
  <si>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</si>
  <si>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</si>
  <si>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</si>
  <si>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</si>
  <si>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</si>
  <si>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</si>
  <si>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</si>
  <si>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</si>
  <si>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</si>
  <si>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</si>
  <si>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</si>
  <si>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</si>
  <si>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</si>
  <si>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</si>
  <si>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</si>
  <si>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</si>
  <si>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</si>
  <si>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</si>
  <si>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</si>
  <si>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</si>
  <si>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</si>
  <si>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</si>
  <si>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</si>
  <si>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</si>
  <si>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</si>
  <si>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</si>
  <si>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</si>
  <si>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</si>
  <si>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</si>
  <si>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</si>
  <si>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</si>
  <si>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</si>
  <si>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</si>
  <si>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</si>
  <si>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</si>
  <si>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</si>
  <si>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</si>
  <si>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</si>
  <si>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</si>
  <si>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</si>
  <si>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</si>
  <si>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</si>
  <si>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</si>
  <si>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</si>
  <si>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</si>
  <si>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</si>
  <si>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</si>
  <si>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</si>
  <si>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</si>
  <si>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</si>
  <si>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</si>
  <si>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</si>
  <si>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</si>
  <si>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</si>
  <si>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</si>
  <si>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</si>
  <si>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</si>
  <si>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</si>
  <si>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</si>
  <si>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</si>
  <si>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</si>
  <si>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</si>
  <si>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</si>
  <si>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</si>
  <si>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</si>
  <si>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</si>
  <si>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</si>
  <si>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</si>
  <si>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</si>
  <si>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</si>
  <si>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</si>
  <si>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</si>
  <si>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</si>
  <si>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</si>
  <si>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</si>
  <si>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</si>
  <si>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</si>
  <si>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</si>
  <si>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</si>
  <si>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</si>
  <si>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</si>
  <si>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</si>
  <si>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</si>
  <si>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</si>
  <si>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</si>
  <si>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</si>
  <si>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</si>
  <si>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</si>
  <si>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</si>
  <si>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</si>
  <si>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</si>
  <si>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</si>
  <si>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</si>
  <si>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</si>
  <si>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</si>
  <si>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</si>
  <si>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</si>
  <si>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</si>
  <si>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</si>
  <si>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</si>
  <si>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</si>
  <si>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</si>
  <si>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</si>
  <si>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</si>
  <si>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</si>
  <si>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</si>
  <si>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</si>
  <si>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</si>
  <si>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</si>
  <si>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</si>
  <si>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</si>
  <si>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</si>
  <si>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</si>
  <si>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</si>
  <si>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</si>
  <si>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</si>
  <si>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</si>
  <si>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</si>
  <si>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</si>
  <si>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</si>
  <si>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</si>
  <si>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</si>
  <si>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</si>
  <si>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</si>
  <si>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</si>
  <si>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</si>
  <si>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</si>
  <si>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</si>
  <si>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</si>
  <si>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</si>
  <si>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</si>
  <si>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</si>
  <si>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</si>
  <si>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</si>
  <si>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</si>
  <si>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</si>
  <si>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</si>
  <si>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</si>
  <si>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</si>
  <si>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</si>
  <si>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</si>
  <si>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</si>
  <si>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</si>
  <si>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</si>
  <si>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</si>
  <si>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</si>
  <si>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</si>
  <si>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</si>
  <si>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</si>
  <si>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</si>
  <si>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</si>
  <si>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</si>
  <si>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</si>
  <si>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</si>
  <si>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</si>
  <si>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</si>
  <si>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</si>
  <si>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</si>
  <si>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</si>
  <si>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</si>
  <si>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</si>
  <si>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</si>
  <si>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</si>
  <si>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</si>
  <si>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</si>
  <si>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</si>
  <si>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</si>
  <si>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</si>
  <si>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</si>
  <si>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</si>
  <si>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</si>
  <si>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</si>
  <si>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</si>
  <si>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</si>
  <si>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</si>
  <si>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</si>
  <si>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</si>
  <si>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</si>
  <si>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</si>
  <si>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</si>
  <si>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</si>
  <si>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</si>
  <si>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</si>
  <si>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</si>
  <si>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</si>
  <si>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</si>
  <si>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</si>
  <si>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</si>
  <si>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</si>
  <si>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</si>
  <si>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</si>
  <si>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</si>
  <si>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</si>
  <si>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</si>
  <si>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</si>
  <si>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</si>
  <si>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</si>
  <si>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</si>
  <si>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</si>
  <si>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</si>
  <si>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</si>
  <si>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</si>
  <si>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</si>
  <si>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</si>
  <si>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</si>
  <si>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</si>
  <si>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</si>
  <si>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</si>
  <si>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</si>
  <si>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</si>
  <si>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</si>
  <si>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</si>
  <si>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</si>
  <si>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</si>
  <si>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</si>
  <si>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</si>
  <si>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</si>
  <si>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</si>
  <si>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</si>
  <si>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</si>
  <si>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</si>
  <si>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</si>
  <si>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</si>
  <si>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</si>
  <si>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</si>
  <si>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</si>
  <si>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</si>
  <si>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</si>
  <si>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</si>
  <si>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</si>
  <si>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</si>
  <si>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</si>
  <si>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</si>
  <si>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</si>
  <si>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</si>
  <si>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</si>
  <si>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</si>
  <si>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</si>
  <si>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</si>
  <si>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</si>
  <si>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</si>
  <si>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</si>
  <si>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</si>
  <si>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</si>
  <si>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</si>
  <si>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</si>
  <si>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</si>
  <si>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</si>
  <si>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</si>
  <si>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</si>
  <si>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</si>
  <si>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</si>
  <si>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</si>
  <si>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</si>
  <si>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</si>
  <si>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</si>
  <si>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</si>
  <si>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</si>
  <si>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</si>
  <si>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</si>
  <si>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</si>
  <si>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</si>
  <si>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</si>
  <si>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</si>
  <si>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</si>
  <si>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</si>
  <si>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</si>
  <si>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</si>
  <si>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</si>
  <si>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</si>
  <si>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</si>
  <si>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</si>
  <si>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</si>
  <si>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</si>
  <si>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</si>
  <si>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</si>
  <si>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</si>
  <si>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</si>
  <si>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</si>
  <si>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</si>
  <si>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</si>
  <si>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</si>
  <si>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</si>
  <si>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</si>
  <si>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</si>
  <si>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</si>
  <si>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</si>
  <si>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</si>
  <si>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</si>
  <si>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</si>
  <si>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</si>
  <si>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</si>
  <si>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</si>
  <si>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</si>
  <si>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</si>
  <si>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</si>
  <si>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</si>
  <si>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</si>
  <si>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</si>
  <si>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</si>
  <si>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</si>
  <si>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</si>
  <si>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</si>
  <si>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</si>
  <si>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</si>
  <si>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</si>
  <si>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</si>
  <si>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</si>
  <si>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</si>
  <si>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</si>
  <si>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</si>
  <si>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</si>
  <si>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</si>
  <si>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</si>
  <si>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</si>
  <si>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</si>
  <si>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</si>
  <si>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</si>
  <si>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</si>
  <si>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</si>
  <si>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</si>
  <si>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</si>
  <si>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</si>
  <si>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</si>
  <si>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</si>
  <si>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</si>
  <si>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</si>
  <si>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</si>
  <si>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</si>
  <si>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</si>
  <si>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</si>
  <si>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</si>
  <si>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</si>
  <si>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</si>
  <si>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</si>
  <si>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</si>
  <si>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</si>
  <si>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</si>
  <si>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</si>
  <si>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</si>
  <si>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</si>
  <si>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</si>
  <si>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</si>
  <si>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</si>
  <si>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</si>
  <si>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</si>
  <si>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</si>
  <si>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</si>
  <si>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</si>
  <si>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</si>
  <si>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</si>
  <si>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</si>
  <si>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</si>
  <si>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</si>
  <si>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</si>
  <si>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</si>
  <si>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</si>
  <si>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</si>
  <si>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</si>
  <si>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</si>
  <si>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</si>
  <si>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</si>
  <si>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</si>
  <si>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</si>
  <si>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</si>
  <si>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</si>
  <si>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</si>
  <si>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</si>
  <si>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</si>
  <si>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</si>
  <si>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</si>
  <si>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</si>
  <si>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</si>
  <si>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</si>
  <si>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</si>
  <si>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</si>
  <si>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</si>
  <si>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</si>
  <si>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</si>
  <si>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</si>
  <si>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</si>
  <si>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</si>
  <si>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</si>
  <si>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</si>
  <si>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</si>
  <si>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</si>
  <si>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</si>
  <si>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</si>
  <si>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</si>
  <si>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</si>
  <si>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</si>
  <si>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</si>
  <si>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</si>
  <si>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</si>
  <si>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</si>
  <si>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</si>
  <si>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</si>
  <si>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</si>
  <si>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</si>
  <si>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</si>
  <si>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</si>
  <si>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</si>
  <si>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</si>
  <si>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</si>
  <si>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</si>
  <si>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</si>
  <si>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</si>
  <si>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</si>
  <si>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</si>
  <si>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</si>
  <si>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</si>
  <si>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</si>
  <si>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</si>
  <si>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</si>
  <si>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</si>
  <si>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</si>
  <si>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</si>
  <si>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</si>
  <si>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</si>
  <si>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</si>
  <si>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</si>
  <si>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</si>
  <si>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</si>
  <si>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</si>
  <si>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</si>
  <si>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</si>
  <si>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</si>
  <si>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</si>
  <si>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</si>
  <si>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</si>
  <si>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</si>
  <si>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</si>
  <si>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</si>
  <si>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</si>
  <si>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</si>
  <si>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</si>
  <si>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</si>
  <si>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</si>
  <si>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</si>
  <si>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</si>
  <si>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</si>
  <si>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</si>
  <si>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</si>
  <si>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</si>
  <si>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</si>
  <si>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</si>
  <si>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</si>
  <si>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</si>
  <si>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</si>
  <si>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</si>
  <si>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</si>
  <si>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</si>
  <si>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</si>
  <si>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</si>
  <si>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</si>
  <si>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</si>
  <si>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</si>
  <si>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</si>
  <si>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</si>
  <si>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</si>
  <si>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</si>
  <si>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</si>
  <si>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</si>
  <si>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</si>
  <si>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</si>
  <si>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</si>
  <si>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</si>
  <si>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</si>
  <si>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</si>
  <si>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</si>
  <si>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</si>
  <si>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</si>
  <si>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</si>
  <si>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</si>
  <si>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</si>
  <si>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</si>
  <si>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</si>
  <si>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</si>
  <si>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</si>
  <si>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</si>
  <si>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</si>
  <si>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</si>
  <si>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</si>
  <si>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</si>
  <si>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</si>
  <si>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</si>
  <si>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</si>
  <si>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</si>
  <si>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</si>
  <si>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</si>
  <si>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</si>
  <si>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</si>
  <si>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</si>
  <si>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</si>
  <si>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</si>
  <si>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</si>
  <si>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</si>
  <si>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</si>
  <si>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</si>
  <si>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</si>
  <si>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</si>
  <si>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</si>
  <si>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</si>
  <si>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</si>
  <si>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</si>
  <si>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</si>
  <si>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</si>
  <si>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</si>
  <si>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</si>
  <si>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</si>
  <si>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</si>
  <si>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</si>
  <si>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</si>
  <si>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</si>
  <si>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</si>
  <si>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</si>
  <si>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</si>
  <si>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</si>
  <si>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</si>
  <si>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</si>
  <si>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</si>
  <si>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</si>
  <si>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</si>
  <si>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</si>
  <si>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</si>
  <si>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</si>
  <si>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</si>
  <si>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</si>
  <si>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</si>
  <si>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</si>
  <si>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</si>
  <si>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</si>
  <si>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</si>
  <si>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</si>
  <si>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</si>
  <si>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</si>
  <si>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</si>
  <si>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</si>
  <si>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</si>
  <si>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</si>
  <si>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</si>
  <si>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</si>
  <si>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</si>
  <si>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</si>
  <si>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</si>
  <si>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</si>
  <si>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</si>
  <si>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</si>
  <si>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</si>
  <si>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</si>
  <si>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</si>
  <si>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</si>
  <si>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</si>
  <si>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</si>
  <si>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</si>
  <si>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</si>
  <si>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</si>
  <si>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</si>
  <si>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</si>
  <si>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</si>
  <si>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</si>
  <si>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</si>
  <si>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</si>
  <si>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</si>
  <si>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</si>
  <si>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</si>
  <si>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</si>
  <si>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</si>
  <si>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</si>
  <si>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</si>
  <si>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</si>
  <si>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</si>
  <si>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</si>
  <si>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</si>
  <si>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</si>
  <si>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</si>
  <si>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</si>
  <si>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</si>
  <si>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</si>
  <si>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</si>
  <si>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</si>
  <si>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</si>
  <si>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</si>
  <si>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</si>
  <si>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</si>
  <si>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</si>
  <si>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</si>
  <si>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</si>
  <si>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</si>
  <si>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</si>
  <si>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</si>
  <si>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</si>
  <si>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</si>
  <si>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</si>
  <si>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</si>
  <si>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</si>
  <si>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</si>
  <si>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</si>
  <si>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</si>
  <si>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</si>
  <si>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</si>
  <si>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</si>
  <si>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</si>
  <si>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</si>
  <si>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</si>
  <si>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</si>
  <si>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</si>
  <si>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</si>
  <si>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</si>
  <si>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</si>
  <si>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</si>
  <si>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</si>
  <si>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</si>
  <si>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</si>
  <si>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</si>
  <si>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</si>
  <si>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</si>
  <si>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</si>
  <si>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</si>
  <si>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</si>
  <si>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</si>
  <si>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</si>
  <si>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</si>
  <si>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</si>
  <si>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</si>
  <si>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</si>
  <si>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</si>
  <si>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</si>
  <si>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</si>
  <si>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</si>
  <si>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</si>
  <si>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</si>
  <si>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</si>
  <si>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</si>
  <si>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</si>
  <si>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</si>
  <si>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</si>
  <si>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</si>
  <si>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</si>
  <si>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</si>
  <si>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</si>
  <si>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</si>
  <si>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</si>
  <si>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</si>
  <si>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</si>
  <si>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</si>
  <si>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</si>
  <si>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</si>
  <si>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</si>
  <si>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</si>
  <si>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</si>
  <si>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</si>
  <si>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</si>
  <si>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</si>
  <si>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</si>
  <si>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</si>
  <si>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</si>
  <si>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</si>
  <si>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</si>
  <si>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</si>
  <si>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</si>
  <si>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</si>
  <si>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</si>
  <si>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</si>
  <si>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</si>
  <si>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</si>
  <si>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</si>
  <si>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</si>
  <si>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</si>
  <si>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</si>
  <si>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</si>
  <si>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</si>
  <si>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</si>
  <si>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</si>
  <si>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</si>
  <si>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</si>
  <si>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</si>
  <si>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</si>
  <si>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</si>
  <si>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</si>
  <si>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</si>
  <si>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</si>
  <si>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</si>
  <si>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</si>
  <si>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</si>
  <si>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</si>
  <si>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</si>
  <si>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</si>
  <si>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</si>
  <si>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</si>
  <si>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</si>
  <si>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</si>
  <si>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</si>
  <si>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</si>
  <si>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</si>
  <si>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</si>
  <si>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</si>
  <si>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</si>
  <si>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</si>
  <si>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</si>
  <si>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</si>
  <si>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</si>
  <si>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</si>
  <si>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</si>
  <si>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</si>
  <si>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</si>
  <si>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</si>
  <si>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</si>
  <si>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</si>
  <si>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</si>
  <si>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</si>
  <si>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</si>
  <si>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</si>
  <si>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</si>
  <si>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</si>
  <si>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</si>
  <si>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</si>
  <si>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</si>
  <si>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</si>
  <si>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</si>
  <si>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</si>
  <si>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</si>
  <si>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</si>
  <si>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</si>
  <si>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</si>
  <si>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</si>
  <si>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</si>
  <si>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</si>
  <si>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</si>
  <si>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</si>
  <si>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</si>
  <si>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</si>
  <si>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</si>
  <si>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</si>
  <si>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</si>
  <si>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</si>
  <si>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</si>
  <si>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</si>
  <si>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</si>
  <si>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</si>
  <si>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</si>
  <si>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</si>
  <si>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</si>
  <si>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</si>
  <si>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</si>
  <si>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</si>
  <si>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</si>
  <si>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</si>
  <si>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</si>
  <si>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</si>
  <si>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</si>
  <si>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</si>
  <si>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</si>
  <si>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</si>
  <si>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</si>
  <si>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</si>
  <si>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</si>
  <si>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</si>
  <si>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</si>
  <si>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</si>
  <si>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</si>
  <si>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</si>
  <si>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</si>
  <si>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</si>
  <si>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</si>
  <si>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</si>
  <si>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</si>
  <si>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</si>
  <si>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</si>
  <si>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</si>
  <si>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</si>
  <si>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</si>
  <si>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</si>
  <si>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</si>
  <si>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</si>
  <si>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</si>
  <si>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</si>
  <si>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</si>
  <si>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</si>
  <si>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</si>
  <si>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</si>
  <si>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</si>
  <si>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</si>
  <si>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</si>
  <si>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</si>
  <si>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</si>
  <si>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</si>
  <si>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</si>
  <si>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</si>
  <si>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</si>
  <si>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</si>
  <si>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</si>
  <si>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</si>
  <si>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</si>
  <si>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</si>
  <si>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</si>
  <si>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</si>
  <si>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</si>
  <si>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</si>
  <si>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</si>
  <si>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</si>
  <si>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</si>
  <si>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</si>
  <si>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</si>
  <si>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</si>
  <si>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</si>
  <si>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</si>
  <si>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</si>
  <si>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</si>
  <si>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</si>
  <si>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</si>
  <si>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</si>
  <si>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</si>
  <si>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</si>
  <si>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</si>
  <si>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</si>
  <si>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</si>
  <si>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</si>
  <si>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</si>
  <si>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</si>
  <si>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</si>
  <si>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</si>
  <si>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</si>
  <si>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</si>
  <si>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</si>
  <si>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</si>
  <si>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</si>
  <si>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</si>
  <si>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</si>
  <si>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</si>
  <si>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</si>
  <si>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</si>
  <si>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</si>
  <si>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</si>
  <si>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</si>
  <si>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</si>
  <si>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</si>
  <si>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</si>
  <si>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</si>
  <si>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</si>
  <si>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</si>
  <si>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</si>
  <si>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</si>
  <si>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</si>
  <si>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</si>
  <si>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</si>
  <si>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</si>
  <si>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</si>
  <si>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</si>
  <si>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</si>
  <si>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</si>
  <si>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</si>
  <si>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</si>
  <si>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</si>
  <si>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</si>
  <si>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</si>
  <si>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</si>
  <si>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</si>
  <si>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</si>
  <si>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</si>
  <si>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</si>
  <si>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</si>
  <si>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</si>
  <si>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</si>
  <si>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</si>
  <si>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</si>
  <si>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</si>
  <si>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</si>
  <si>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</si>
  <si>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</si>
  <si>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</si>
  <si>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</si>
  <si>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</si>
  <si>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</si>
  <si>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</si>
  <si>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</si>
  <si>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</si>
  <si>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</si>
  <si>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</si>
  <si>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</si>
  <si>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</si>
  <si>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</si>
  <si>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</si>
  <si>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</si>
  <si>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</si>
  <si>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</si>
  <si>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</si>
  <si>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</si>
  <si>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</si>
  <si>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</si>
  <si>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</si>
  <si>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</si>
  <si>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</si>
  <si>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</si>
  <si>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</si>
  <si>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</si>
  <si>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</si>
  <si>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</si>
  <si>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</si>
  <si>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</si>
  <si>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</si>
  <si>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</si>
  <si>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</si>
  <si>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</si>
  <si>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</si>
  <si>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</si>
  <si>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</si>
  <si>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</si>
  <si>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</si>
  <si>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</si>
  <si>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</si>
  <si>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</si>
  <si>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</si>
  <si>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</si>
  <si>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</si>
  <si>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</si>
  <si>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</si>
  <si>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</si>
  <si>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</si>
  <si>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</si>
  <si>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</si>
  <si>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</si>
  <si>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</si>
  <si>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</si>
  <si>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</si>
  <si>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</si>
  <si>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</si>
  <si>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</si>
  <si>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</si>
  <si>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</si>
  <si>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</si>
  <si>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</si>
  <si>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</si>
  <si>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</si>
  <si>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</si>
  <si>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</si>
  <si>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</si>
  <si>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</si>
  <si>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</si>
  <si>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</si>
  <si>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</si>
  <si>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</si>
  <si>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</si>
  <si>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</si>
  <si>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</si>
  <si>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</si>
  <si>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</si>
  <si>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</si>
  <si>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</si>
  <si>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</si>
  <si>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</si>
  <si>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</si>
  <si>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</si>
  <si>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</si>
  <si>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</si>
  <si>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</si>
  <si>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</si>
  <si>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</si>
  <si>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</si>
  <si>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</si>
  <si>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</si>
  <si>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</si>
  <si>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</si>
  <si>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</si>
  <si>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</si>
  <si>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</si>
  <si>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</si>
  <si>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</si>
  <si>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</si>
  <si>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</si>
  <si>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</si>
  <si>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</si>
  <si>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</si>
  <si>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</si>
  <si>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</si>
  <si>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</si>
  <si>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</si>
  <si>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</si>
  <si>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</si>
  <si>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</si>
  <si>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</si>
  <si>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</si>
  <si>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</si>
  <si>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</si>
  <si>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</si>
  <si>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</si>
  <si>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</si>
  <si>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</si>
  <si>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</si>
  <si>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</si>
  <si>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</si>
  <si>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</si>
  <si>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</si>
  <si>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</si>
  <si>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</si>
  <si>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</si>
  <si>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</si>
  <si>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</si>
  <si>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</si>
  <si>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</si>
  <si>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</si>
  <si>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</si>
  <si>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</si>
  <si>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</si>
  <si>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</si>
  <si>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</si>
  <si>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</si>
  <si>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</si>
  <si>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</si>
  <si>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</si>
  <si>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</si>
  <si>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</si>
  <si>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</si>
  <si>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</si>
  <si>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</si>
  <si>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</si>
  <si>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</si>
  <si>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</si>
  <si>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</si>
  <si>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</si>
  <si>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</si>
  <si>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</si>
  <si>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</si>
  <si>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</si>
  <si>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</si>
  <si>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</si>
  <si>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</si>
  <si>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</si>
  <si>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</si>
  <si>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</si>
  <si>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</si>
  <si>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</si>
  <si>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</si>
  <si>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</si>
  <si>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</si>
  <si>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</si>
  <si>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</si>
  <si>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</si>
  <si>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</si>
  <si>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</si>
  <si>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</si>
  <si>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</si>
  <si>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</si>
  <si>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</si>
  <si>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</si>
  <si>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</si>
  <si>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</si>
  <si>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</si>
  <si>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</si>
  <si>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</si>
  <si>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</si>
  <si>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</si>
  <si>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</si>
  <si>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</si>
  <si>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</si>
  <si>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</si>
  <si>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</si>
  <si>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</si>
  <si>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</si>
  <si>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</si>
  <si>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</si>
  <si>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</si>
  <si>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</si>
  <si>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</si>
  <si>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</si>
  <si>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</si>
  <si>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</si>
  <si>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</si>
  <si>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</si>
  <si>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</si>
  <si>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</si>
  <si>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</si>
  <si>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</si>
  <si>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</si>
  <si>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</si>
  <si>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</si>
  <si>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</si>
  <si>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</si>
  <si>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</si>
  <si>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</si>
  <si>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</si>
  <si>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</si>
  <si>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</si>
  <si>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</si>
  <si>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</si>
  <si>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</si>
  <si>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</si>
  <si>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</si>
  <si>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</si>
  <si>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</si>
  <si>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</si>
  <si>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</si>
  <si>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</si>
  <si>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</si>
  <si>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</si>
  <si>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</si>
  <si>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</si>
  <si>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</si>
  <si>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</si>
  <si>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</si>
  <si>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</si>
  <si>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</si>
  <si>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</si>
  <si>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</si>
  <si>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</si>
  <si>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</si>
  <si>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</si>
  <si>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</si>
  <si>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</si>
  <si>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</si>
  <si>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</si>
  <si>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</si>
  <si>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</si>
  <si>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</si>
  <si>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</si>
  <si>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</si>
  <si>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</si>
  <si>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</si>
  <si>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</si>
  <si>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</si>
  <si>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</si>
  <si>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</si>
  <si>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</si>
  <si>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</si>
  <si>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</si>
  <si>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</si>
  <si>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</si>
  <si>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</si>
  <si>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</si>
  <si>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</si>
  <si>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</si>
  <si>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</si>
  <si>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</si>
  <si>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</si>
  <si>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</si>
  <si>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</si>
  <si>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</si>
  <si>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</si>
  <si>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</si>
  <si>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</si>
  <si>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</si>
  <si>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</si>
  <si>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</si>
  <si>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</si>
  <si>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</si>
  <si>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</si>
  <si>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</si>
  <si>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</si>
  <si>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</si>
  <si>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</si>
  <si>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</si>
  <si>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</si>
  <si>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</si>
  <si>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</si>
  <si>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</si>
  <si>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</si>
  <si>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</si>
  <si>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</si>
  <si>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</si>
  <si>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</si>
  <si>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</si>
  <si>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</si>
  <si>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</si>
  <si>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</si>
  <si>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</si>
  <si>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</si>
  <si>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</si>
  <si>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</si>
  <si>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</si>
  <si>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</si>
  <si>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</si>
  <si>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</si>
  <si>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</si>
  <si>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</si>
  <si>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</si>
  <si>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</si>
  <si>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</si>
  <si>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</si>
  <si>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</si>
  <si>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</si>
  <si>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</si>
  <si>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</si>
  <si>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</si>
  <si>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</si>
  <si>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</si>
  <si>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</si>
  <si>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</si>
  <si>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</si>
  <si>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</si>
  <si>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</si>
  <si>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</si>
  <si>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</si>
  <si>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</si>
  <si>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</si>
  <si>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</si>
  <si>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</si>
  <si>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</si>
  <si>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</si>
  <si>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</si>
  <si>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</si>
  <si>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</si>
  <si>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</si>
  <si>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</si>
  <si>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</si>
  <si>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</si>
  <si>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</si>
  <si>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</si>
  <si>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</si>
  <si>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</si>
  <si>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</si>
  <si>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</si>
  <si>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</si>
  <si>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</si>
  <si>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</si>
  <si>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</si>
  <si>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</si>
  <si>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</si>
  <si>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</si>
  <si>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</si>
  <si>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</si>
  <si>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</si>
  <si>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</si>
  <si>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</si>
  <si>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</si>
  <si>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</si>
  <si>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</si>
  <si>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</si>
  <si>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</si>
  <si>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</si>
  <si>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</si>
  <si>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</si>
  <si>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</si>
  <si>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</si>
  <si>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</si>
  <si>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</si>
  <si>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</si>
  <si>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</si>
  <si>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</si>
  <si>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</si>
  <si>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</si>
  <si>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</si>
  <si>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</si>
  <si>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</si>
  <si>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</si>
  <si>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</si>
  <si>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</si>
  <si>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</si>
  <si>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</si>
  <si>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</si>
  <si>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</si>
  <si>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</si>
  <si>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</si>
  <si>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</si>
  <si>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</si>
  <si>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</si>
  <si>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</si>
  <si>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</si>
  <si>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</si>
  <si>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</si>
  <si>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</si>
  <si>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</si>
  <si>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</si>
  <si>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</si>
  <si>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</si>
  <si>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</si>
  <si>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</si>
  <si>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</si>
  <si>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</si>
  <si>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</si>
  <si>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</si>
  <si>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</si>
  <si>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</si>
  <si>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</si>
  <si>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</si>
  <si>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</si>
  <si>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</si>
  <si>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</si>
  <si>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</si>
  <si>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</si>
  <si>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</si>
  <si>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</si>
  <si>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</si>
  <si>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</si>
  <si>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</si>
  <si>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</si>
  <si>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</si>
  <si>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</si>
  <si>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</si>
  <si>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</si>
  <si>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</si>
  <si>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</si>
  <si>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</si>
  <si>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</si>
  <si>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</si>
  <si>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</si>
  <si>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</si>
  <si>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</si>
  <si>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</si>
  <si>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</si>
  <si>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</si>
  <si>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</si>
  <si>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</si>
  <si>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</si>
  <si>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</si>
  <si>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</si>
  <si>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</si>
  <si>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</si>
  <si>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</si>
  <si>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</si>
  <si>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</si>
  <si>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</si>
  <si>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</si>
  <si>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</si>
  <si>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</si>
  <si>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</si>
  <si>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</si>
  <si>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</si>
  <si>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</si>
  <si>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</si>
  <si>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</si>
  <si>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</si>
  <si>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</si>
  <si>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</si>
  <si>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</si>
  <si>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</si>
  <si>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</si>
  <si>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</si>
  <si>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</si>
  <si>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</si>
  <si>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</si>
  <si>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</si>
  <si>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</si>
  <si>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</si>
  <si>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</si>
  <si>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</si>
  <si>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</si>
  <si>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</si>
  <si>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</si>
  <si>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</si>
  <si>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</si>
  <si>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</si>
  <si>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</si>
  <si>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</si>
  <si>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</si>
  <si>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</si>
  <si>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</si>
  <si>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</si>
  <si>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</si>
  <si>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</si>
  <si>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</si>
  <si>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</si>
  <si>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</si>
  <si>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</si>
  <si>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</si>
  <si>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</si>
  <si>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</si>
  <si>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</si>
  <si>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</si>
  <si>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</si>
  <si>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</si>
  <si>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</si>
  <si>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</si>
  <si>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</si>
  <si>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</si>
  <si>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</si>
  <si>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</si>
  <si>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</si>
  <si>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</si>
  <si>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</si>
  <si>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</si>
  <si>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</si>
  <si>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</si>
  <si>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</si>
  <si>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</si>
  <si>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</si>
  <si>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</si>
  <si>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</si>
  <si>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</si>
  <si>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</si>
  <si>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</si>
  <si>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</si>
  <si>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</si>
  <si>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</si>
  <si>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</si>
  <si>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</si>
  <si>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</si>
  <si>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</si>
  <si>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</si>
  <si>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</si>
  <si>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</si>
  <si>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</si>
  <si>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</si>
  <si>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</si>
  <si>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</si>
  <si>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</si>
  <si>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</si>
  <si>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</si>
  <si>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</si>
  <si>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</si>
  <si>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</si>
  <si>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</si>
  <si>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</si>
  <si>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</si>
  <si>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</si>
  <si>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</si>
  <si>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</si>
  <si>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</si>
  <si>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</si>
  <si>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</si>
  <si>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</si>
  <si>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</si>
  <si>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</si>
  <si>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</si>
  <si>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</si>
  <si>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</si>
  <si>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</si>
  <si>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</si>
  <si>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</si>
  <si>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</si>
  <si>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</si>
  <si>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</si>
  <si>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</si>
  <si>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</si>
  <si>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</si>
  <si>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</si>
  <si>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</si>
  <si>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</si>
  <si>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</si>
  <si>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</si>
  <si>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</si>
  <si>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</si>
  <si>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</si>
  <si>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</si>
  <si>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</si>
  <si>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</si>
  <si>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</si>
  <si>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</si>
  <si>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</si>
  <si>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</si>
  <si>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</si>
  <si>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</si>
  <si>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</si>
  <si>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</si>
  <si>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</si>
  <si>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</si>
  <si>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</si>
  <si>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</si>
  <si>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</si>
  <si>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</si>
  <si>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</si>
  <si>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</si>
  <si>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</si>
  <si>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</si>
  <si>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</si>
  <si>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</si>
  <si>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</si>
  <si>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</si>
  <si>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</si>
  <si>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</si>
  <si>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</si>
  <si>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</si>
  <si>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</si>
  <si>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</si>
  <si>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</si>
  <si>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</si>
  <si>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</si>
  <si>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</si>
  <si>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</si>
  <si>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</si>
  <si>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</si>
  <si>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</si>
  <si>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</si>
  <si>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</si>
  <si>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</si>
  <si>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</si>
  <si>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</si>
  <si>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</si>
  <si>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</si>
  <si>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</si>
  <si>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</si>
  <si>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</si>
  <si>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</si>
  <si>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</si>
  <si>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</si>
  <si>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</si>
  <si>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</si>
  <si>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</si>
  <si>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</si>
  <si>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</si>
  <si>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</si>
  <si>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</si>
  <si>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</si>
  <si>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</si>
  <si>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</si>
  <si>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</si>
  <si>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</si>
  <si>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</si>
  <si>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</si>
  <si>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</si>
  <si>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</si>
  <si>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</si>
  <si>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</si>
  <si>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</si>
  <si>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</si>
  <si>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</si>
  <si>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</si>
  <si>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</si>
  <si>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</si>
  <si>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</si>
  <si>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</si>
  <si>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</si>
  <si>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</si>
  <si>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</si>
  <si>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</si>
  <si>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</si>
  <si>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</si>
  <si>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</si>
  <si>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</si>
  <si>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</si>
  <si>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</si>
  <si>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</si>
  <si>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</si>
  <si>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</si>
  <si>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</si>
  <si>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</si>
  <si>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</si>
  <si>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</si>
  <si>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</si>
  <si>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</si>
  <si>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</si>
  <si>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</si>
  <si>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</si>
  <si>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</si>
  <si>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</si>
  <si>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</si>
  <si>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</si>
  <si>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</si>
  <si>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</si>
  <si>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</si>
  <si>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</si>
  <si>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</si>
  <si>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</si>
  <si>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</si>
  <si>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</si>
  <si>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</si>
  <si>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</si>
  <si>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</si>
  <si>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</si>
  <si>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</si>
  <si>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</si>
  <si>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</si>
  <si>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</si>
  <si>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</si>
  <si>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</si>
  <si>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</si>
  <si>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</si>
  <si>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</si>
  <si>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</si>
  <si>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</si>
  <si>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</si>
  <si>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</si>
  <si>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</si>
  <si>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</si>
  <si>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</si>
  <si>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</si>
  <si>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</si>
  <si>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</si>
  <si>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</si>
  <si>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</si>
  <si>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</si>
  <si>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</si>
  <si>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</si>
  <si>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</si>
  <si>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</si>
  <si>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</si>
  <si>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</si>
  <si>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</si>
  <si>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</si>
  <si>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</si>
  <si>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</si>
  <si>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</si>
  <si>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</si>
  <si>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</si>
  <si>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</si>
  <si>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</si>
  <si>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</si>
  <si>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</si>
  <si>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</si>
  <si>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</si>
  <si>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</si>
  <si>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</si>
  <si>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</si>
  <si>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</si>
  <si>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</si>
  <si>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</si>
  <si>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</si>
  <si>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</si>
  <si>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</si>
  <si>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</si>
  <si>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</si>
  <si>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</si>
  <si>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</si>
  <si>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</si>
  <si>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</si>
  <si>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</si>
  <si>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</si>
  <si>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</si>
  <si>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</si>
  <si>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</si>
  <si>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</si>
  <si>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</si>
  <si>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</si>
  <si>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</si>
  <si>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</si>
  <si>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</si>
  <si>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</si>
  <si>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</si>
  <si>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</si>
  <si>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</si>
  <si>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</si>
  <si>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</si>
  <si>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</si>
  <si>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</si>
  <si>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</si>
  <si>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</si>
  <si>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</si>
  <si>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</si>
  <si>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</si>
  <si>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</si>
  <si>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</si>
  <si>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</si>
  <si>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</si>
  <si>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</si>
  <si>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</si>
  <si>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</si>
  <si>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</si>
  <si>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</si>
  <si>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</si>
  <si>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</si>
  <si>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</si>
  <si>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</si>
  <si>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</si>
  <si>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</si>
  <si>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</si>
  <si>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</si>
  <si>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</si>
  <si>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</si>
  <si>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</si>
  <si>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</si>
  <si>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</si>
  <si>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</si>
  <si>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</si>
  <si>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</si>
  <si>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</si>
  <si>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</si>
  <si>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</si>
  <si>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</si>
  <si>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</si>
  <si>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</si>
  <si>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</si>
  <si>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</si>
  <si>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</si>
  <si>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</si>
  <si>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</si>
  <si>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</si>
  <si>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</si>
  <si>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</si>
  <si>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</si>
  <si>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</si>
  <si>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</si>
  <si>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</si>
  <si>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</si>
  <si>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</si>
  <si>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</si>
  <si>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</si>
  <si>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</si>
  <si>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</si>
  <si>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</si>
  <si>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</si>
  <si>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</si>
  <si>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</si>
  <si>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</si>
  <si>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</si>
  <si>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</si>
  <si>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</si>
  <si>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</si>
  <si>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</si>
  <si>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</si>
  <si>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</si>
  <si>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</si>
  <si>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</si>
  <si>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</si>
  <si>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</si>
  <si>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</si>
  <si>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</si>
  <si>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</si>
  <si>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</si>
  <si>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</si>
  <si>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</si>
  <si>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</si>
  <si>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</si>
  <si>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</si>
  <si>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</si>
  <si>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</si>
  <si>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</si>
  <si>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</si>
  <si>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</si>
  <si>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</si>
  <si>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</si>
  <si>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</si>
  <si>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</si>
  <si>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</si>
  <si>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</si>
  <si>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</si>
  <si>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</si>
  <si>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</si>
  <si>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</si>
  <si>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</si>
  <si>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</si>
  <si>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</si>
  <si>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</si>
  <si>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</si>
  <si>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</si>
  <si>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</si>
  <si>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</si>
  <si>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</si>
  <si>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</si>
  <si>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</si>
  <si>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</si>
  <si>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</si>
  <si>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</si>
  <si>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</si>
  <si>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</si>
  <si>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</si>
  <si>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</si>
  <si>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</si>
  <si>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</si>
  <si>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</si>
  <si>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</si>
  <si>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</si>
  <si>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</si>
  <si>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</si>
  <si>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</si>
  <si>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</si>
  <si>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</si>
  <si>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</si>
  <si>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</si>
  <si>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</si>
  <si>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</si>
  <si>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</si>
  <si>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</si>
  <si>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</si>
  <si>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</si>
  <si>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</si>
  <si>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</si>
  <si>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</si>
  <si>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</si>
  <si>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</si>
  <si>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</si>
  <si>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</si>
  <si>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</si>
  <si>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</si>
  <si>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</si>
  <si>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</si>
  <si>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</si>
  <si>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</si>
  <si>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</si>
  <si>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</si>
  <si>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</si>
  <si>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</si>
  <si>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</si>
  <si>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</si>
  <si>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</si>
  <si>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</si>
  <si>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</si>
  <si>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</si>
  <si>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</si>
  <si>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</si>
  <si>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</si>
  <si>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</si>
  <si>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</si>
  <si>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</si>
  <si>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</si>
  <si>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</si>
  <si>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</si>
  <si>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</si>
  <si>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</si>
  <si>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</si>
  <si>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</si>
  <si>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</si>
  <si>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</si>
  <si>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</si>
  <si>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</si>
  <si>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</si>
  <si>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</si>
  <si>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</si>
  <si>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</si>
  <si>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</si>
  <si>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</si>
  <si>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</si>
  <si>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</si>
  <si>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</si>
  <si>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</si>
  <si>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</si>
  <si>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</si>
  <si>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</si>
  <si>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</si>
  <si>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</si>
  <si>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</si>
  <si>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</si>
  <si>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</si>
  <si>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</si>
  <si>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</si>
  <si>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</si>
  <si>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</si>
  <si>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</si>
  <si>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</si>
  <si>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</si>
  <si>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</si>
  <si>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</si>
  <si>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</si>
  <si>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</si>
  <si>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</si>
  <si>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</si>
  <si>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</si>
  <si>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</si>
  <si>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</si>
  <si>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</si>
  <si>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</si>
  <si>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</si>
  <si>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</si>
  <si>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</si>
  <si>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</si>
  <si>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</si>
  <si>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</si>
  <si>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</si>
  <si>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</si>
  <si>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</si>
  <si>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</si>
  <si>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</si>
  <si>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</si>
  <si>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</si>
  <si>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</si>
  <si>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</si>
  <si>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</si>
  <si>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</si>
  <si>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</si>
  <si>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</si>
  <si>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</si>
  <si>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</si>
  <si>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</si>
  <si>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</si>
  <si>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</si>
  <si>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</si>
  <si>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</si>
  <si>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</si>
  <si>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</si>
  <si>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</si>
  <si>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</si>
  <si>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</si>
  <si>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</si>
  <si>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</si>
  <si>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</si>
  <si>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</si>
  <si>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</si>
  <si>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</si>
  <si>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</si>
  <si>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</si>
  <si>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</si>
  <si>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</si>
  <si>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</si>
  <si>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</si>
  <si>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</si>
  <si>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</si>
  <si>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</si>
  <si>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</si>
  <si>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</si>
  <si>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</si>
  <si>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</si>
  <si>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</si>
  <si>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</si>
  <si>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</si>
  <si>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</si>
  <si>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</si>
  <si>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</si>
  <si>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</si>
  <si>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</si>
  <si>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</si>
  <si>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</si>
  <si>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</si>
  <si>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</si>
  <si>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</si>
  <si>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</si>
  <si>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</si>
  <si>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</si>
  <si>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</si>
  <si>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</si>
  <si>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</si>
  <si>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</si>
  <si>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</si>
  <si>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</si>
  <si>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</si>
  <si>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</si>
  <si>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</si>
  <si>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</si>
  <si>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</si>
  <si>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</si>
  <si>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</si>
  <si>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</si>
  <si>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</si>
  <si>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</si>
  <si>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</si>
  <si>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</si>
  <si>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</si>
  <si>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</si>
  <si>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</si>
  <si>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</si>
  <si>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</si>
  <si>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</si>
  <si>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</si>
  <si>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</si>
  <si>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</si>
  <si>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</si>
  <si>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</si>
  <si>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</si>
  <si>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</si>
  <si>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</si>
  <si>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</si>
  <si>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</si>
  <si>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</si>
  <si>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</si>
  <si>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</si>
  <si>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</si>
  <si>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</si>
  <si>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</si>
  <si>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</si>
  <si>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</si>
  <si>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</si>
  <si>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</si>
  <si>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</si>
  <si>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</si>
  <si>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</si>
  <si>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</si>
  <si>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</si>
  <si>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</si>
  <si>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</si>
  <si>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</si>
  <si>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</si>
  <si>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</si>
  <si>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</si>
  <si>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</si>
  <si>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</si>
  <si>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</si>
  <si>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</si>
  <si>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</si>
  <si>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</si>
  <si>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</si>
  <si>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</si>
  <si>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</si>
  <si>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</si>
  <si>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</si>
  <si>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</si>
  <si>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</si>
  <si>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</si>
  <si>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</si>
  <si>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</si>
  <si>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</si>
  <si>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</si>
  <si>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</si>
  <si>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</si>
  <si>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</si>
  <si>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</si>
  <si>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</si>
  <si>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</si>
  <si>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</si>
  <si>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</si>
  <si>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</si>
  <si>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</si>
  <si>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</si>
  <si>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</si>
  <si>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</si>
  <si>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</si>
  <si>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</si>
  <si>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</si>
  <si>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</si>
  <si>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</si>
  <si>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</si>
  <si>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</si>
  <si>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</si>
  <si>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</si>
  <si>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</si>
  <si>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</si>
  <si>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</si>
  <si>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</si>
  <si>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</si>
  <si>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</si>
  <si>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</si>
  <si>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</si>
  <si>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</si>
  <si>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</si>
  <si>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</si>
  <si>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</si>
  <si>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</si>
  <si>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</si>
  <si>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</si>
  <si>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</si>
  <si>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</si>
  <si>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</si>
  <si>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</si>
  <si>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</si>
  <si>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</si>
  <si>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</si>
  <si>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</si>
  <si>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</si>
  <si>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</si>
  <si>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</si>
  <si>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</si>
  <si>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</si>
  <si>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</si>
  <si>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</si>
  <si>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</si>
  <si>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</si>
  <si>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</si>
  <si>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</si>
  <si>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</si>
  <si>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</si>
  <si>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</si>
  <si>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</si>
  <si>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</si>
  <si>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</si>
  <si>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</si>
  <si>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</si>
  <si>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</si>
  <si>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</si>
  <si>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</si>
  <si>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</si>
  <si>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</si>
  <si>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</si>
  <si>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</si>
  <si>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</si>
  <si>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</si>
  <si>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</si>
  <si>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</si>
  <si>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</si>
  <si>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</si>
  <si>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</si>
  <si>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</si>
  <si>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</si>
  <si>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</si>
  <si>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</si>
  <si>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</si>
  <si>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</si>
  <si>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</si>
  <si>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</si>
  <si>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</si>
  <si>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</si>
  <si>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</si>
  <si>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</si>
  <si>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</si>
  <si>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</si>
  <si>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</si>
  <si>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</si>
  <si>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</si>
  <si>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</si>
  <si>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</si>
  <si>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</si>
  <si>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</si>
  <si>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</si>
  <si>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</si>
  <si>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</si>
  <si>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</si>
  <si>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</si>
  <si>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</si>
  <si>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</si>
  <si>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</si>
  <si>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</si>
  <si>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</si>
  <si>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</si>
  <si>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</si>
  <si>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</si>
  <si>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</si>
  <si>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</si>
  <si>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</si>
  <si>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</si>
  <si>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</si>
  <si>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</si>
  <si>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</si>
  <si>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</si>
  <si>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</si>
  <si>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</si>
  <si>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</si>
  <si>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</si>
  <si>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</si>
  <si>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</si>
  <si>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</si>
  <si>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</si>
  <si>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</si>
  <si>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</si>
  <si>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</si>
  <si>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</si>
  <si>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</si>
  <si>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</si>
  <si>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</si>
  <si>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</si>
  <si>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</si>
  <si>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</si>
  <si>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</si>
  <si>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</si>
  <si>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</si>
  <si>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</si>
  <si>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</si>
  <si>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</si>
  <si>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</si>
  <si>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</si>
  <si>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</si>
  <si>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</si>
  <si>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</si>
  <si>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</si>
  <si>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</si>
  <si>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</si>
  <si>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</si>
  <si>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</si>
  <si>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</si>
  <si>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</si>
  <si>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</si>
  <si>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</si>
  <si>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</si>
  <si>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</si>
  <si>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</si>
  <si>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</si>
  <si>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</si>
  <si>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</si>
  <si>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</si>
  <si>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</si>
  <si>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</si>
  <si>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</si>
  <si>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</si>
  <si>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</si>
  <si>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</si>
  <si>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</si>
  <si>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</si>
  <si>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</si>
  <si>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</si>
  <si>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</si>
  <si>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</si>
  <si>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</si>
  <si>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</si>
  <si>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</si>
  <si>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</si>
  <si>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</si>
  <si>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</si>
  <si>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</si>
  <si>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</si>
  <si>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</si>
  <si>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</si>
  <si>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</si>
  <si>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</si>
  <si>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</si>
  <si>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</si>
  <si>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</si>
  <si>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</si>
  <si>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</si>
  <si>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</si>
  <si>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</si>
  <si>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</si>
  <si>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</si>
  <si>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</si>
  <si>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</si>
  <si>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</si>
  <si>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</si>
  <si>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</si>
  <si>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</si>
  <si>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</si>
  <si>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</si>
  <si>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</si>
  <si>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</si>
  <si>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</si>
  <si>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</si>
  <si>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</si>
  <si>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</si>
  <si>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</si>
  <si>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</si>
  <si>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</si>
  <si>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</si>
  <si>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</si>
  <si>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</si>
  <si>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</si>
  <si>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</si>
  <si>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</si>
  <si>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</si>
  <si>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</si>
  <si>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</si>
  <si>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</si>
  <si>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</si>
  <si>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</si>
  <si>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</si>
  <si>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</si>
  <si>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</si>
  <si>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</si>
  <si>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</si>
  <si>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</si>
  <si>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</si>
  <si>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</si>
  <si>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</si>
  <si>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</si>
  <si>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</si>
  <si>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</si>
  <si>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</si>
  <si>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</si>
  <si>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</si>
  <si>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</si>
  <si>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</si>
  <si>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</si>
  <si>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</si>
  <si>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</si>
  <si>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</si>
  <si>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</si>
  <si>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</si>
  <si>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</si>
  <si>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</si>
  <si>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</si>
  <si>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</si>
  <si>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</si>
  <si>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</si>
  <si>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</si>
  <si>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</si>
  <si>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</si>
  <si>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</si>
  <si>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</si>
  <si>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</si>
  <si>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</si>
  <si>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</si>
  <si>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</si>
  <si>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</si>
  <si>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</si>
  <si>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</si>
  <si>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</si>
  <si>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</si>
  <si>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</si>
  <si>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</si>
  <si>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</si>
  <si>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</si>
  <si>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</si>
  <si>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</si>
  <si>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</si>
  <si>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</si>
  <si>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</si>
  <si>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</si>
  <si>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</si>
  <si>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</si>
  <si>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</si>
  <si>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</si>
  <si>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</si>
  <si>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</si>
  <si>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</si>
  <si>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</si>
  <si>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</si>
  <si>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</si>
  <si>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</si>
  <si>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</si>
  <si>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</si>
  <si>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</si>
  <si>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</si>
  <si>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</si>
  <si>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</si>
  <si>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</si>
  <si>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</si>
  <si>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</si>
  <si>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</si>
  <si>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</si>
  <si>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</si>
  <si>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</si>
  <si>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</si>
  <si>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</si>
  <si>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</si>
  <si>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</si>
  <si>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</si>
  <si>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</si>
  <si>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</si>
  <si>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</si>
  <si>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</si>
  <si>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</si>
  <si>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</si>
  <si>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</si>
  <si>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</si>
  <si>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</si>
  <si>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</si>
  <si>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</si>
  <si>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</si>
  <si>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</si>
  <si>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</si>
  <si>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</si>
  <si>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</si>
  <si>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</si>
  <si>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</si>
  <si>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</si>
  <si>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</si>
  <si>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</si>
  <si>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</si>
  <si>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</si>
  <si>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</si>
  <si>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</si>
  <si>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</si>
  <si>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</si>
  <si>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</si>
  <si>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</si>
  <si>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</si>
  <si>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</si>
  <si>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</si>
  <si>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</si>
  <si>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</si>
  <si>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</si>
  <si>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</si>
  <si>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</si>
  <si>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</si>
  <si>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</si>
  <si>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</si>
  <si>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</si>
  <si>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</si>
  <si>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</si>
  <si>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</si>
  <si>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</si>
  <si>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</si>
  <si>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</si>
  <si>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</si>
  <si>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</si>
  <si>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</si>
  <si>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</si>
  <si>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</si>
  <si>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</si>
  <si>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</si>
  <si>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</si>
  <si>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</si>
  <si>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</si>
  <si>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</si>
  <si>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</si>
  <si>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</si>
  <si>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</si>
  <si>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</si>
  <si>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</si>
  <si>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</si>
  <si>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</si>
  <si>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</si>
  <si>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</si>
  <si>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</si>
  <si>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</si>
  <si>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</si>
  <si>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</si>
  <si>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</si>
  <si>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</si>
  <si>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</si>
  <si>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</si>
  <si>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</si>
  <si>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</si>
  <si>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</si>
  <si>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</si>
  <si>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</si>
  <si>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</si>
  <si>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</si>
  <si>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</si>
  <si>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</si>
  <si>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</si>
  <si>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</si>
  <si>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</si>
  <si>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</si>
  <si>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</si>
  <si>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</si>
  <si>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</si>
  <si>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</si>
  <si>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</si>
  <si>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</si>
  <si>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</si>
  <si>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</si>
  <si>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</si>
  <si>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</si>
  <si>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</si>
  <si>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</si>
  <si>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</si>
  <si>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</si>
  <si>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</si>
  <si>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</si>
  <si>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</si>
  <si>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</si>
  <si>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</si>
  <si>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</si>
  <si>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</si>
  <si>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</si>
  <si>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</si>
  <si>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</si>
  <si>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</si>
  <si>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</si>
  <si>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</si>
  <si>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</si>
  <si>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</si>
  <si>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</si>
  <si>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</si>
  <si>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</si>
  <si>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</si>
  <si>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</si>
  <si>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</si>
  <si>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</si>
  <si>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</si>
  <si>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</si>
  <si>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</si>
  <si>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</si>
  <si>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</si>
  <si>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</si>
  <si>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</si>
  <si>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</si>
  <si>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</si>
  <si>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</si>
  <si>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</si>
  <si>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</si>
  <si>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</si>
  <si>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</si>
  <si>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</si>
  <si>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</si>
  <si>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</si>
  <si>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</si>
  <si>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</si>
  <si>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</si>
  <si>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</si>
  <si>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</si>
  <si>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</si>
  <si>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</si>
  <si>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</si>
  <si>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</si>
  <si>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</si>
  <si>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</si>
  <si>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</si>
  <si>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</si>
  <si>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</si>
  <si>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</si>
  <si>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</si>
  <si>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</si>
  <si>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</si>
  <si>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</si>
  <si>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</si>
  <si>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</si>
  <si>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</si>
  <si>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</si>
  <si>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</si>
  <si>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</si>
  <si>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</si>
  <si>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</si>
  <si>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</si>
  <si>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</si>
  <si>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</si>
  <si>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</si>
  <si>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</si>
  <si>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</si>
  <si>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</si>
  <si>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</si>
  <si>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</si>
  <si>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</si>
  <si>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</si>
  <si>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</si>
  <si>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</si>
  <si>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</si>
  <si>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</si>
  <si>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</si>
  <si>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</si>
  <si>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</si>
  <si>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</si>
  <si>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</si>
  <si>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</si>
  <si>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</si>
  <si>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</si>
  <si>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</si>
  <si>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</si>
  <si>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</si>
  <si>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</si>
  <si>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</si>
  <si>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</si>
  <si>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</si>
  <si>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</si>
  <si>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</si>
  <si>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</si>
  <si>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</si>
  <si>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</si>
  <si>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</si>
  <si>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</si>
  <si>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</si>
  <si>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</si>
  <si>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</si>
  <si>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</si>
  <si>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</si>
  <si>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</si>
  <si>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</si>
  <si>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</si>
  <si>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</si>
  <si>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</si>
  <si>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</si>
  <si>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</si>
  <si>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</si>
  <si>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</si>
  <si>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</si>
  <si>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</si>
  <si>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</si>
  <si>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</si>
  <si>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</si>
  <si>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</si>
  <si>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</si>
  <si>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</si>
  <si>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</si>
  <si>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</si>
  <si>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</si>
  <si>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</si>
  <si>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</si>
  <si>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</si>
  <si>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</si>
  <si>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</si>
  <si>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</si>
  <si>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</si>
  <si>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</si>
  <si>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</si>
  <si>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</si>
  <si>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</si>
  <si>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</si>
  <si>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</si>
  <si>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</si>
  <si>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</si>
  <si>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</si>
  <si>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</si>
  <si>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</si>
  <si>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</si>
  <si>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</si>
  <si>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</si>
  <si>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</si>
  <si>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</si>
  <si>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</si>
  <si>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</si>
  <si>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</si>
  <si>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</si>
  <si>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</si>
  <si>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</si>
  <si>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</si>
  <si>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</si>
  <si>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</si>
  <si>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</si>
  <si>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</si>
  <si>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</si>
  <si>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</si>
  <si>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</si>
  <si>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</si>
  <si>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</si>
  <si>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</si>
  <si>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</si>
  <si>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</si>
  <si>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</si>
  <si>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</si>
  <si>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</si>
  <si>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</si>
  <si>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</si>
  <si>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</si>
  <si>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</si>
  <si>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</si>
  <si>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</si>
  <si>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</si>
  <si>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</si>
  <si>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</si>
  <si>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</si>
  <si>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</si>
  <si>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</si>
  <si>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</si>
  <si>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</si>
  <si>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</si>
  <si>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</si>
  <si>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</si>
  <si>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</si>
  <si>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</si>
  <si>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</si>
  <si>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</si>
  <si>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</si>
  <si>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</si>
  <si>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</si>
  <si>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</si>
  <si>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</si>
  <si>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</si>
  <si>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</si>
  <si>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</si>
  <si>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</si>
  <si>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</si>
  <si>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</si>
  <si>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</si>
  <si>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</si>
  <si>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</si>
  <si>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</si>
  <si>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</si>
  <si>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</si>
  <si>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</si>
  <si>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</si>
  <si>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</si>
  <si>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</si>
  <si>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</si>
  <si>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</si>
  <si>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</si>
  <si>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</si>
  <si>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</si>
  <si>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</si>
  <si>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</si>
  <si>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</si>
  <si>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</si>
  <si>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</si>
  <si>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</si>
  <si>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</si>
  <si>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</si>
  <si>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</si>
  <si>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</si>
  <si>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</si>
  <si>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</si>
  <si>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</si>
  <si>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</si>
  <si>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</si>
  <si>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</si>
  <si>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</si>
  <si>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</si>
  <si>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</si>
  <si>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</si>
  <si>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</si>
  <si>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</si>
  <si>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</si>
  <si>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</si>
  <si>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</si>
  <si>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</si>
  <si>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</si>
  <si>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</si>
  <si>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</si>
  <si>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</si>
  <si>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</si>
  <si>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</si>
  <si>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</si>
  <si>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</si>
  <si>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</si>
  <si>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</si>
  <si>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</si>
  <si>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</si>
  <si>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</si>
  <si>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</si>
  <si>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</si>
  <si>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</si>
  <si>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</si>
  <si>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</si>
  <si>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</si>
  <si>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</si>
  <si>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</si>
  <si>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</si>
  <si>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</si>
  <si>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</si>
  <si>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</si>
  <si>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</si>
  <si>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</si>
  <si>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</si>
  <si>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</si>
  <si>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</si>
  <si>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</si>
  <si>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</si>
  <si>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</si>
  <si>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</si>
  <si>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</si>
  <si>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</si>
  <si>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</si>
  <si>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</si>
  <si>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</si>
  <si>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</si>
  <si>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</si>
  <si>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</si>
  <si>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</si>
  <si>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</si>
  <si>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</si>
  <si>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</si>
  <si>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</si>
  <si>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</si>
  <si>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</si>
  <si>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</si>
  <si>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</si>
  <si>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</si>
  <si>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</si>
  <si>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</si>
  <si>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</si>
  <si>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</si>
  <si>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</si>
  <si>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</si>
  <si>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</si>
  <si>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</si>
  <si>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</si>
  <si>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</si>
  <si>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</si>
  <si>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</si>
  <si>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</si>
  <si>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</si>
  <si>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</si>
  <si>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</si>
  <si>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</si>
  <si>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</si>
  <si>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</si>
  <si>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</si>
  <si>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</si>
  <si>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</si>
  <si>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</si>
  <si>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</si>
  <si>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</si>
  <si>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</si>
  <si>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</si>
  <si>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</si>
  <si>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</si>
  <si>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</si>
  <si>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</si>
  <si>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</si>
  <si>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</si>
  <si>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</si>
  <si>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</si>
  <si>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</si>
  <si>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</si>
  <si>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</si>
  <si>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</si>
  <si>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</si>
  <si>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</si>
  <si>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</si>
  <si>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</si>
  <si>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</si>
  <si>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</si>
  <si>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</si>
  <si>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</si>
  <si>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</si>
  <si>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</si>
  <si>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</si>
  <si>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</si>
  <si>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</si>
  <si>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</si>
  <si>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</si>
  <si>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</si>
  <si>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</si>
  <si>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</si>
  <si>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</si>
  <si>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</si>
  <si>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</si>
  <si>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</si>
  <si>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</si>
  <si>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</si>
  <si>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</si>
  <si>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</si>
  <si>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</si>
  <si>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</si>
  <si>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</si>
  <si>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</si>
  <si>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</si>
  <si>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</si>
  <si>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</si>
  <si>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</si>
  <si>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</si>
  <si>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</si>
  <si>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</si>
  <si>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</si>
  <si>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</si>
  <si>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</si>
  <si>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</si>
  <si>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</si>
  <si>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</si>
  <si>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</si>
  <si>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</si>
  <si>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</si>
  <si>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</si>
  <si>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</si>
  <si>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</si>
  <si>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</si>
  <si>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</si>
  <si>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</si>
  <si>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</si>
  <si>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</si>
  <si>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</si>
  <si>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</si>
  <si>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</si>
  <si>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</si>
  <si>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</si>
  <si>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</si>
  <si>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</si>
  <si>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</si>
  <si>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</si>
  <si>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</si>
  <si>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</si>
  <si>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</si>
  <si>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</si>
  <si>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</si>
  <si>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</si>
  <si>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</si>
  <si>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</si>
  <si>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</si>
  <si>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</si>
  <si>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</si>
  <si>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</si>
  <si>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</si>
  <si>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</si>
  <si>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</si>
  <si>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</si>
  <si>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</si>
  <si>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</si>
  <si>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</si>
  <si>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</si>
  <si>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</si>
  <si>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</si>
  <si>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</si>
  <si>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</si>
  <si>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</si>
  <si>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</si>
  <si>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</si>
  <si>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</si>
  <si>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</si>
  <si>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</si>
  <si>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</si>
  <si>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</si>
  <si>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</si>
  <si>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</si>
  <si>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</si>
  <si>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</si>
  <si>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</si>
  <si>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</si>
  <si>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</si>
  <si>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</si>
  <si>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</si>
  <si>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</si>
  <si>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</si>
  <si>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</si>
  <si>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</si>
  <si>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</si>
  <si>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</si>
  <si>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</si>
  <si>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</si>
  <si>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</si>
  <si>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</si>
  <si>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</si>
  <si>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</si>
  <si>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</si>
  <si>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</si>
  <si>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</si>
  <si>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</si>
  <si>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</si>
  <si>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</si>
  <si>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</si>
  <si>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</si>
  <si>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</si>
  <si>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</si>
  <si>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</si>
  <si>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</si>
  <si>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</si>
  <si>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</si>
  <si>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</si>
  <si>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</si>
  <si>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</si>
  <si>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</si>
  <si>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</si>
  <si>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</si>
  <si>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</si>
  <si>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</si>
  <si>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</si>
  <si>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</si>
  <si>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</si>
  <si>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</si>
  <si>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</si>
  <si>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</si>
  <si>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</si>
  <si>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</si>
  <si>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</si>
  <si>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</si>
  <si>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</si>
  <si>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</si>
  <si>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</si>
  <si>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</si>
  <si>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</si>
  <si>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</si>
  <si>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</si>
  <si>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</si>
  <si>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</si>
  <si>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</si>
  <si>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</si>
  <si>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</si>
  <si>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</si>
  <si>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</si>
  <si>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</si>
  <si>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</si>
  <si>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</si>
  <si>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</si>
  <si>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</si>
  <si>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</si>
  <si>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</si>
  <si>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</si>
  <si>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</si>
  <si>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</si>
  <si>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</si>
  <si>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</si>
  <si>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</si>
  <si>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</si>
  <si>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</si>
  <si>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</si>
  <si>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</si>
  <si>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</si>
  <si>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</si>
  <si>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</si>
  <si>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</si>
  <si>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</si>
  <si>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</si>
  <si>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</si>
  <si>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</si>
  <si>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</si>
  <si>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</si>
  <si>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</si>
  <si>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</si>
  <si>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</si>
  <si>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</si>
  <si>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</si>
  <si>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</si>
  <si>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</si>
  <si>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</si>
  <si>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</si>
  <si>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</si>
  <si>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</si>
  <si>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</si>
  <si>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</si>
  <si>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</si>
  <si>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</si>
  <si>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</si>
  <si>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</si>
  <si>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</si>
  <si>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</si>
  <si>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</si>
  <si>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</si>
  <si>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</si>
  <si>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</si>
  <si>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</si>
  <si>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</si>
  <si>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</si>
  <si>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</si>
  <si>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</si>
  <si>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</si>
  <si>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</si>
  <si>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</si>
  <si>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</si>
  <si>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</si>
  <si>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</si>
  <si>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</si>
  <si>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</si>
  <si>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</si>
  <si>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</si>
  <si>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</si>
  <si>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</si>
  <si>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</si>
  <si>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</si>
  <si>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</si>
  <si>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</si>
  <si>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</si>
  <si>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</si>
  <si>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</si>
  <si>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</si>
  <si>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</si>
  <si>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</si>
  <si>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</si>
  <si>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</si>
  <si>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</si>
  <si>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</si>
  <si>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</si>
  <si>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</si>
  <si>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</si>
  <si>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</si>
  <si>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</si>
  <si>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</si>
  <si>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</si>
  <si>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</si>
  <si>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</si>
  <si>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</si>
  <si>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</si>
  <si>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</si>
  <si>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</si>
  <si>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</si>
  <si>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</si>
  <si>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</si>
  <si>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</si>
  <si>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</si>
  <si>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</si>
  <si>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</si>
  <si>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</si>
  <si>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</si>
  <si>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</si>
  <si>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</si>
  <si>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</si>
  <si>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</si>
  <si>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</si>
  <si>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</si>
  <si>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</si>
  <si>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</si>
  <si>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</si>
  <si>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</si>
  <si>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</si>
  <si>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</si>
  <si>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</si>
  <si>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</si>
  <si>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</si>
  <si>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</si>
  <si>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</si>
  <si>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</si>
  <si>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</si>
  <si>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</si>
  <si>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</si>
  <si>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</si>
  <si>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</si>
  <si>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</si>
  <si>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</si>
  <si>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</si>
  <si>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</si>
  <si>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</si>
  <si>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</si>
  <si>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</si>
  <si>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</si>
  <si>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</si>
  <si>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</si>
  <si>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</si>
  <si>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</si>
  <si>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</si>
  <si>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</si>
  <si>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</si>
  <si>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</si>
  <si>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</si>
  <si>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</si>
  <si>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</si>
  <si>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</si>
  <si>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</si>
  <si>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</si>
  <si>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</si>
  <si>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</si>
  <si>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</si>
  <si>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</si>
  <si>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</si>
  <si>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</si>
  <si>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</si>
  <si>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</si>
  <si>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</si>
  <si>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</si>
  <si>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</si>
  <si>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</si>
  <si>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</si>
  <si>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</si>
  <si>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</si>
  <si>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</si>
  <si>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</si>
  <si>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</si>
  <si>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</si>
  <si>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</si>
  <si>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</si>
  <si>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</si>
  <si>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</si>
  <si>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</si>
  <si>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</si>
  <si>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</si>
  <si>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</si>
  <si>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</si>
  <si>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</si>
  <si>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</si>
  <si>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</si>
  <si>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</si>
  <si>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</si>
  <si>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</si>
  <si>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</si>
  <si>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</si>
  <si>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</si>
  <si>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</si>
  <si>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</si>
  <si>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</si>
  <si>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</si>
  <si>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</si>
  <si>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</si>
  <si>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</si>
  <si>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</si>
  <si>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</si>
  <si>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</si>
  <si>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</si>
  <si>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</si>
  <si>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</si>
  <si>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</si>
  <si>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</si>
  <si>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</si>
  <si>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</si>
  <si>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</si>
  <si>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</si>
  <si>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</si>
  <si>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</si>
  <si>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</si>
  <si>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</si>
  <si>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</si>
  <si>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</si>
  <si>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</si>
  <si>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</si>
  <si>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</si>
  <si>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</si>
  <si>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</si>
  <si>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</si>
  <si>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</si>
  <si>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</si>
  <si>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</si>
  <si>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</si>
  <si>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</si>
  <si>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</si>
  <si>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</si>
  <si>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</si>
  <si>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</si>
  <si>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</si>
  <si>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</si>
  <si>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</si>
  <si>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</si>
  <si>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</si>
  <si>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</si>
  <si>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</si>
  <si>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</si>
  <si>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</si>
  <si>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</si>
  <si>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</si>
  <si>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</si>
  <si>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</si>
  <si>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</si>
  <si>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</si>
  <si>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</si>
  <si>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</si>
  <si>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</si>
  <si>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</si>
  <si>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</si>
  <si>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</si>
  <si>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</si>
  <si>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</si>
  <si>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</si>
  <si>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</si>
  <si>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</si>
  <si>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</si>
  <si>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</si>
  <si>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</si>
  <si>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</si>
  <si>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</si>
  <si>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</si>
  <si>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</si>
  <si>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</si>
  <si>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</si>
  <si>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</si>
  <si>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</si>
  <si>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</si>
  <si>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</si>
  <si>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</si>
  <si>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</si>
  <si>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</si>
  <si>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</si>
  <si>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</si>
  <si>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</si>
  <si>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</si>
  <si>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</si>
  <si>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</si>
  <si>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</si>
  <si>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</si>
  <si>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</si>
  <si>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</si>
  <si>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</si>
  <si>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</si>
  <si>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</si>
  <si>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</si>
  <si>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</si>
  <si>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</si>
  <si>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</si>
  <si>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</si>
  <si>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</si>
  <si>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</si>
  <si>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</si>
  <si>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</si>
  <si>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</si>
  <si>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</si>
  <si>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</si>
  <si>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</si>
  <si>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</si>
  <si>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</si>
  <si>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</si>
  <si>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</si>
  <si>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</si>
  <si>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</si>
  <si>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</si>
  <si>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</si>
  <si>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</si>
  <si>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</si>
  <si>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</si>
  <si>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</si>
  <si>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</si>
  <si>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</si>
  <si>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</si>
  <si>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</si>
  <si>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</si>
  <si>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</si>
  <si>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</si>
  <si>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</si>
  <si>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</si>
  <si>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</si>
  <si>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</si>
  <si>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</si>
  <si>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</si>
  <si>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</si>
  <si>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</si>
  <si>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</si>
  <si>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</si>
  <si>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</si>
  <si>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</si>
  <si>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</si>
  <si>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</si>
  <si>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</si>
  <si>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</si>
  <si>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</si>
  <si>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</si>
  <si>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</si>
  <si>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</si>
  <si>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</si>
  <si>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</si>
  <si>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</si>
  <si>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</si>
  <si>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</si>
  <si>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</si>
  <si>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</si>
  <si>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</si>
  <si>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</si>
  <si>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</si>
  <si>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</si>
  <si>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</si>
  <si>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</si>
  <si>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</si>
  <si>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</si>
  <si>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</si>
  <si>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</si>
  <si>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</si>
  <si>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</si>
  <si>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</si>
  <si>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</si>
  <si>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</si>
  <si>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</si>
  <si>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</si>
  <si>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</si>
  <si>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</si>
  <si>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</si>
  <si>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</si>
  <si>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</si>
  <si>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</si>
  <si>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</si>
  <si>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</si>
  <si>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</si>
  <si>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</si>
  <si>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</si>
  <si>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</si>
  <si>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</si>
  <si>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</si>
  <si>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</si>
  <si>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</si>
  <si>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</si>
  <si>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</si>
  <si>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</si>
  <si>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</si>
  <si>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</si>
  <si>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</si>
  <si>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</si>
  <si>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</si>
  <si>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</si>
  <si>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</si>
  <si>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</si>
  <si>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</si>
  <si>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</si>
  <si>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</si>
  <si>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</si>
  <si>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</si>
  <si>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</si>
  <si>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</si>
  <si>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</si>
  <si>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</si>
  <si>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</si>
  <si>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</si>
  <si>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</si>
  <si>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</si>
  <si>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</si>
  <si>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</si>
  <si>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</si>
  <si>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</si>
  <si>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</si>
  <si>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</si>
  <si>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</si>
  <si>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</si>
  <si>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</si>
  <si>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</si>
  <si>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</si>
  <si>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</si>
  <si>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</si>
  <si>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</si>
  <si>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</si>
  <si>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</si>
  <si>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</si>
  <si>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</si>
  <si>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</si>
  <si>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</si>
  <si>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</si>
  <si>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</si>
  <si>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</si>
  <si>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</si>
  <si>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</si>
  <si>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</si>
  <si>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</si>
  <si>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</si>
  <si>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</si>
  <si>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</si>
  <si>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</si>
  <si>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</si>
  <si>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</si>
  <si>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</si>
  <si>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</si>
  <si>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</si>
  <si>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</si>
  <si>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</si>
  <si>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</si>
  <si>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</si>
  <si>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</si>
  <si>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</si>
  <si>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</si>
  <si>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</si>
  <si>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</si>
  <si>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</si>
  <si>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</si>
  <si>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</si>
  <si>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</si>
  <si>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</si>
  <si>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</si>
  <si>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</si>
  <si>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</si>
  <si>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</si>
  <si>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</si>
  <si>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</si>
  <si>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</si>
  <si>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</si>
  <si>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</si>
  <si>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</si>
  <si>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</si>
  <si>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</si>
  <si>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</si>
  <si>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</si>
  <si>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</si>
  <si>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</si>
  <si>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</si>
  <si>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</si>
  <si>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</si>
  <si>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</si>
  <si>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</si>
  <si>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</si>
  <si>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</si>
  <si>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</si>
  <si>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</si>
  <si>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</si>
  <si>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</si>
  <si>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</si>
  <si>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</si>
  <si>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</si>
  <si>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</si>
  <si>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</si>
  <si>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</si>
  <si>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</si>
  <si>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</si>
  <si>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</si>
  <si>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</si>
  <si>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</si>
  <si>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</si>
  <si>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</si>
  <si>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</si>
  <si>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</si>
  <si>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</si>
  <si>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</si>
  <si>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</si>
  <si>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</si>
  <si>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</si>
  <si>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</si>
  <si>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</si>
  <si>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</si>
  <si>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</si>
  <si>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</si>
  <si>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</si>
  <si>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</si>
  <si>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</si>
  <si>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</si>
  <si>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</si>
  <si>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</si>
  <si>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</si>
  <si>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</si>
  <si>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</si>
  <si>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</si>
  <si>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</si>
  <si>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</si>
  <si>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</si>
  <si>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</si>
  <si>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</si>
  <si>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</si>
  <si>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</si>
  <si>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</si>
  <si>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</si>
  <si>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</si>
  <si>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</si>
  <si>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</si>
  <si>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</si>
  <si>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</si>
  <si>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</si>
  <si>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</si>
  <si>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</si>
  <si>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</si>
  <si>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</si>
  <si>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</si>
  <si>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</si>
  <si>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</si>
  <si>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</si>
  <si>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</si>
  <si>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</si>
  <si>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</si>
  <si>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</si>
  <si>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</si>
  <si>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</si>
  <si>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</si>
  <si>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</si>
  <si>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</si>
  <si>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</si>
  <si>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</si>
  <si>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</si>
  <si>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</si>
  <si>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</si>
  <si>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</si>
  <si>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</si>
  <si>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</si>
  <si>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</si>
  <si>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</si>
  <si>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</si>
  <si>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</si>
  <si>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</si>
  <si>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</si>
  <si>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</si>
  <si>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</si>
  <si>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</si>
  <si>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</si>
  <si>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</si>
  <si>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</si>
  <si>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</si>
  <si>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</si>
  <si>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</si>
  <si>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</si>
  <si>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</si>
  <si>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</si>
  <si>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</si>
  <si>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</si>
  <si>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</si>
  <si>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</si>
  <si>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</si>
  <si>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</si>
  <si>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</si>
  <si>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</si>
  <si>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</si>
  <si>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</si>
  <si>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</si>
  <si>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</si>
  <si>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</si>
  <si>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</si>
  <si>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</si>
  <si>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</si>
  <si>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</si>
  <si>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</si>
  <si>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</si>
  <si>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</si>
  <si>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</si>
  <si>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</si>
  <si>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</si>
  <si>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</si>
  <si>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</si>
  <si>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</si>
  <si>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</si>
  <si>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</si>
  <si>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</si>
  <si>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</si>
  <si>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</si>
  <si>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</si>
  <si>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</si>
  <si>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</si>
  <si>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</si>
  <si>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</si>
  <si>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</si>
  <si>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</si>
  <si>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</si>
  <si>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</si>
  <si>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</si>
  <si>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</si>
  <si>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</si>
  <si>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</si>
  <si>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</si>
  <si>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</si>
  <si>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</si>
  <si>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</si>
  <si>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</si>
  <si>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</si>
  <si>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</si>
  <si>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</si>
  <si>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</si>
  <si>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</si>
  <si>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</si>
  <si>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</si>
  <si>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</si>
  <si>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</si>
  <si>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</si>
  <si>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</si>
  <si>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</si>
  <si>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</si>
  <si>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</si>
  <si>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</si>
  <si>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</si>
  <si>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</si>
  <si>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</si>
  <si>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</si>
  <si>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</si>
  <si>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</si>
  <si>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</si>
  <si>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</si>
  <si>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</si>
  <si>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</si>
  <si>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</si>
  <si>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</si>
  <si>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</si>
  <si>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</si>
  <si>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</si>
  <si>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</si>
  <si>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</si>
  <si>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</si>
  <si>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</si>
  <si>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</si>
  <si>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</si>
  <si>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</si>
  <si>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</si>
  <si>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</si>
  <si>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</si>
  <si>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</si>
  <si>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</si>
  <si>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</si>
  <si>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</si>
  <si>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</si>
  <si>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</si>
  <si>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</si>
  <si>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</si>
  <si>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</si>
  <si>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</si>
  <si>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</si>
  <si>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</si>
  <si>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</si>
  <si>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</si>
  <si>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</si>
  <si>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</si>
  <si>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</si>
  <si>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</si>
  <si>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</si>
  <si>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</si>
  <si>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</si>
  <si>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</si>
  <si>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</si>
  <si>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</si>
  <si>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</si>
  <si>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</si>
  <si>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</si>
  <si>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</si>
  <si>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</si>
  <si>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</si>
  <si>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</si>
  <si>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</si>
  <si>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</si>
  <si>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</si>
  <si>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</si>
  <si>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</si>
  <si>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</si>
  <si>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</si>
  <si>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</si>
  <si>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</si>
  <si>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</si>
  <si>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</si>
  <si>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</si>
  <si>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</si>
  <si>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</si>
  <si>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</si>
  <si>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</si>
  <si>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</si>
  <si>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</si>
  <si>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</si>
  <si>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</si>
  <si>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</si>
  <si>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</si>
  <si>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</si>
  <si>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</si>
  <si>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</si>
  <si>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</si>
  <si>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</si>
  <si>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</si>
  <si>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</si>
  <si>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</si>
  <si>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</si>
  <si>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</si>
  <si>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</si>
  <si>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</si>
  <si>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</si>
  <si>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</si>
  <si>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</si>
  <si>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</si>
  <si>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</si>
  <si>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</si>
  <si>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</si>
  <si>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</si>
  <si>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</si>
  <si>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</si>
  <si>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</si>
  <si>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</si>
  <si>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</si>
  <si>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</si>
  <si>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</si>
  <si>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</si>
  <si>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</si>
  <si>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</si>
  <si>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</si>
  <si>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</si>
  <si>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</si>
  <si>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</si>
  <si>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</si>
  <si>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</si>
  <si>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</si>
  <si>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</si>
  <si>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</si>
  <si>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</si>
  <si>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</si>
  <si>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</si>
  <si>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</si>
  <si>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</si>
  <si>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</si>
  <si>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</si>
  <si>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</si>
  <si>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</si>
  <si>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</si>
  <si>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</si>
  <si>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</si>
  <si>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</si>
  <si>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</si>
  <si>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</si>
  <si>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</si>
  <si>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</si>
  <si>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</si>
  <si>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</si>
  <si>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</si>
  <si>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</si>
  <si>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</si>
  <si>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</si>
  <si>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</si>
  <si>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</si>
  <si>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</si>
  <si>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</si>
  <si>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</si>
  <si>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</si>
  <si>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</si>
  <si>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</si>
  <si>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</si>
  <si>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</si>
  <si>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</si>
  <si>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</si>
  <si>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</si>
  <si>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</si>
  <si>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</si>
  <si>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</si>
  <si>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</si>
  <si>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</si>
  <si>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</si>
  <si>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</si>
  <si>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</si>
  <si>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</si>
  <si>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</si>
  <si>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</si>
  <si>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</si>
  <si>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</si>
  <si>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</si>
  <si>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</si>
  <si>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</si>
  <si>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</si>
  <si>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</si>
  <si>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</si>
  <si>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</si>
  <si>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</si>
  <si>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</si>
  <si>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</si>
  <si>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</si>
  <si>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</si>
  <si>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</si>
  <si>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</si>
  <si>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</si>
  <si>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</si>
  <si>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</si>
  <si>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</si>
  <si>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</si>
  <si>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</si>
  <si>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</si>
  <si>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</si>
  <si>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</si>
  <si>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</si>
  <si>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</si>
  <si>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</si>
  <si>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</si>
  <si>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</si>
  <si>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</si>
  <si>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</si>
  <si>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</si>
  <si>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</si>
  <si>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</si>
  <si>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</si>
  <si>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</si>
  <si>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</si>
  <si>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</si>
  <si>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</si>
  <si>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</si>
  <si>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</si>
  <si>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</si>
  <si>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</si>
  <si>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</si>
  <si>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</si>
  <si>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</si>
  <si>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</si>
  <si>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</si>
  <si>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</si>
  <si>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</si>
  <si>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</si>
  <si>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</si>
  <si>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</si>
  <si>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</si>
  <si>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</si>
  <si>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</si>
  <si>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</si>
  <si>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</si>
  <si>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</si>
  <si>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</si>
  <si>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</si>
  <si>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</si>
  <si>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</si>
  <si>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</si>
  <si>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</si>
  <si>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</si>
  <si>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</si>
  <si>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</si>
  <si>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</si>
  <si>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</si>
  <si>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</si>
  <si>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</si>
  <si>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</si>
  <si>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</si>
  <si>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</si>
  <si>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</si>
  <si>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</si>
  <si>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</si>
  <si>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</si>
  <si>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</si>
  <si>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</si>
  <si>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</si>
  <si>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</si>
  <si>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</si>
  <si>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</si>
  <si>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</si>
  <si>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</si>
  <si>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</si>
  <si>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</si>
  <si>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</si>
  <si>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</si>
  <si>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</si>
  <si>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</si>
  <si>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</si>
  <si>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</si>
  <si>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</si>
  <si>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</si>
  <si>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</si>
  <si>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</si>
  <si>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</si>
  <si>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</si>
  <si>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</si>
  <si>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</si>
  <si>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</si>
  <si>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</si>
  <si>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</si>
  <si>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</si>
  <si>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</si>
  <si>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</si>
  <si>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</si>
  <si>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</si>
  <si>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</si>
  <si>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</si>
  <si>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</si>
  <si>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</si>
  <si>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</si>
  <si>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</si>
  <si>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</si>
  <si>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</si>
  <si>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</si>
  <si>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</si>
  <si>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</si>
  <si>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</si>
  <si>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</si>
  <si>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</si>
  <si>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</si>
  <si>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</si>
  <si>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</si>
  <si>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</si>
  <si>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</si>
  <si>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</si>
  <si>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</si>
  <si>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</si>
  <si>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</si>
  <si>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</si>
  <si>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</si>
  <si>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</si>
  <si>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</si>
  <si>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</si>
  <si>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</si>
  <si>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</si>
  <si>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</si>
  <si>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</si>
  <si>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</si>
  <si>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</si>
  <si>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</si>
  <si>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</si>
  <si>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</si>
  <si>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</si>
  <si>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</si>
  <si>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</si>
  <si>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</si>
  <si>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</si>
  <si>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</si>
  <si>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</si>
  <si>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</si>
  <si>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</si>
  <si>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</si>
  <si>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</si>
  <si>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</si>
  <si>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</si>
  <si>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</si>
  <si>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</si>
  <si>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</si>
  <si>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</si>
  <si>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</si>
  <si>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</si>
  <si>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</si>
  <si>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</si>
  <si>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</si>
  <si>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</si>
  <si>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</si>
  <si>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</si>
  <si>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</si>
  <si>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</si>
  <si>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</si>
  <si>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</si>
  <si>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</si>
  <si>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</si>
  <si>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</si>
  <si>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</si>
  <si>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</si>
  <si>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</si>
  <si>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</si>
  <si>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</si>
  <si>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</si>
  <si>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</si>
  <si>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</si>
  <si>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</si>
  <si>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</si>
  <si>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</si>
  <si>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</si>
  <si>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</si>
  <si>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</si>
  <si>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</si>
  <si>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</si>
  <si>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</si>
  <si>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</si>
  <si>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</si>
  <si>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</si>
  <si>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</si>
  <si>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</si>
  <si>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</si>
  <si>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</si>
  <si>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</si>
  <si>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</si>
  <si>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</si>
  <si>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</si>
  <si>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</si>
  <si>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</si>
  <si>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</si>
  <si>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</si>
  <si>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</si>
  <si>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</si>
  <si>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</si>
  <si>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</si>
  <si>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</si>
  <si>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</si>
  <si>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</si>
  <si>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</si>
  <si>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</si>
  <si>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</si>
  <si>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</si>
  <si>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</si>
  <si>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</si>
  <si>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</si>
  <si>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</si>
  <si>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</si>
  <si>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</si>
  <si>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</si>
  <si>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</si>
  <si>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</si>
  <si>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</si>
  <si>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</si>
  <si>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</si>
  <si>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</si>
  <si>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</si>
  <si>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</si>
  <si>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</si>
  <si>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</si>
  <si>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</si>
  <si>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</si>
  <si>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</si>
  <si>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</si>
  <si>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</si>
  <si>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</si>
  <si>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</si>
  <si>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</si>
  <si>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</si>
  <si>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</si>
  <si>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</si>
  <si>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</si>
  <si>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</si>
  <si>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</si>
  <si>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</si>
  <si>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</si>
  <si>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</si>
  <si>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</si>
  <si>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</si>
  <si>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</si>
  <si>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</si>
  <si>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</si>
  <si>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</si>
  <si>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</si>
  <si>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</si>
  <si>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</si>
  <si>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</si>
  <si>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</si>
  <si>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</si>
  <si>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</si>
  <si>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</si>
  <si>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</si>
  <si>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</si>
  <si>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</si>
  <si>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</si>
  <si>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</si>
  <si>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</si>
  <si>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</si>
  <si>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</si>
  <si>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</si>
  <si>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</si>
  <si>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</si>
  <si>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</si>
  <si>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</si>
  <si>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</si>
  <si>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</si>
  <si>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</si>
  <si>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</si>
  <si>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</si>
  <si>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</si>
  <si>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</si>
  <si>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</si>
  <si>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</si>
  <si>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</si>
  <si>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</si>
  <si>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</si>
  <si>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</si>
  <si>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</si>
  <si>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</si>
  <si>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</si>
  <si>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</si>
  <si>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</si>
  <si>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</si>
  <si>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</si>
  <si>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</si>
  <si>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</si>
  <si>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</si>
  <si>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</si>
  <si>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</si>
  <si>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</si>
  <si>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</si>
  <si>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</si>
  <si>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</si>
  <si>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</si>
  <si>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</si>
  <si>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</si>
  <si>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</si>
  <si>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</si>
  <si>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</si>
  <si>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</si>
  <si>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</si>
  <si>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</si>
  <si>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</si>
  <si>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</si>
  <si>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</si>
  <si>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</si>
  <si>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</si>
  <si>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</si>
  <si>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</si>
  <si>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</si>
  <si>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</si>
  <si>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</si>
  <si>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</si>
  <si>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</si>
  <si>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</si>
  <si>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</si>
  <si>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</si>
  <si>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</si>
  <si>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</si>
  <si>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</si>
  <si>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</si>
  <si>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</si>
  <si>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</si>
  <si>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</si>
  <si>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</si>
  <si>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</si>
  <si>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</si>
  <si>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</si>
  <si>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</si>
  <si>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</si>
  <si>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</si>
  <si>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</si>
  <si>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</si>
  <si>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</si>
  <si>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</si>
  <si>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</si>
  <si>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</si>
  <si>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</si>
  <si>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</si>
  <si>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</si>
  <si>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</si>
  <si>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</si>
  <si>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</si>
  <si>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</si>
  <si>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</si>
  <si>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</si>
  <si>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</si>
  <si>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</si>
  <si>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</si>
  <si>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</si>
  <si>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</si>
  <si>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</si>
  <si>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</si>
  <si>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</si>
  <si>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</si>
  <si>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</si>
  <si>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</si>
  <si>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</si>
  <si>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</si>
  <si>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</si>
  <si>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</si>
  <si>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</si>
  <si>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</si>
  <si>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</si>
  <si>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</si>
  <si>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</si>
  <si>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</si>
  <si>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</si>
  <si>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</si>
  <si>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</si>
  <si>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</si>
  <si>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</si>
  <si>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</si>
  <si>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</si>
  <si>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</si>
  <si>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</si>
  <si>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</si>
  <si>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</si>
  <si>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</si>
  <si>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</si>
  <si>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</si>
  <si>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</si>
  <si>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</si>
  <si>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</si>
  <si>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</si>
  <si>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</si>
  <si>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</si>
  <si>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</si>
  <si>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</si>
  <si>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</si>
  <si>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</si>
  <si>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</si>
  <si>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</si>
  <si>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</si>
  <si>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</si>
  <si>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</si>
  <si>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</si>
  <si>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</si>
  <si>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</si>
  <si>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</si>
  <si>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</si>
  <si>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</si>
  <si>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</si>
  <si>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</si>
  <si>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</si>
  <si>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</si>
  <si>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</si>
  <si>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</si>
  <si>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</si>
  <si>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</si>
  <si>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</si>
  <si>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</si>
  <si>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</si>
  <si>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</si>
  <si>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</si>
  <si>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</si>
  <si>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</si>
  <si>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</si>
  <si>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</si>
  <si>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</si>
  <si>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</si>
  <si>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</si>
  <si>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</si>
  <si>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</si>
  <si>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</si>
  <si>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</si>
  <si>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</si>
  <si>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</si>
  <si>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</si>
  <si>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</si>
  <si>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</si>
  <si>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</si>
  <si>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</si>
  <si>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</si>
  <si>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</si>
  <si>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</si>
  <si>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</si>
  <si>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</si>
  <si>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</si>
  <si>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</si>
  <si>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</si>
  <si>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</si>
  <si>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</si>
  <si>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</si>
  <si>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</si>
  <si>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</si>
  <si>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</si>
  <si>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</si>
  <si>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</si>
  <si>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</si>
  <si>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</si>
  <si>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</si>
  <si>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</si>
  <si>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</si>
  <si>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</si>
  <si>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</si>
  <si>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</si>
  <si>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</si>
  <si>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</si>
  <si>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</si>
  <si>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</si>
  <si>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</si>
  <si>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</si>
  <si>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</si>
  <si>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</si>
  <si>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</si>
  <si>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</si>
  <si>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</si>
  <si>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</si>
  <si>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</si>
  <si>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</si>
  <si>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</si>
  <si>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</si>
  <si>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</si>
  <si>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</si>
  <si>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</si>
  <si>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</si>
  <si>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</si>
  <si>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</si>
  <si>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</si>
  <si>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</si>
  <si>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</si>
  <si>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</si>
  <si>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</si>
  <si>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</si>
  <si>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</si>
  <si>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</si>
  <si>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</si>
  <si>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</si>
  <si>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</si>
  <si>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</si>
  <si>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</si>
  <si>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</si>
  <si>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</si>
  <si>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</si>
  <si>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</si>
  <si>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</si>
  <si>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</si>
  <si>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</si>
  <si>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</si>
  <si>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</si>
  <si>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</si>
  <si>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</si>
  <si>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</si>
  <si>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</si>
  <si>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</si>
  <si>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</si>
  <si>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</si>
  <si>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</si>
  <si>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</si>
  <si>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</si>
  <si>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</si>
  <si>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</si>
  <si>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</si>
  <si>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</si>
  <si>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</si>
  <si>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</si>
  <si>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</si>
  <si>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</si>
  <si>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</si>
  <si>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</si>
  <si>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</si>
  <si>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</si>
  <si>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</si>
  <si>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</si>
  <si>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</si>
  <si>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</si>
  <si>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</si>
  <si>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</si>
  <si>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</si>
  <si>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</si>
  <si>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</si>
  <si>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</si>
  <si>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</si>
  <si>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</si>
  <si>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</si>
  <si>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</si>
  <si>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</si>
  <si>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</si>
  <si>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</si>
  <si>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</si>
  <si>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</si>
  <si>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</si>
  <si>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</si>
  <si>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</si>
  <si>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</si>
  <si>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</si>
  <si>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</si>
  <si>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</si>
  <si>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</si>
  <si>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</si>
  <si>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</si>
  <si>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</si>
  <si>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</si>
  <si>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</si>
  <si>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</si>
  <si>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</si>
  <si>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</si>
  <si>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</si>
  <si>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</si>
  <si>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</si>
  <si>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</si>
  <si>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</si>
  <si>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</si>
  <si>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</si>
  <si>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</si>
  <si>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</si>
  <si>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</si>
  <si>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</si>
  <si>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</si>
  <si>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</si>
  <si>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</si>
  <si>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</si>
  <si>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</si>
  <si>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</si>
  <si>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</si>
  <si>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</si>
  <si>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</si>
  <si>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</si>
  <si>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</si>
  <si>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</si>
  <si>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</si>
  <si>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</si>
  <si>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</si>
  <si>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</si>
  <si>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</si>
  <si>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</si>
  <si>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</si>
  <si>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</si>
  <si>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</si>
  <si>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</si>
  <si>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</si>
  <si>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</si>
  <si>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</si>
  <si>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</si>
  <si>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</si>
  <si>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</si>
  <si>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</si>
  <si>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</si>
  <si>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</si>
  <si>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</si>
  <si>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</si>
  <si>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</si>
  <si>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</si>
  <si>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</si>
  <si>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</si>
  <si>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</si>
  <si>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</si>
  <si>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</si>
  <si>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</si>
  <si>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</si>
  <si>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</si>
  <si>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</si>
  <si>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</si>
  <si>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</si>
  <si>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</si>
  <si>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</si>
  <si>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</si>
  <si>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</si>
  <si>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</si>
  <si>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</si>
  <si>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</si>
  <si>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</si>
  <si>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</si>
  <si>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</si>
  <si>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</si>
  <si>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</si>
  <si>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</si>
  <si>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</si>
  <si>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</si>
  <si>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</si>
  <si>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</si>
  <si>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</si>
  <si>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</si>
  <si>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</si>
  <si>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</si>
  <si>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</si>
  <si>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</si>
  <si>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</si>
  <si>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</si>
  <si>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</si>
  <si>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</si>
  <si>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</si>
  <si>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</si>
  <si>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</si>
  <si>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</si>
  <si>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</si>
  <si>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</si>
  <si>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</si>
  <si>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</si>
  <si>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</si>
  <si>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</si>
  <si>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</si>
  <si>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</si>
  <si>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</si>
  <si>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</si>
  <si>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</si>
  <si>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</si>
  <si>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</si>
  <si>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</si>
  <si>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</si>
  <si>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</si>
  <si>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</si>
  <si>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</si>
  <si>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</si>
  <si>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</si>
  <si>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</si>
  <si>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</si>
  <si>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</si>
  <si>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</si>
  <si>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</si>
  <si>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</si>
  <si>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</si>
  <si>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</si>
  <si>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</si>
  <si>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</si>
  <si>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</si>
  <si>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</si>
  <si>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</si>
  <si>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</si>
  <si>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</si>
  <si>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</si>
  <si>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</si>
  <si>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</si>
  <si>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</si>
  <si>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</si>
  <si>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</si>
  <si>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</si>
  <si>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</si>
  <si>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</si>
  <si>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</si>
  <si>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</si>
  <si>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</si>
  <si>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</si>
  <si>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</si>
  <si>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</si>
  <si>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</si>
  <si>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</si>
  <si>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</si>
  <si>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</si>
  <si>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</si>
  <si>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</si>
  <si>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</si>
  <si>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</si>
  <si>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</si>
  <si>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</si>
  <si>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</si>
  <si>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</si>
  <si>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</si>
  <si>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</si>
  <si>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</si>
  <si>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</si>
  <si>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</si>
  <si>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</si>
  <si>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</si>
  <si>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</si>
  <si>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</si>
  <si>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</si>
  <si>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</si>
  <si>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</si>
  <si>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</si>
  <si>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</si>
  <si>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</si>
  <si>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</si>
  <si>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</si>
  <si>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</si>
  <si>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</si>
  <si>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</si>
  <si>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</si>
  <si>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</si>
  <si>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</si>
  <si>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</si>
  <si>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</si>
  <si>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</si>
  <si>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</si>
  <si>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</si>
  <si>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</si>
  <si>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</si>
  <si>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</si>
  <si>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</si>
  <si>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</si>
  <si>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</si>
  <si>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</si>
  <si>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</si>
  <si>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</si>
  <si>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</si>
  <si>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</si>
  <si>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</si>
  <si>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</si>
  <si>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</si>
  <si>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</si>
  <si>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</si>
  <si>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</si>
  <si>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</si>
  <si>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</si>
  <si>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</si>
  <si>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</si>
  <si>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</si>
  <si>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</si>
  <si>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</si>
  <si>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</si>
  <si>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</si>
  <si>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</si>
  <si>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</si>
  <si>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</si>
  <si>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</si>
  <si>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</si>
  <si>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</si>
  <si>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</si>
  <si>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</si>
  <si>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</si>
  <si>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</si>
  <si>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</si>
  <si>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</si>
  <si>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</si>
  <si>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</si>
  <si>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</si>
  <si>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</si>
  <si>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</si>
  <si>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</si>
  <si>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</si>
  <si>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</si>
  <si>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</si>
  <si>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</si>
  <si>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</si>
  <si>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</si>
  <si>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</si>
  <si>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</si>
  <si>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</si>
  <si>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</si>
  <si>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</si>
  <si>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</si>
  <si>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</si>
  <si>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</si>
  <si>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</si>
  <si>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</si>
  <si>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</si>
  <si>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</si>
  <si>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</si>
  <si>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</si>
  <si>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</si>
  <si>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</si>
  <si>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</si>
  <si>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</si>
  <si>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</si>
  <si>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</si>
  <si>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</si>
  <si>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</si>
  <si>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</si>
  <si>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</si>
  <si>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</si>
  <si>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</si>
  <si>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</si>
  <si>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</si>
  <si>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</si>
  <si>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</si>
  <si>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</si>
  <si>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</si>
  <si>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</si>
  <si>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</si>
  <si>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</si>
  <si>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</si>
  <si>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</si>
  <si>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</si>
  <si>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</si>
  <si>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</si>
  <si>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</si>
  <si>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</si>
  <si>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</si>
  <si>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</si>
  <si>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</si>
  <si>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</si>
  <si>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</si>
  <si>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</si>
  <si>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</si>
  <si>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</si>
  <si>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</si>
  <si>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</si>
  <si>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</si>
  <si>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</si>
  <si>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</si>
  <si>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</si>
  <si>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</si>
  <si>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</si>
  <si>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</si>
  <si>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</si>
  <si>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</si>
  <si>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</si>
  <si>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</si>
  <si>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</si>
  <si>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</si>
  <si>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</si>
  <si>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</si>
  <si>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</si>
  <si>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</si>
  <si>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</si>
  <si>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</si>
  <si>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</si>
  <si>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</si>
  <si>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</si>
  <si>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</si>
  <si>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</si>
  <si>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</si>
  <si>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</si>
  <si>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</si>
  <si>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</si>
  <si>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</si>
  <si>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</si>
  <si>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</si>
  <si>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</si>
  <si>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</si>
  <si>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</si>
  <si>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</si>
  <si>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</si>
  <si>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</si>
  <si>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</si>
  <si>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</si>
  <si>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</si>
  <si>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</si>
  <si>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</si>
  <si>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</si>
  <si>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</si>
  <si>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</si>
  <si>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</si>
  <si>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</si>
  <si>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</si>
  <si>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</si>
  <si>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</si>
  <si>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</si>
  <si>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</si>
  <si>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</si>
  <si>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</si>
  <si>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</si>
  <si>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</si>
  <si>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</si>
  <si>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</si>
  <si>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</si>
  <si>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</si>
  <si>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</si>
  <si>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</si>
  <si>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</si>
  <si>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</si>
  <si>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</si>
  <si>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</si>
  <si>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</si>
  <si>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</si>
  <si>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</si>
  <si>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</si>
  <si>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</si>
  <si>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</si>
  <si>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</si>
  <si>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</si>
  <si>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</si>
  <si>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</si>
  <si>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</si>
  <si>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</si>
  <si>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</si>
  <si>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</si>
  <si>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</si>
  <si>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</si>
  <si>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</si>
  <si>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</si>
  <si>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</si>
  <si>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</si>
  <si>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</si>
  <si>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</si>
  <si>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</si>
  <si>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</si>
  <si>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</si>
  <si>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</si>
  <si>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</si>
  <si>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</si>
  <si>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</si>
  <si>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</si>
  <si>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</si>
  <si>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</si>
  <si>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</si>
  <si>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</si>
  <si>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</si>
  <si>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</si>
  <si>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</si>
  <si>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</si>
  <si>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</si>
  <si>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</si>
  <si>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</si>
  <si>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</si>
  <si>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</si>
  <si>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</si>
  <si>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</si>
  <si>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</si>
  <si>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</si>
  <si>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</si>
  <si>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</si>
  <si>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</si>
  <si>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</si>
  <si>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</si>
  <si>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</si>
  <si>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</si>
  <si>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</si>
  <si>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</si>
  <si>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</si>
  <si>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</si>
  <si>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</si>
  <si>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</si>
  <si>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</si>
  <si>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</si>
  <si>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</si>
  <si>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</si>
  <si>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</si>
  <si>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</si>
  <si>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</si>
  <si>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</si>
  <si>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</si>
  <si>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</si>
  <si>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</si>
  <si>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</si>
  <si>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</si>
  <si>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</si>
  <si>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</si>
  <si>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</si>
  <si>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</si>
  <si>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</si>
  <si>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</si>
  <si>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</si>
  <si>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</si>
  <si>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</si>
  <si>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</si>
  <si>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</si>
  <si>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</si>
  <si>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</si>
  <si>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</si>
  <si>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</si>
  <si>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</si>
  <si>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</si>
  <si>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</si>
  <si>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</si>
  <si>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</si>
  <si>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</si>
  <si>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</si>
  <si>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</si>
  <si>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</si>
  <si>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</si>
  <si>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</si>
  <si>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</si>
  <si>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</si>
  <si>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</si>
  <si>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</si>
  <si>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</si>
  <si>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</si>
  <si>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</si>
  <si>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</si>
  <si>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</si>
  <si>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</si>
  <si>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</si>
  <si>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</si>
  <si>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</si>
  <si>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</si>
  <si>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</si>
  <si>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</si>
  <si>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</si>
  <si>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</si>
  <si>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</si>
  <si>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</si>
  <si>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</si>
  <si>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</si>
  <si>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</si>
  <si>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</si>
  <si>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</si>
  <si>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</si>
  <si>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</si>
  <si>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</si>
  <si>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</si>
  <si>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</si>
  <si>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</si>
  <si>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</si>
  <si>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</si>
  <si>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</si>
  <si>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</si>
  <si>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</si>
  <si>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</si>
  <si>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</si>
  <si>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</si>
  <si>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</si>
  <si>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</si>
  <si>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</si>
  <si>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</si>
  <si>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</si>
  <si>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</si>
  <si>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</si>
  <si>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</si>
  <si>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</si>
  <si>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</si>
  <si>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</si>
  <si>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</si>
  <si>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</si>
  <si>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</si>
  <si>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</si>
  <si>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</si>
  <si>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</si>
  <si>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</si>
  <si>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</si>
  <si>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</si>
  <si>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</si>
  <si>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</si>
  <si>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</si>
  <si>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</si>
  <si>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</si>
  <si>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</si>
  <si>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</si>
  <si>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</si>
  <si>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</si>
  <si>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</si>
  <si>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</si>
  <si>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</si>
  <si>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</si>
  <si>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</si>
  <si>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</si>
  <si>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</si>
  <si>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</si>
  <si>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</si>
  <si>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</si>
  <si>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</si>
  <si>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</si>
  <si>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</si>
  <si>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</si>
  <si>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</si>
  <si>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</si>
  <si>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</si>
  <si>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</si>
  <si>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</si>
  <si>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</si>
  <si>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</si>
  <si>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</si>
  <si>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</si>
  <si>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</si>
  <si>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</si>
  <si>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</si>
  <si>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</si>
  <si>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</si>
  <si>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</si>
  <si>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</si>
  <si>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</si>
  <si>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</si>
  <si>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</si>
  <si>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</si>
  <si>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</si>
  <si>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</si>
  <si>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</si>
  <si>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</si>
  <si>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</si>
  <si>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</si>
  <si>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</si>
  <si>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</si>
  <si>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</si>
  <si>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</si>
  <si>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</si>
  <si>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</si>
  <si>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</si>
  <si>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</si>
  <si>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</si>
  <si>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</si>
  <si>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</si>
  <si>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</si>
  <si>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</si>
  <si>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</si>
  <si>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</si>
  <si>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</si>
  <si>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</si>
  <si>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</si>
  <si>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</si>
  <si>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</si>
  <si>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</si>
  <si>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</si>
  <si>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</si>
  <si>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</si>
  <si>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</si>
  <si>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</si>
  <si>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</si>
  <si>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</si>
  <si>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</si>
  <si>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</si>
  <si>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</si>
  <si>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</si>
  <si>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</si>
  <si>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</si>
  <si>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</si>
  <si>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</si>
  <si>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</si>
  <si>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</si>
  <si>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</si>
  <si>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</si>
  <si>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</si>
  <si>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</si>
  <si>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</si>
  <si>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</si>
  <si>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</si>
  <si>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</si>
  <si>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</si>
  <si>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</si>
  <si>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</si>
  <si>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</si>
  <si>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</si>
  <si>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</si>
  <si>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</si>
  <si>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</si>
  <si>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</si>
  <si>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</si>
  <si>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</si>
  <si>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</si>
  <si>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</si>
  <si>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</si>
  <si>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</si>
  <si>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</si>
  <si>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</si>
  <si>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</si>
  <si>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</si>
  <si>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</si>
  <si>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</si>
  <si>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</si>
  <si>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</si>
  <si>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</si>
  <si>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</si>
  <si>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</si>
  <si>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</si>
  <si>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</si>
  <si>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</si>
  <si>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</si>
  <si>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</si>
  <si>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</si>
  <si>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</si>
  <si>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</si>
  <si>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</si>
  <si>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</si>
  <si>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</si>
  <si>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</si>
  <si>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</si>
  <si>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</si>
  <si>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</si>
  <si>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</si>
  <si>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</si>
  <si>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</si>
  <si>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</si>
  <si>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</si>
  <si>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</si>
  <si>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</si>
  <si>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</si>
  <si>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</si>
  <si>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</si>
  <si>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</si>
  <si>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</si>
  <si>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</si>
  <si>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</si>
  <si>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</si>
  <si>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</si>
  <si>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</si>
  <si>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</si>
  <si>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</si>
  <si>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</si>
  <si>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</si>
  <si>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</si>
  <si>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</si>
  <si>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</si>
  <si>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</si>
  <si>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</si>
  <si>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</si>
  <si>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</si>
  <si>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</si>
  <si>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</si>
  <si>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</si>
  <si>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</si>
  <si>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</si>
  <si>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</si>
  <si>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</si>
  <si>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</si>
  <si>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</si>
  <si>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</si>
  <si>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</si>
  <si>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</si>
  <si>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</si>
  <si>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</si>
  <si>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</si>
  <si>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</si>
  <si>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</si>
  <si>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</si>
  <si>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</si>
  <si>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</si>
  <si>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</si>
  <si>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</si>
  <si>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</si>
  <si>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</si>
  <si>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</si>
  <si>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</si>
  <si>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</si>
  <si>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</si>
  <si>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</si>
  <si>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</si>
  <si>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</si>
  <si>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</si>
  <si>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</si>
  <si>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</si>
  <si>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</si>
  <si>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</si>
  <si>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</si>
  <si>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</si>
  <si>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</si>
  <si>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</si>
  <si>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</si>
  <si>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</si>
  <si>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</si>
  <si>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</si>
  <si>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</si>
  <si>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</si>
  <si>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</si>
  <si>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</si>
  <si>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</si>
  <si>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</si>
  <si>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</si>
  <si>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</si>
  <si>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</si>
  <si>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</si>
  <si>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</si>
  <si>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</si>
  <si>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</si>
  <si>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</si>
  <si>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</si>
  <si>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</si>
  <si>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</si>
  <si>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</si>
  <si>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</si>
  <si>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</si>
  <si>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</si>
  <si>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</si>
  <si>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</si>
  <si>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</si>
  <si>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</si>
  <si>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</si>
  <si>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</si>
  <si>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</si>
  <si>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</si>
  <si>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</si>
  <si>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</si>
  <si>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</si>
  <si>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</si>
  <si>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</si>
  <si>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</si>
  <si>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</si>
  <si>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</si>
  <si>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</si>
  <si>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</si>
  <si>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</si>
  <si>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</si>
  <si>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</si>
  <si>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</si>
  <si>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</si>
  <si>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</si>
  <si>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</si>
  <si>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</si>
  <si>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</si>
  <si>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</si>
  <si>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</si>
  <si>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</si>
  <si>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</si>
  <si>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</si>
  <si>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</si>
  <si>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</si>
  <si>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</si>
  <si>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</si>
  <si>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</si>
  <si>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</si>
  <si>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</si>
  <si>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</si>
  <si>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</si>
  <si>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</si>
  <si>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</si>
  <si>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</si>
  <si>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</si>
  <si>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</si>
  <si>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</si>
  <si>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</si>
  <si>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</si>
  <si>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</si>
  <si>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</si>
  <si>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</si>
  <si>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</si>
  <si>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</si>
  <si>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</si>
  <si>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</si>
  <si>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</si>
  <si>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</si>
  <si>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</si>
  <si>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</si>
  <si>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</si>
  <si>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</si>
  <si>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</si>
  <si>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</si>
  <si>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</si>
  <si>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</si>
  <si>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</si>
  <si>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</si>
  <si>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</si>
  <si>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</si>
  <si>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</si>
  <si>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</si>
  <si>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</si>
  <si>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</si>
  <si>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</si>
  <si>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</si>
  <si>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</si>
  <si>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</si>
  <si>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</si>
  <si>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</si>
  <si>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</si>
  <si>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</si>
  <si>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</si>
  <si>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</si>
  <si>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</si>
  <si>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</si>
  <si>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</si>
  <si>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</si>
  <si>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</si>
  <si>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</si>
  <si>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</si>
  <si>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</si>
  <si>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</si>
  <si>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</si>
  <si>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</si>
  <si>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</si>
  <si>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</si>
  <si>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</si>
  <si>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</si>
  <si>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</si>
  <si>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</si>
  <si>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</si>
  <si>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</si>
  <si>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</si>
  <si>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</si>
  <si>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</si>
  <si>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</si>
  <si>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</si>
  <si>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</si>
  <si>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</si>
  <si>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</si>
  <si>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</si>
  <si>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</si>
  <si>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</si>
  <si>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</si>
  <si>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</si>
  <si>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</si>
  <si>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</si>
  <si>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</si>
  <si>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</si>
  <si>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</si>
  <si>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</si>
  <si>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</si>
  <si>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</si>
  <si>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</si>
  <si>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</si>
  <si>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</si>
  <si>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</si>
  <si>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</si>
  <si>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</si>
  <si>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</si>
  <si>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</si>
  <si>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</si>
  <si>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</si>
  <si>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</si>
  <si>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</si>
  <si>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</si>
  <si>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</si>
  <si>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</si>
  <si>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</si>
  <si>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</si>
  <si>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</si>
  <si>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</si>
  <si>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</si>
  <si>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</si>
  <si>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</si>
  <si>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</si>
  <si>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</si>
  <si>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</si>
  <si>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</si>
  <si>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</si>
  <si>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</si>
  <si>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</si>
  <si>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</si>
  <si>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</si>
  <si>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</si>
  <si>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</si>
  <si>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</si>
  <si>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</si>
  <si>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</si>
  <si>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</si>
  <si>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</si>
  <si>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</si>
  <si>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</si>
  <si>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</si>
  <si>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</si>
  <si>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</si>
  <si>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</si>
  <si>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</si>
  <si>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</si>
  <si>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</si>
  <si>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</si>
  <si>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</si>
  <si>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</si>
  <si>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</si>
  <si>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</si>
  <si>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</si>
  <si>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</si>
  <si>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</si>
  <si>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</si>
  <si>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</si>
  <si>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</si>
  <si>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</si>
  <si>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</si>
  <si>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</si>
  <si>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</si>
  <si>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</si>
  <si>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</si>
  <si>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</si>
  <si>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</si>
  <si>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</si>
  <si>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</si>
  <si>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</si>
  <si>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</si>
  <si>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</si>
  <si>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</si>
  <si>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</si>
  <si>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</si>
  <si>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</si>
  <si>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</si>
  <si>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</si>
  <si>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</si>
  <si>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</si>
  <si>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</si>
  <si>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</si>
  <si>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</si>
  <si>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</si>
  <si>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</si>
  <si>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</si>
  <si>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</si>
  <si>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</si>
  <si>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</si>
  <si>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</si>
  <si>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</si>
  <si>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</si>
  <si>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</si>
  <si>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</si>
  <si>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</si>
  <si>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</si>
  <si>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</si>
  <si>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</si>
  <si>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</si>
  <si>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</si>
  <si>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</si>
  <si>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</si>
  <si>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</si>
  <si>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</si>
  <si>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</si>
  <si>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</si>
  <si>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</si>
  <si>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</si>
  <si>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</si>
  <si>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</si>
  <si>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</si>
  <si>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</si>
  <si>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</si>
  <si>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</si>
  <si>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</si>
  <si>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</si>
  <si>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</si>
  <si>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</si>
  <si>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</si>
  <si>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</si>
  <si>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</si>
  <si>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</si>
  <si>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</si>
  <si>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</si>
  <si>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</si>
  <si>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</si>
  <si>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</si>
  <si>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</si>
  <si>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</si>
  <si>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</si>
  <si>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</si>
  <si>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</si>
  <si>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</si>
  <si>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</si>
  <si>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</si>
  <si>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</si>
  <si>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</si>
  <si>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</si>
  <si>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</si>
  <si>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</si>
  <si>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</si>
  <si>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</si>
  <si>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</si>
  <si>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</si>
  <si>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</si>
  <si>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</si>
  <si>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</si>
  <si>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</si>
  <si>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</si>
  <si>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</si>
  <si>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</si>
  <si>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</si>
  <si>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</si>
  <si>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</si>
  <si>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</si>
  <si>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</si>
  <si>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</si>
  <si>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</si>
  <si>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</si>
  <si>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</si>
  <si>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</si>
  <si>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</si>
  <si>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</si>
  <si>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</si>
  <si>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</si>
  <si>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</si>
  <si>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</si>
  <si>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</si>
  <si>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</si>
  <si>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</si>
  <si>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</si>
  <si>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</si>
  <si>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</si>
  <si>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</si>
  <si>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</si>
  <si>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</si>
  <si>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</si>
  <si>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</si>
  <si>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</si>
  <si>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</si>
  <si>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</si>
  <si>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</si>
  <si>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</si>
  <si>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</si>
  <si>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</si>
  <si>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</si>
  <si>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</si>
  <si>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</si>
  <si>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</si>
  <si>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</si>
  <si>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</si>
  <si>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</si>
  <si>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</si>
  <si>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</si>
  <si>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</si>
  <si>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</si>
  <si>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</si>
  <si>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</si>
  <si>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</si>
  <si>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</si>
  <si>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</si>
  <si>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</si>
  <si>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</si>
  <si>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</si>
  <si>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</si>
  <si>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</si>
  <si>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</si>
  <si>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</si>
  <si>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</si>
  <si>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</si>
  <si>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</si>
  <si>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</si>
  <si>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</si>
  <si>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</si>
  <si>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</si>
  <si>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</si>
  <si>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</si>
  <si>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</si>
  <si>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</si>
  <si>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</si>
  <si>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</si>
  <si>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</si>
  <si>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</si>
  <si>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</si>
  <si>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</si>
  <si>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</si>
  <si>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</si>
  <si>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</si>
  <si>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</si>
  <si>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</si>
  <si>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</si>
  <si>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</si>
  <si>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</si>
  <si>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</si>
  <si>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</si>
  <si>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</si>
  <si>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</si>
  <si>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</si>
  <si>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</si>
  <si>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</si>
  <si>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</si>
  <si>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</si>
  <si>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</si>
  <si>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</si>
  <si>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</si>
  <si>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</si>
  <si>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</si>
  <si>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</si>
  <si>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</si>
  <si>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</si>
  <si>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</si>
  <si>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</si>
  <si>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</si>
  <si>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</si>
  <si>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</si>
  <si>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</si>
  <si>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</si>
  <si>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</si>
  <si>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</si>
  <si>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</si>
  <si>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</si>
  <si>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</si>
  <si>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</si>
  <si>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</si>
  <si>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</si>
  <si>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</si>
  <si>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</si>
  <si>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</si>
  <si>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</si>
  <si>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</si>
  <si>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</si>
  <si>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</si>
  <si>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</si>
  <si>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</si>
  <si>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</si>
  <si>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</si>
  <si>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</si>
  <si>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</si>
  <si>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</si>
  <si>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</si>
  <si>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</si>
  <si>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</si>
  <si>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</si>
  <si>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</si>
  <si>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</si>
  <si>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</si>
  <si>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</si>
  <si>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</si>
  <si>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</si>
  <si>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</si>
  <si>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</si>
  <si>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</si>
  <si>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</si>
  <si>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</si>
  <si>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</si>
  <si>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</si>
  <si>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</si>
  <si>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</si>
  <si>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</si>
  <si>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</si>
  <si>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</si>
  <si>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</si>
  <si>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</si>
  <si>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</si>
  <si>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</si>
  <si>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</si>
  <si>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</si>
  <si>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</si>
  <si>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</si>
  <si>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</si>
  <si>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</si>
  <si>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</si>
  <si>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</si>
  <si>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</si>
  <si>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</si>
  <si>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</si>
  <si>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</si>
  <si>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</si>
  <si>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</si>
  <si>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</si>
  <si>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</si>
  <si>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</si>
  <si>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</si>
  <si>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</si>
  <si>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</si>
  <si>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</si>
  <si>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</si>
  <si>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</si>
  <si>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</si>
  <si>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</si>
  <si>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</si>
  <si>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</si>
  <si>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</si>
  <si>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</si>
  <si>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</si>
  <si>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</si>
  <si>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</si>
  <si>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</si>
  <si>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</si>
  <si>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</si>
  <si>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</si>
  <si>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</si>
  <si>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</si>
  <si>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</si>
  <si>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</si>
  <si>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</si>
  <si>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</si>
  <si>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</si>
  <si>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</si>
  <si>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</si>
  <si>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</si>
  <si>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</si>
  <si>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</si>
  <si>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</si>
  <si>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</si>
  <si>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</si>
  <si>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</si>
  <si>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</si>
  <si>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</si>
  <si>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</si>
  <si>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</si>
  <si>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</si>
  <si>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</si>
  <si>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</si>
  <si>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</si>
  <si>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</si>
  <si>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</si>
  <si>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</si>
  <si>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</si>
  <si>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</si>
  <si>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</si>
  <si>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</si>
  <si>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</si>
  <si>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</si>
  <si>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</si>
  <si>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</si>
  <si>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</si>
  <si>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</si>
  <si>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</si>
  <si>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</si>
  <si>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</si>
  <si>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</si>
  <si>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</si>
  <si>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</si>
  <si>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</si>
  <si>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</si>
  <si>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</si>
  <si>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</si>
  <si>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</si>
  <si>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</si>
  <si>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</si>
  <si>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</si>
  <si>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</si>
  <si>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</si>
  <si>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</si>
  <si>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</si>
  <si>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</si>
  <si>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</si>
  <si>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</si>
  <si>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</si>
  <si>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</si>
  <si>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</si>
  <si>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</si>
  <si>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</si>
  <si>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</si>
  <si>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</si>
  <si>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</si>
  <si>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</si>
  <si>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</si>
  <si>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</si>
  <si>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</si>
  <si>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</si>
  <si>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</si>
  <si>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</si>
  <si>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</si>
  <si>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</si>
  <si>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</si>
  <si>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</si>
  <si>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</si>
  <si>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</si>
  <si>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</si>
  <si>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</si>
  <si>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</si>
  <si>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</si>
  <si>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</si>
  <si>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</si>
  <si>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</si>
  <si>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</si>
  <si>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</si>
  <si>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</si>
  <si>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</si>
  <si>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</si>
  <si>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</si>
  <si>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</si>
  <si>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</si>
  <si>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</si>
  <si>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</si>
  <si>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</si>
  <si>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</si>
  <si>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</si>
  <si>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</si>
  <si>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</si>
  <si>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</si>
  <si>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</si>
  <si>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</si>
  <si>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</si>
  <si>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</si>
  <si>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</si>
  <si>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</si>
  <si>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</si>
  <si>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</si>
  <si>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</si>
  <si>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</si>
  <si>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</si>
  <si>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</si>
  <si>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</si>
  <si>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</si>
  <si>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</si>
  <si>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</si>
  <si>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</si>
  <si>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</si>
  <si>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</si>
  <si>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</si>
  <si>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</si>
  <si>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</si>
  <si>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</si>
  <si>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</si>
  <si>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</si>
  <si>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</si>
  <si>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</si>
  <si>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</si>
  <si>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</si>
  <si>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</si>
  <si>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</si>
  <si>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</si>
  <si>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</si>
  <si>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</si>
  <si>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</si>
  <si>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</si>
  <si>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</si>
  <si>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</si>
  <si>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</si>
  <si>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</si>
  <si>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</si>
  <si>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</si>
  <si>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</si>
  <si>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</si>
  <si>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</si>
  <si>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</si>
  <si>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</si>
  <si>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</si>
  <si>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</si>
  <si>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</si>
  <si>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</si>
  <si>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</si>
  <si>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</si>
  <si>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</si>
  <si>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</si>
  <si>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</si>
  <si>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</si>
  <si>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</si>
  <si>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</si>
  <si>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</si>
  <si>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</si>
  <si>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</si>
  <si>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</si>
  <si>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</si>
  <si>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</si>
  <si>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</si>
  <si>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</si>
  <si>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</si>
  <si>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</si>
  <si>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</si>
  <si>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</si>
  <si>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</si>
  <si>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</si>
  <si>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</si>
  <si>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</si>
  <si>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</si>
  <si>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</si>
  <si>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</si>
  <si>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</si>
  <si>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</si>
  <si>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</si>
  <si>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</si>
  <si>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</si>
  <si>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</si>
  <si>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</si>
  <si>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</si>
  <si>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</si>
  <si>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</si>
  <si>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</si>
  <si>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</si>
  <si>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</si>
  <si>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</si>
  <si>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</si>
  <si>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</si>
  <si>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</si>
  <si>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</si>
  <si>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</si>
  <si>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</si>
  <si>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</si>
  <si>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</si>
  <si>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</si>
  <si>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</si>
  <si>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</si>
  <si>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</si>
  <si>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</si>
  <si>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</si>
  <si>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</si>
  <si>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</si>
  <si>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</si>
  <si>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</si>
  <si>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</si>
  <si>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</si>
  <si>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</si>
  <si>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</si>
  <si>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</si>
  <si>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</si>
  <si>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</si>
  <si>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</si>
  <si>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</si>
  <si>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</si>
  <si>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</si>
  <si>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</si>
  <si>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</si>
  <si>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</si>
  <si>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</si>
  <si>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</si>
  <si>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</si>
  <si>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</si>
  <si>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</si>
  <si>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</si>
  <si>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</si>
  <si>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</si>
  <si>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</si>
  <si>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</si>
  <si>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</si>
  <si>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</si>
  <si>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</si>
  <si>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</si>
  <si>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</si>
  <si>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</si>
  <si>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</si>
  <si>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</si>
  <si>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</si>
  <si>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</si>
  <si>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</si>
  <si>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</si>
  <si>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</si>
  <si>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</si>
  <si>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</si>
  <si>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</si>
  <si>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</si>
  <si>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</si>
  <si>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</si>
  <si>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</si>
  <si>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</si>
  <si>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</si>
  <si>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</si>
  <si>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</si>
  <si>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</si>
  <si>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</si>
  <si>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</si>
  <si>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</si>
  <si>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</si>
  <si>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</si>
  <si>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</si>
  <si>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</si>
  <si>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</si>
  <si>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</si>
  <si>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</si>
  <si>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</si>
  <si>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</si>
  <si>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</si>
  <si>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</si>
  <si>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</si>
  <si>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</si>
  <si>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</si>
  <si>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</si>
  <si>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</si>
  <si>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</si>
  <si>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</si>
  <si>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</si>
  <si>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</si>
  <si>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</si>
  <si>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</si>
  <si>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</si>
  <si>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</si>
  <si>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</si>
  <si>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</si>
  <si>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</si>
  <si>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</si>
  <si>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</si>
  <si>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</si>
  <si>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</si>
  <si>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</si>
  <si>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</si>
  <si>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</si>
  <si>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</si>
  <si>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</si>
  <si>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</si>
  <si>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</si>
  <si>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</si>
  <si>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</si>
  <si>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</si>
  <si>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</si>
  <si>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</si>
  <si>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</si>
  <si>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</si>
  <si>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</si>
  <si>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</si>
  <si>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</si>
  <si>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</si>
  <si>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</si>
  <si>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</si>
  <si>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</si>
  <si>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</si>
  <si>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</si>
  <si>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</si>
  <si>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</si>
  <si>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</si>
  <si>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</si>
  <si>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</si>
  <si>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</si>
  <si>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</si>
  <si>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</si>
  <si>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</si>
  <si>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</si>
  <si>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</si>
  <si>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</si>
  <si>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</si>
  <si>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</si>
  <si>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</si>
  <si>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</si>
  <si>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</si>
  <si>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</si>
  <si>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</si>
  <si>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</si>
  <si>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</si>
  <si>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</si>
  <si>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</si>
  <si>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</si>
  <si>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</si>
  <si>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</si>
  <si>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</si>
  <si>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</si>
  <si>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</si>
  <si>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</si>
  <si>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</si>
  <si>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</si>
  <si>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</si>
  <si>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</si>
  <si>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</si>
  <si>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</si>
  <si>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</si>
  <si>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</si>
  <si>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</si>
  <si>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</si>
  <si>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</si>
  <si>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</si>
  <si>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</si>
  <si>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</si>
  <si>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</si>
  <si>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</si>
  <si>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</si>
  <si>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</si>
  <si>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</si>
  <si>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</si>
  <si>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</si>
  <si>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</si>
  <si>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</si>
  <si>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</si>
  <si>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</si>
  <si>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</si>
  <si>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</si>
  <si>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</si>
  <si>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</si>
  <si>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</si>
  <si>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</si>
  <si>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</si>
  <si>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</si>
  <si>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</si>
  <si>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</si>
  <si>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</si>
  <si>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</si>
  <si>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</si>
  <si>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</si>
  <si>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</si>
  <si>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</si>
  <si>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</si>
  <si>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</si>
  <si>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</si>
  <si>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</si>
  <si>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</si>
  <si>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</si>
  <si>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</si>
  <si>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</si>
  <si>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</si>
  <si>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</si>
  <si>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</si>
  <si>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</si>
  <si>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</si>
  <si>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</si>
  <si>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</si>
  <si>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</si>
  <si>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</si>
  <si>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</si>
  <si>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</si>
  <si>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</si>
  <si>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</si>
  <si>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</si>
  <si>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</si>
  <si>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</si>
  <si>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</si>
  <si>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</si>
  <si>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</si>
  <si>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</si>
  <si>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</si>
  <si>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</si>
  <si>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</si>
  <si>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</si>
  <si>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</si>
  <si>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</si>
  <si>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</si>
  <si>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</si>
  <si>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</si>
  <si>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</si>
  <si>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</si>
  <si>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</si>
  <si>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</si>
  <si>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</si>
  <si>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</si>
  <si>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</si>
  <si>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</si>
  <si>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</si>
  <si>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</si>
  <si>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</si>
  <si>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</si>
  <si>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</si>
  <si>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</si>
  <si>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</si>
  <si>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</si>
  <si>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</si>
  <si>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</si>
  <si>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</si>
  <si>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</si>
  <si>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</si>
  <si>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</si>
  <si>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</si>
  <si>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</si>
  <si>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</si>
  <si>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</si>
  <si>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</si>
  <si>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</si>
  <si>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</si>
  <si>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</si>
  <si>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</si>
  <si>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</si>
  <si>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</si>
  <si>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</si>
  <si>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</si>
  <si>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</si>
  <si>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</si>
  <si>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</si>
  <si>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</si>
  <si>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</si>
  <si>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</si>
  <si>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</si>
  <si>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</si>
  <si>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</si>
  <si>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</si>
  <si>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</si>
  <si>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</si>
  <si>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</si>
  <si>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</si>
  <si>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</si>
  <si>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</si>
  <si>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</si>
  <si>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</si>
  <si>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</si>
  <si>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</si>
  <si>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</si>
  <si>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</si>
  <si>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</si>
  <si>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</si>
  <si>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</si>
  <si>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</si>
  <si>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</si>
  <si>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</si>
  <si>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</si>
  <si>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</si>
  <si>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</si>
  <si>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</si>
  <si>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</si>
  <si>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</si>
  <si>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</si>
  <si>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</si>
  <si>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</si>
  <si>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</si>
  <si>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</si>
  <si>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</si>
  <si>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</si>
  <si>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</si>
  <si>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</si>
  <si>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</si>
  <si>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</si>
  <si>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</si>
  <si>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</si>
  <si>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</si>
  <si>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</si>
  <si>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</si>
  <si>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</si>
  <si>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</si>
  <si>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</si>
  <si>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</si>
  <si>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</si>
  <si>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</si>
  <si>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</si>
  <si>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</si>
  <si>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</si>
  <si>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</si>
  <si>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</si>
  <si>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</si>
  <si>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</si>
  <si>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</si>
  <si>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</si>
  <si>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</si>
  <si>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</si>
  <si>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</si>
  <si>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</si>
  <si>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</si>
  <si>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</si>
  <si>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</si>
  <si>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</si>
  <si>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</si>
  <si>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</si>
  <si>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</si>
  <si>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</si>
  <si>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</si>
  <si>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</si>
  <si>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</si>
  <si>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</si>
  <si>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</si>
  <si>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</si>
  <si>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</si>
  <si>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</si>
  <si>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</si>
  <si>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</si>
  <si>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</si>
  <si>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</si>
  <si>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</si>
  <si>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</si>
  <si>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</si>
  <si>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</si>
  <si>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</si>
  <si>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</si>
  <si>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</si>
  <si>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</si>
  <si>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</si>
  <si>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</si>
  <si>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</si>
  <si>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</si>
  <si>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</si>
  <si>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</si>
  <si>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</si>
  <si>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</si>
  <si>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</si>
  <si>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</si>
  <si>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</si>
  <si>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</si>
  <si>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</si>
  <si>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</si>
  <si>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</si>
  <si>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</si>
  <si>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</si>
  <si>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</si>
  <si>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</si>
  <si>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</si>
  <si>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</si>
  <si>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</si>
  <si>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</si>
  <si>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</si>
  <si>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</si>
  <si>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</si>
  <si>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</si>
  <si>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</si>
  <si>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</si>
  <si>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</si>
  <si>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</si>
  <si>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</si>
  <si>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</si>
  <si>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</si>
  <si>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</si>
  <si>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</si>
  <si>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</si>
  <si>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</si>
  <si>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</si>
  <si>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</si>
  <si>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</si>
  <si>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</si>
  <si>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</si>
  <si>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</si>
  <si>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</si>
  <si>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</si>
  <si>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</si>
  <si>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</si>
  <si>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</si>
  <si>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</si>
  <si>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</si>
  <si>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</si>
  <si>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</si>
  <si>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</si>
  <si>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</si>
  <si>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</si>
  <si>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</si>
  <si>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</si>
  <si>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</si>
  <si>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</si>
  <si>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</si>
  <si>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</si>
  <si>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</si>
  <si>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</si>
  <si>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</si>
  <si>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</si>
  <si>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</si>
  <si>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</si>
  <si>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</si>
  <si>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</si>
  <si>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</si>
  <si>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</si>
  <si>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</si>
  <si>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</si>
  <si>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</si>
  <si>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</si>
  <si>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</si>
  <si>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</si>
  <si>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</si>
  <si>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</si>
  <si>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</si>
  <si>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</si>
  <si>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</si>
  <si>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</si>
  <si>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</si>
  <si>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</si>
  <si>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</si>
  <si>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</si>
  <si>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</si>
  <si>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</si>
  <si>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</si>
  <si>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</si>
  <si>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</si>
  <si>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</si>
  <si>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</si>
  <si>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</si>
  <si>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</si>
  <si>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</si>
  <si>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</si>
  <si>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</si>
  <si>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</si>
  <si>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</si>
  <si>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</si>
  <si>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</si>
  <si>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</si>
  <si>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</si>
  <si>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</si>
  <si>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</si>
  <si>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</si>
  <si>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</si>
  <si>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</si>
  <si>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</si>
  <si>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</si>
  <si>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</si>
  <si>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</si>
  <si>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</si>
  <si>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</si>
  <si>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</si>
  <si>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</si>
  <si>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</si>
  <si>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</si>
  <si>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</si>
  <si>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</si>
  <si>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</si>
  <si>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</si>
  <si>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</si>
  <si>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</si>
  <si>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</si>
  <si>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</si>
  <si>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</si>
  <si>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</si>
  <si>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</si>
  <si>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</si>
  <si>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</si>
  <si>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</si>
  <si>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</si>
  <si>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</si>
  <si>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</si>
  <si>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</si>
  <si>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</si>
  <si>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</si>
  <si>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</si>
  <si>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</si>
  <si>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</si>
  <si>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</si>
  <si>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</si>
  <si>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</si>
  <si>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</si>
  <si>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</si>
  <si>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</si>
  <si>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</si>
  <si>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</si>
  <si>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</si>
  <si>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</si>
  <si>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</si>
  <si>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</si>
  <si>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</si>
  <si>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</si>
  <si>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</si>
  <si>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</si>
  <si>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</si>
  <si>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</si>
  <si>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</si>
  <si>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</si>
  <si>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</si>
  <si>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</si>
  <si>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</si>
  <si>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</si>
  <si>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</si>
  <si>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</si>
  <si>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</si>
  <si>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</si>
  <si>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</si>
  <si>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</si>
  <si>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</si>
  <si>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</si>
  <si>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</si>
  <si>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</si>
  <si>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</si>
  <si>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</si>
  <si>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</si>
  <si>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</si>
  <si>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</si>
  <si>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</si>
  <si>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</si>
  <si>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</si>
  <si>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</si>
  <si>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</si>
  <si>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</si>
  <si>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</si>
  <si>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</si>
  <si>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</si>
  <si>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</si>
  <si>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</si>
  <si>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</si>
  <si>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</si>
  <si>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</si>
  <si>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</si>
  <si>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</si>
  <si>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</si>
  <si>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</si>
  <si>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</si>
  <si>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</si>
  <si>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</si>
  <si>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</si>
  <si>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</si>
  <si>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</si>
  <si>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</si>
  <si>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</si>
  <si>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</si>
  <si>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</si>
  <si>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</si>
  <si>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</si>
  <si>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</si>
  <si>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</si>
  <si>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</si>
  <si>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</si>
  <si>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</si>
  <si>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</si>
  <si>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</si>
  <si>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</si>
  <si>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</si>
  <si>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</si>
  <si>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</si>
  <si>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</si>
  <si>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</si>
  <si>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</si>
  <si>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</si>
  <si>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</si>
  <si>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</si>
  <si>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</si>
  <si>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</si>
  <si>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</si>
  <si>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</si>
  <si>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</si>
  <si>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</si>
  <si>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</si>
  <si>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</si>
  <si>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</si>
  <si>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</si>
  <si>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</si>
  <si>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</si>
  <si>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</si>
  <si>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</si>
  <si>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</si>
  <si>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</si>
  <si>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</si>
  <si>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</si>
  <si>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</si>
  <si>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</si>
  <si>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</si>
  <si>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</si>
  <si>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</si>
  <si>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</si>
  <si>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</si>
  <si>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</si>
  <si>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</si>
  <si>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</si>
  <si>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</si>
  <si>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</si>
  <si>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</si>
  <si>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</si>
  <si>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</si>
  <si>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</si>
  <si>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</si>
  <si>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</si>
  <si>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</si>
  <si>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</si>
  <si>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</si>
  <si>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</si>
  <si>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</si>
  <si>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</si>
  <si>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</si>
  <si>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</si>
  <si>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</si>
  <si>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</si>
  <si>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</si>
  <si>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</si>
  <si>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</si>
  <si>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</si>
  <si>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</si>
  <si>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</si>
  <si>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</si>
  <si>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</si>
  <si>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</si>
  <si>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</si>
  <si>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</si>
  <si>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</si>
  <si>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</si>
  <si>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</si>
  <si>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</si>
  <si>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</si>
  <si>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</si>
  <si>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</si>
  <si>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</si>
  <si>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</si>
  <si>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</si>
  <si>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</si>
  <si>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</si>
  <si>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</si>
  <si>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</si>
  <si>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</si>
  <si>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</si>
  <si>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</si>
  <si>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</si>
  <si>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</si>
  <si>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</si>
  <si>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</si>
  <si>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</si>
  <si>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</si>
  <si>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</si>
  <si>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</si>
  <si>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</si>
  <si>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</si>
  <si>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</si>
  <si>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</si>
  <si>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</si>
  <si>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</si>
  <si>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</si>
  <si>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</si>
  <si>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</si>
  <si>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</si>
  <si>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</si>
  <si>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</si>
  <si>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</si>
  <si>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</si>
  <si>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</si>
  <si>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</si>
  <si>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</si>
  <si>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</si>
  <si>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</si>
  <si>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</si>
  <si>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</si>
  <si>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</si>
  <si>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</si>
  <si>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</si>
  <si>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</si>
  <si>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</si>
  <si>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</si>
  <si>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</si>
  <si>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</si>
  <si>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</si>
  <si>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</si>
  <si>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</si>
  <si>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</si>
  <si>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</si>
  <si>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</si>
  <si>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</si>
  <si>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</si>
  <si>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</si>
  <si>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</si>
  <si>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</si>
  <si>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</si>
  <si>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</si>
  <si>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</si>
  <si>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</si>
  <si>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</si>
  <si>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</si>
  <si>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</si>
  <si>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</si>
  <si>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</si>
  <si>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</si>
  <si>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</si>
  <si>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</si>
  <si>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</si>
  <si>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</si>
  <si>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</si>
  <si>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</si>
  <si>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</si>
  <si>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</si>
  <si>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</si>
  <si>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</si>
  <si>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</si>
  <si>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</si>
  <si>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</si>
  <si>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</si>
  <si>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</si>
  <si>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</si>
  <si>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</si>
  <si>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</si>
  <si>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</si>
  <si>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</si>
  <si>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</si>
  <si>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</si>
  <si>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</si>
  <si>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</si>
  <si>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</si>
  <si>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</si>
  <si>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</si>
  <si>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</si>
  <si>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</si>
  <si>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</si>
  <si>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</si>
  <si>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</si>
  <si>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</si>
  <si>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</si>
  <si>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</si>
  <si>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</si>
  <si>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</si>
  <si>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</si>
  <si>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</si>
  <si>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</si>
  <si>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</si>
  <si>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</si>
  <si>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</si>
  <si>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</si>
  <si>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</si>
  <si>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</si>
  <si>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</si>
  <si>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</si>
  <si>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</si>
  <si>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</si>
  <si>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</si>
  <si>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</si>
  <si>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</si>
  <si>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</si>
  <si>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</si>
  <si>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</si>
  <si>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</si>
  <si>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</si>
  <si>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</si>
  <si>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</si>
  <si>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</si>
  <si>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</si>
  <si>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</si>
  <si>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</si>
  <si>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</si>
  <si>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</si>
  <si>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</si>
  <si>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</si>
  <si>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</si>
  <si>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</si>
  <si>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</si>
  <si>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</si>
  <si>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</si>
  <si>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</si>
  <si>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</si>
  <si>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</si>
  <si>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</si>
  <si>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</si>
  <si>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</si>
  <si>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</si>
  <si>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</si>
  <si>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</si>
  <si>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</si>
  <si>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</si>
  <si>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</si>
  <si>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</si>
  <si>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</si>
  <si>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</si>
  <si>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</si>
  <si>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</si>
  <si>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</si>
  <si>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</si>
  <si>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</si>
  <si>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</si>
  <si>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</si>
  <si>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</si>
  <si>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</si>
  <si>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</si>
  <si>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</si>
  <si>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</si>
  <si>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</si>
  <si>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</si>
  <si>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</si>
  <si>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</si>
  <si>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</si>
  <si>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</si>
  <si>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</si>
  <si>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</si>
  <si>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</si>
  <si>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</si>
  <si>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</si>
  <si>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</si>
  <si>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</si>
  <si>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</si>
  <si>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</si>
  <si>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</si>
  <si>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</si>
  <si>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</si>
  <si>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</si>
  <si>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</si>
  <si>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</si>
  <si>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</si>
  <si>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</si>
  <si>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</si>
  <si>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</si>
  <si>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</si>
  <si>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</si>
  <si>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</si>
  <si>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</si>
  <si>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</si>
  <si>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</si>
  <si>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</si>
  <si>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</si>
  <si>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</si>
  <si>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</si>
  <si>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</si>
  <si>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</si>
  <si>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</si>
  <si>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</si>
  <si>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</si>
  <si>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</si>
  <si>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</si>
  <si>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</si>
  <si>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</si>
  <si>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</si>
  <si>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</si>
  <si>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</si>
  <si>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</si>
  <si>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</si>
  <si>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</si>
  <si>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</si>
  <si>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</si>
  <si>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</si>
  <si>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</si>
  <si>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</si>
  <si>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</si>
  <si>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</si>
  <si>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</si>
  <si>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</si>
  <si>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</si>
  <si>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</si>
  <si>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</si>
  <si>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</si>
  <si>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</si>
  <si>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</si>
  <si>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</si>
  <si>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</si>
  <si>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</si>
  <si>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</si>
  <si>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</si>
  <si>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</si>
  <si>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</si>
  <si>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</si>
  <si>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</si>
  <si>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</si>
  <si>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</si>
  <si>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</si>
  <si>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</si>
  <si>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</si>
  <si>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</si>
  <si>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</si>
  <si>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</si>
  <si>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</si>
  <si>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</si>
  <si>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</si>
  <si>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</si>
  <si>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</si>
  <si>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</si>
  <si>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</si>
  <si>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</si>
  <si>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</si>
  <si>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</si>
  <si>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</si>
  <si>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</si>
  <si>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</si>
  <si>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</si>
  <si>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</si>
  <si>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</si>
  <si>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</si>
  <si>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</si>
  <si>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</si>
  <si>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</si>
  <si>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</si>
  <si>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</si>
  <si>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</si>
  <si>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</si>
  <si>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</si>
  <si>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</si>
  <si>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</si>
  <si>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</si>
  <si>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</si>
  <si>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</si>
  <si>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</si>
  <si>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</si>
  <si>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</si>
  <si>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</si>
  <si>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</si>
  <si>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</si>
  <si>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</si>
  <si>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</si>
  <si>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</si>
  <si>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</si>
  <si>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</si>
  <si>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</si>
  <si>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</si>
  <si>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</si>
  <si>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</si>
  <si>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</si>
  <si>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</si>
  <si>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</si>
  <si>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</si>
  <si>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</si>
  <si>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</si>
  <si>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</si>
  <si>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</si>
  <si>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</si>
  <si>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</si>
  <si>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</si>
  <si>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</si>
  <si>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</si>
  <si>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</si>
  <si>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</si>
  <si>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</si>
  <si>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</si>
  <si>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</si>
  <si>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</si>
  <si>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</si>
  <si>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</si>
  <si>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</si>
  <si>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</si>
  <si>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</si>
  <si>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</si>
  <si>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</si>
  <si>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</si>
  <si>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</si>
  <si>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</si>
  <si>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</si>
  <si>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</si>
  <si>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</si>
  <si>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</si>
  <si>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</si>
  <si>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</si>
  <si>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</si>
  <si>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</si>
  <si>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</si>
  <si>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</si>
  <si>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</si>
  <si>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</si>
  <si>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</si>
  <si>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</si>
  <si>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</si>
  <si>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</si>
  <si>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</si>
  <si>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</si>
  <si>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</si>
  <si>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</si>
  <si>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</si>
  <si>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</si>
  <si>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</si>
  <si>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</si>
  <si>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</si>
  <si>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</si>
  <si>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</si>
  <si>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</si>
  <si>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</si>
  <si>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</si>
  <si>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</si>
  <si>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</si>
  <si>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</si>
  <si>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</si>
  <si>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</si>
  <si>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</si>
  <si>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</si>
  <si>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</si>
  <si>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</si>
  <si>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</si>
  <si>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</si>
  <si>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</si>
  <si>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</si>
  <si>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</si>
  <si>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</si>
  <si>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</si>
  <si>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</si>
  <si>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</si>
  <si>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</si>
  <si>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</si>
  <si>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</si>
  <si>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</si>
  <si>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</si>
  <si>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</si>
  <si>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</si>
  <si>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</si>
  <si>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</si>
  <si>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</si>
  <si>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</si>
  <si>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</si>
  <si>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</si>
  <si>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</si>
  <si>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</si>
  <si>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</si>
  <si>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</si>
  <si>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</si>
  <si>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</si>
  <si>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</si>
  <si>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</si>
  <si>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</si>
  <si>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</si>
  <si>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</si>
  <si>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</si>
  <si>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</si>
  <si>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</si>
  <si>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</si>
  <si>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</si>
  <si>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</si>
  <si>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</si>
  <si>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Skipton Financial Services Ltd</t>
  </si>
  <si>
    <t>No website listed</t>
  </si>
  <si>
    <t>Oury Clark</t>
  </si>
  <si>
    <t>https://www.ouryclark.com/</t>
  </si>
  <si>
    <t>NIT</t>
  </si>
  <si>
    <t>Heywood Shepherd</t>
  </si>
  <si>
    <t>No Webpage</t>
  </si>
  <si>
    <t>Greaves West &amp; Ayre</t>
  </si>
  <si>
    <t>https://greaveswestayre.co.uk/</t>
  </si>
  <si>
    <t>Rizwan Javed</t>
  </si>
  <si>
    <t>Keymer Haslam &amp; Co</t>
  </si>
  <si>
    <t>https://www.keymerhaslam.co.uk/</t>
  </si>
  <si>
    <t>Wildin &amp; Co</t>
  </si>
  <si>
    <t>Accountants in Lydney : Wildin &amp; Co., Gloucestershire</t>
  </si>
  <si>
    <t>Mainly Acc firm</t>
  </si>
  <si>
    <t>Michael Philips</t>
  </si>
  <si>
    <t>https://www.michaelphilips.co.uk/</t>
  </si>
  <si>
    <t>1-MIPH-Terms-of-Business-2025-08-D80-1.pdf</t>
  </si>
  <si>
    <t>Private</t>
  </si>
  <si>
    <t xml:space="preserve">Partnership no accounts </t>
  </si>
  <si>
    <t>Law Society (NI) Financial Advice Limited</t>
  </si>
  <si>
    <t>www.lsnifa.com</t>
  </si>
  <si>
    <t>301000020_Law_Society_Services_and_Fees_Brochure_digital_v6_VA.pdf</t>
  </si>
  <si>
    <t>LAW SOCIETY (NI) FINANCIAL ADVICE LIMITED filing history - Find and update company information - GOV.UK</t>
  </si>
  <si>
    <t>Fixed fee effect</t>
  </si>
  <si>
    <t>Thomson Cooper</t>
  </si>
  <si>
    <t>https://www.thomsoncooper.com/</t>
  </si>
  <si>
    <t>Walker, Dunnett &amp; Co</t>
  </si>
  <si>
    <t>https://www.walkerdunnett.co.uk/</t>
  </si>
  <si>
    <t>Morris Owen</t>
  </si>
  <si>
    <t>https://www.morrisowen.com/</t>
  </si>
  <si>
    <t>Cashmore &amp; Co</t>
  </si>
  <si>
    <t>Cansdales Limited</t>
  </si>
  <si>
    <t>https://www.cansdales.co.uk/</t>
  </si>
  <si>
    <t>MoneyScience Investment Consultancy</t>
  </si>
  <si>
    <t>https://www.moneyscience.co.uk/</t>
  </si>
  <si>
    <t>Century Law Limited</t>
  </si>
  <si>
    <t>https://www.centuryfp.co.uk/</t>
  </si>
  <si>
    <t>5e5e8d926dec9107df4f9ca9_Client Agreement brochure.pdf</t>
  </si>
  <si>
    <t>CENTURY LAW LIMITED filing history - Find and update company information - GOV.UK</t>
  </si>
  <si>
    <t>Ontrak Financial Planning Limited</t>
  </si>
  <si>
    <t>https://www.ontrakfp.co.uk/</t>
  </si>
  <si>
    <t>Minimum fixed charge selected, the highest range of fee in the sample</t>
  </si>
  <si>
    <t>A+Fresh+Approach+To+Fees.pdf</t>
  </si>
  <si>
    <t>ONTRAK FINANCIAL PLANNING LIMITED overview - Find and update company information - GOV.UK</t>
  </si>
  <si>
    <t>Cirencester Friendly Society Limited</t>
  </si>
  <si>
    <t>https://www.cirencester-friendly.co.uk/</t>
  </si>
  <si>
    <t>National Deposit Friendly Society Limited</t>
  </si>
  <si>
    <t>www.nationalfriendly.co.uk</t>
  </si>
  <si>
    <t>Dentists' Provident Society Limited</t>
  </si>
  <si>
    <t>www.dentistsprovident.co.uk</t>
  </si>
  <si>
    <t>Wiltshire Friendly Society Limited</t>
  </si>
  <si>
    <t>https://www.wiltshirefriendly.com/</t>
  </si>
  <si>
    <t>The Kensington Friendly Collecting Society Ltd</t>
  </si>
  <si>
    <t>https://www.kensingtonfriendly.com/</t>
  </si>
  <si>
    <t>Life Insurance Corporation of India</t>
  </si>
  <si>
    <t>www.liciuk.com</t>
  </si>
  <si>
    <t>Brebners</t>
  </si>
  <si>
    <t>www.brebners.com</t>
  </si>
  <si>
    <t>Morgan Griffiths</t>
  </si>
  <si>
    <t>Home - Morgan Griffiths LLP - your local accountants in Newtown, Powys</t>
  </si>
  <si>
    <t>Michael Letch &amp; Partners</t>
  </si>
  <si>
    <t>https://www.michaelletch.co.uk/</t>
  </si>
  <si>
    <t>Accounting firm -Non advice</t>
  </si>
  <si>
    <t>WDS Wealth Management Ltd</t>
  </si>
  <si>
    <t>www.walterdawson.co.uk</t>
  </si>
  <si>
    <t>Turpin Barker Armstrong</t>
  </si>
  <si>
    <t>https://www.turpinbarkerarmstrong.co.uk/</t>
  </si>
  <si>
    <t>Clarke &amp; Co</t>
  </si>
  <si>
    <t>www.clarke - acct.co.uk</t>
  </si>
  <si>
    <t>Nigel Sloam &amp; Co</t>
  </si>
  <si>
    <t>www.nigelsloam.co.uk</t>
  </si>
  <si>
    <t>Peterkins</t>
  </si>
  <si>
    <t>www.peterkins.com</t>
  </si>
  <si>
    <t>John Roddick &amp; Son</t>
  </si>
  <si>
    <t>https://www.roddicks.co.uk/</t>
  </si>
  <si>
    <t>McSherry Halliday</t>
  </si>
  <si>
    <t>https://www.mcsherryhalliday.co.uk/</t>
  </si>
  <si>
    <t>Philip Skinner</t>
  </si>
  <si>
    <t>Habib Bank AG Zurich</t>
  </si>
  <si>
    <t>https://www.habibbank.com/</t>
  </si>
  <si>
    <t>CAL Investments Limited</t>
  </si>
  <si>
    <t>www.calinvestments.co.uk</t>
  </si>
  <si>
    <t>BRITANNIA GLOBAL MARKETS LIMITED</t>
  </si>
  <si>
    <t>www.britannia.com/gm</t>
  </si>
  <si>
    <t>HSBC Bank Plc</t>
  </si>
  <si>
    <t>Financial Advisers | Financial Advice - HSBC UK</t>
  </si>
  <si>
    <t>IT</t>
  </si>
  <si>
    <t>No ongoing mentioned</t>
  </si>
  <si>
    <t>https://www.hsbc.co.uk/investments/advice/financial-advice/</t>
  </si>
  <si>
    <t>https://doc.morningstar.com/Document/bc8bb4d3cae483975e9b4291450e4b07.msdoc/?key=6d3ad7cced83e966eb033a99485759465b00047aee79de5f</t>
  </si>
  <si>
    <t>https://find-and-update.company-information.service.gov.uk/company/00014259/filing-history</t>
  </si>
  <si>
    <t>Standard Chartered Bank</t>
  </si>
  <si>
    <t>https://www.sc.com/</t>
  </si>
  <si>
    <t>Whitechurch Securities Limited</t>
  </si>
  <si>
    <t>www.whitechurch.co.uk</t>
  </si>
  <si>
    <t>Johnston Carmichael Wealth Limited</t>
  </si>
  <si>
    <t>www.jcwealth.co.uk</t>
  </si>
  <si>
    <t>Bordier &amp; Cie (UK) PLC</t>
  </si>
  <si>
    <t>www.bordieruk.com</t>
  </si>
  <si>
    <t>F H. Manning Financial Services Limited</t>
  </si>
  <si>
    <t>https://www.fhmanning.co.uk/</t>
  </si>
  <si>
    <t>Thesis Asset Management Limited</t>
  </si>
  <si>
    <t>https://www.thesisam.com/</t>
  </si>
  <si>
    <t>Dennehy Wealth Limited</t>
  </si>
  <si>
    <t>https://www.dennehywealth.co.uk/</t>
  </si>
  <si>
    <t>Portland Financial Management Limited</t>
  </si>
  <si>
    <t>www.pfm -uk.com</t>
  </si>
  <si>
    <t>John Whittenbury Financial Services Limited</t>
  </si>
  <si>
    <t>https://www.johnwhittenbury.co.uk/</t>
  </si>
  <si>
    <t>Strategic Wealth Management Limited</t>
  </si>
  <si>
    <t>www.strategicwealth.co.uk</t>
  </si>
  <si>
    <t>About 1 — Strategic Wealth Management</t>
  </si>
  <si>
    <t>STRATEGIC WEALTH MANAGEMENT LIMITED filing history - Find and update company information - GOV.UK</t>
  </si>
  <si>
    <t>Wilfred T. Fry (Personal Financial Planning) Limited</t>
  </si>
  <si>
    <t>www.thefrygroup.co.uk</t>
  </si>
  <si>
    <t>Alan Steel (Asset Management) Limited</t>
  </si>
  <si>
    <t>https://www.alansteel.com/</t>
  </si>
  <si>
    <t>Maunby Investment Management Ltd</t>
  </si>
  <si>
    <t>https://www.maunby.com/</t>
  </si>
  <si>
    <t>Eurosure Limited</t>
  </si>
  <si>
    <t>https://www.kingswood-group.com/</t>
  </si>
  <si>
    <t>Finesco Financial Services Limited</t>
  </si>
  <si>
    <t>https://www.finesco.com/</t>
  </si>
  <si>
    <t>Humboldt Financial Limited</t>
  </si>
  <si>
    <t>www.humboldtfinancial.co.uk</t>
  </si>
  <si>
    <t>Affordable Pricing Plans | Get Started Today</t>
  </si>
  <si>
    <t>HUMBOLDT FINANCIAL LIMITED filing history - Find and update company information - GOV.UK</t>
  </si>
  <si>
    <t>Birchwood Investment Management Limited</t>
  </si>
  <si>
    <t>https://www.birchwoodinvestment.com/</t>
  </si>
  <si>
    <t>Stuart Binns &amp; Associates</t>
  </si>
  <si>
    <t>Lowes Financial Management Limited</t>
  </si>
  <si>
    <t>www.Lowes.co.uk</t>
  </si>
  <si>
    <t xml:space="preserve">Financial advice page unavialble </t>
  </si>
  <si>
    <t>KW Wealth Planning Limited</t>
  </si>
  <si>
    <t>Altor Wealth Management LLP</t>
  </si>
  <si>
    <t>https://www.altorwealth.com/</t>
  </si>
  <si>
    <t>Charge monthly fee of 825 across all client, likely beneficial for customers with large investable but this limit advice options for wider customer pool</t>
  </si>
  <si>
    <t>Altor Wealth | About Us</t>
  </si>
  <si>
    <t>ALTOR WEALTH MANAGEMENT LLP filing history - Find and update company information - GOV.UK</t>
  </si>
  <si>
    <t>Walker Crips Financial Planning Limited</t>
  </si>
  <si>
    <t>www.wcgplc.co.uk</t>
  </si>
  <si>
    <t>Bartlett Wealth Management Ltd</t>
  </si>
  <si>
    <t>http://www.bartlettgroup.com/product/wealth-management/</t>
  </si>
  <si>
    <t>Culver Financial Management Ltd</t>
  </si>
  <si>
    <t>www.hanoverfm.co.uk</t>
  </si>
  <si>
    <t>Penmor</t>
  </si>
  <si>
    <t>https://www.penmor.co.uk/</t>
  </si>
  <si>
    <t>Charteris Treasury Portfolio Managers Limited</t>
  </si>
  <si>
    <t>https://www.charteris.co.uk/</t>
  </si>
  <si>
    <t>Prestwood Etheridge &amp; Russell Limited</t>
  </si>
  <si>
    <t>https://www.prestwood.info/</t>
  </si>
  <si>
    <t>Mansbrook,Brosche &amp; Co.Limited</t>
  </si>
  <si>
    <t>Ivor Jones &amp; Co. Ltd.</t>
  </si>
  <si>
    <t>https://www.ivorjones.co.uk/</t>
  </si>
  <si>
    <t>Lacomp Plc</t>
  </si>
  <si>
    <t>https://www.lacomp.co.uk/</t>
  </si>
  <si>
    <t>Cestrian Financial Planning Services Limited</t>
  </si>
  <si>
    <t>https://www.cestrianifa.co.uk/</t>
  </si>
  <si>
    <t>Gallagher (Administration &amp; Investment) Limited</t>
  </si>
  <si>
    <t>www.ajg.com/uk</t>
  </si>
  <si>
    <t>Insurance</t>
  </si>
  <si>
    <t>Michael Davey Financial Management Limited</t>
  </si>
  <si>
    <t>www.mdfm.co.uk</t>
  </si>
  <si>
    <t>Griffin Wylde Limited</t>
  </si>
  <si>
    <t>Henderson Employee Benefits Limited</t>
  </si>
  <si>
    <t>www.heb.uk.com</t>
  </si>
  <si>
    <t>Bowmore Financial Planning Limited</t>
  </si>
  <si>
    <t>www.bowmorefp.com</t>
  </si>
  <si>
    <t>Hugh Davies Associates Limited</t>
  </si>
  <si>
    <t>www.amberriver.com/hda</t>
  </si>
  <si>
    <t>ARHDA Terms of Business_Private Clients_May 2025</t>
  </si>
  <si>
    <t>Uses TAM for inhouse fund (major owner of TAM)</t>
  </si>
  <si>
    <t>HUGH DAVIES ASSOCIATES LIMITED filing history - Find and update company information - GOV.UK</t>
  </si>
  <si>
    <t>Johnston Financial Limited</t>
  </si>
  <si>
    <t>https://www.amberriver.com/jf</t>
  </si>
  <si>
    <t>JOHNSTON FINANCIAL LIMITED filing history - Find and update company information - GOV.UK</t>
  </si>
  <si>
    <t>Hargreaves Lansdown Asset Management Limited</t>
  </si>
  <si>
    <t>www.hl.co.uk</t>
  </si>
  <si>
    <t>Non Financial advice</t>
  </si>
  <si>
    <t xml:space="preserve">Not a product manufacturer but they have a large product pannel to choose from </t>
  </si>
  <si>
    <t>Financial Advice Charges | Cost of financial advice | HL</t>
  </si>
  <si>
    <t>https://find-and-update.company-information.service.gov.uk/company/01896481/filing-history</t>
  </si>
  <si>
    <t>Reyker Securities Plc</t>
  </si>
  <si>
    <t>https://www.evelyn.com/services/restructuring - and - recovery - services/reyker - securities - plc/</t>
  </si>
  <si>
    <t xml:space="preserve">In administration </t>
  </si>
  <si>
    <t>John Joseph Financial Services Limited</t>
  </si>
  <si>
    <t>https://www.jjfs.com/</t>
  </si>
  <si>
    <t>Rafter Associates Financial Management Limited</t>
  </si>
  <si>
    <t>www.rafterassociates.co.uk</t>
  </si>
  <si>
    <t>Stuart Rowland Barnden</t>
  </si>
  <si>
    <t>Kerswell Stone &amp; Company</t>
  </si>
  <si>
    <t>kerswellstone.co.uk</t>
  </si>
  <si>
    <t xml:space="preserve">Website not reachable </t>
  </si>
  <si>
    <t>R.J. Hurst &amp; Partners Limited</t>
  </si>
  <si>
    <t>hurstfm.co.uk</t>
  </si>
  <si>
    <t>Bourne Taylor Neville Limited</t>
  </si>
  <si>
    <t>https://www.amberriver.com/midlands</t>
  </si>
  <si>
    <t>BOURNE TAYLOR NEVILLE LIMITED filing history - Find and update company information - GOV.UK</t>
  </si>
  <si>
    <t>J. Edward Sellars &amp; Partners Limited</t>
  </si>
  <si>
    <t>jesellars.co.uk</t>
  </si>
  <si>
    <t>D B Wood Limited</t>
  </si>
  <si>
    <t>https://www.amberriverdbwood.com/</t>
  </si>
  <si>
    <t>Now part of Amberiver</t>
  </si>
  <si>
    <t>D B WOOD LIMITED filing history - Find and update company information - GOV.UK</t>
  </si>
  <si>
    <t>SDB Strategic Planners Limited</t>
  </si>
  <si>
    <t>https://www.courtiers.co.uk/</t>
  </si>
  <si>
    <t>E J Glanville &amp; Co (Investment Brokers) Limited</t>
  </si>
  <si>
    <t>Website not active</t>
  </si>
  <si>
    <t>BRB Wealth Management Limited</t>
  </si>
  <si>
    <t>https://www.brbwm.co.uk/</t>
  </si>
  <si>
    <t>Orwell Securities (Ipswich) Limited</t>
  </si>
  <si>
    <t>www.amberriver.com</t>
  </si>
  <si>
    <t>AMBER RIVER INVESTMENT SOLUTIONS LLP filing history - Find and update company information - GOV.UK</t>
  </si>
  <si>
    <t>Waverton Investment Management Limited</t>
  </si>
  <si>
    <t>https://www.w1m.com/</t>
  </si>
  <si>
    <t>Streets Financial Consulting Limited</t>
  </si>
  <si>
    <t>https://www.sfcplc.co.uk/</t>
  </si>
  <si>
    <t>Progeny Wealth Limited</t>
  </si>
  <si>
    <t>www.theprogenygroup.com</t>
  </si>
  <si>
    <t>BRB Financial Horizons Limited</t>
  </si>
  <si>
    <t>https://www.amberriver.com/</t>
  </si>
  <si>
    <t>Richard Keen Insurance Brokers Limited</t>
  </si>
  <si>
    <t>https://www.keeninsurance.co.uk/</t>
  </si>
  <si>
    <t>Callaway Sykes Associates Limited</t>
  </si>
  <si>
    <t>https://www.csbfa.co.uk/</t>
  </si>
  <si>
    <t>K G J Insurance Brokers (Stourbridge) Limited</t>
  </si>
  <si>
    <t>https://www.kgjinsurance.com/</t>
  </si>
  <si>
    <t>Barrington Jarvis Limited</t>
  </si>
  <si>
    <t>The Royal London Mutual Insurance Society Limited</t>
  </si>
  <si>
    <t>www.royallondon.com</t>
  </si>
  <si>
    <t>Non financial advice</t>
  </si>
  <si>
    <t>Mainly IM</t>
  </si>
  <si>
    <t>BV Services</t>
  </si>
  <si>
    <t>https://www.bvmoney.org.uk/</t>
  </si>
  <si>
    <t>Augustine Limited</t>
  </si>
  <si>
    <t>www.mooreks.co.uk/services/advisory/financial - planning/</t>
  </si>
  <si>
    <t>Davies Craddock</t>
  </si>
  <si>
    <t>https://www.daviescraddock.co.uk/</t>
  </si>
  <si>
    <t>Estate</t>
  </si>
  <si>
    <t>Griffins Financial Solutions Limited</t>
  </si>
  <si>
    <t>https://www.griffinsfinancial.co.uk/</t>
  </si>
  <si>
    <t>SMG F S Limited</t>
  </si>
  <si>
    <t>www.smgfs.com</t>
  </si>
  <si>
    <t>Whiting Group Limited</t>
  </si>
  <si>
    <t>https://www.whitings.co.uk/</t>
  </si>
  <si>
    <t>Trevor Downing Financial Management (IFA) Limited</t>
  </si>
  <si>
    <t>downingfm.co.uk</t>
  </si>
  <si>
    <t>Scotzone Insurance Consultants Limited</t>
  </si>
  <si>
    <t>scotzone.co.uk</t>
  </si>
  <si>
    <t>Rotherwood Insurance Consultants</t>
  </si>
  <si>
    <t>rotherwood-insurance.com</t>
  </si>
  <si>
    <t>JB Wealth Management Limited</t>
  </si>
  <si>
    <t>https://www.jbwm.co.uk/</t>
  </si>
  <si>
    <t>Holland (Glasgow) Insurance Brokers Ltd</t>
  </si>
  <si>
    <t>https://www.hollandinsurancebrokers.com/</t>
  </si>
  <si>
    <t>Jonathan Knight</t>
  </si>
  <si>
    <t>Smith Robinson &amp; Co</t>
  </si>
  <si>
    <t>www.smithrobinsonco.co.uk</t>
  </si>
  <si>
    <t>S Rankin &amp; Co (Life &amp; Pensions) Limited</t>
  </si>
  <si>
    <t>srankin.co.uk</t>
  </si>
  <si>
    <t>Capital International Limited</t>
  </si>
  <si>
    <t>www.capitalgroup.com</t>
  </si>
  <si>
    <t>Investment management only</t>
  </si>
  <si>
    <t>SG Kleinwort Hambros Bank Limited</t>
  </si>
  <si>
    <t>https://www.ubp.com/uk</t>
  </si>
  <si>
    <t xml:space="preserve">Cloned of a real </t>
  </si>
  <si>
    <t xml:space="preserve">This is a clone firm that is used by scammers the real company is Union Bancaire </t>
  </si>
  <si>
    <t>https://www.fca.org.uk/news/warnings/kleinwort-hambros-sg-kleinwort-hambros-bank-limited-clone-fca-authorised-firm</t>
  </si>
  <si>
    <t>The Broughton Wilkins Partnership Ltd</t>
  </si>
  <si>
    <t>https://www.bwifa.co.uk/ amber river</t>
  </si>
  <si>
    <t>THE BROUGHTON WILKINS PARTNERSHIP LTD filing history - Find and update company information - GOV.UK</t>
  </si>
  <si>
    <t>CCLA Investment Management Ltd</t>
  </si>
  <si>
    <t>ccla.co.uk</t>
  </si>
  <si>
    <t>UBS Asset Management (UK) Ltd</t>
  </si>
  <si>
    <t>www.ubs.com</t>
  </si>
  <si>
    <t>Close Asset Management Limited</t>
  </si>
  <si>
    <t>https://www.trinitybridge.com/</t>
  </si>
  <si>
    <t>AXA Investment Managers UK Ltd</t>
  </si>
  <si>
    <t>www.axa - im.co.uk</t>
  </si>
  <si>
    <t>Scrutton Bland Financial Services Limited</t>
  </si>
  <si>
    <t>W. Denis Financial Services Limited</t>
  </si>
  <si>
    <t>https://www.wdenisfinancialservices.com</t>
  </si>
  <si>
    <t>Johnston Campbell Ltd</t>
  </si>
  <si>
    <t>JOHNSTON CAMPBELL LIMITED filing history - Find and update company information - GOV.UK</t>
  </si>
  <si>
    <t>Everall Rolfe Associates Limited</t>
  </si>
  <si>
    <t>Blue Shield Investment Services</t>
  </si>
  <si>
    <t>About | Blue Shield Capital | England</t>
  </si>
  <si>
    <t>C. McDonald Brown Limited</t>
  </si>
  <si>
    <t>Harold Wilson Financial Services Limited</t>
  </si>
  <si>
    <t>www.wilorg.com</t>
  </si>
  <si>
    <t>Evans Hart Limited</t>
  </si>
  <si>
    <t>www.evanshart.co.uk</t>
  </si>
  <si>
    <t>Now under Wren sterling</t>
  </si>
  <si>
    <t>http://www.evanshart.co.uk/Client-Agreement.pdf</t>
  </si>
  <si>
    <t>Cedar House Financial Services Limited</t>
  </si>
  <si>
    <t>cedarhousefinancial.co.uk</t>
  </si>
  <si>
    <t>Aurea Financial Planning Limited</t>
  </si>
  <si>
    <t>https://www.aureafp.co.uk/</t>
  </si>
  <si>
    <t>P.J. Hutchinson &amp; Associates</t>
  </si>
  <si>
    <t>https://www.pjhutchinson.co.uk/</t>
  </si>
  <si>
    <t>Amber Wealth Creation Ltd</t>
  </si>
  <si>
    <t>https://www.amberwealth.co.uk/</t>
  </si>
  <si>
    <t>AMBER WEALTH CREATION LIMITED filing history - Find and update company information - GOV.UK</t>
  </si>
  <si>
    <t>White Knight Group</t>
  </si>
  <si>
    <t>https://www.whiteknightgroup.co.uk/</t>
  </si>
  <si>
    <t>Leagold Limited</t>
  </si>
  <si>
    <t>www.leagoldmiller.co.uk</t>
  </si>
  <si>
    <t>Capital &amp; Counties (Financial Services) Limited</t>
  </si>
  <si>
    <t>Lycetts Financial Services Limited</t>
  </si>
  <si>
    <t>https://www.lycetts.co.uk/</t>
  </si>
  <si>
    <t>Peter Guy Limited</t>
  </si>
  <si>
    <t>Nestegg Financial Services</t>
  </si>
  <si>
    <t>https://www.nestegg.co.uk/</t>
  </si>
  <si>
    <t>J W Hickinson &amp; Co</t>
  </si>
  <si>
    <t>Ian Stevenson</t>
  </si>
  <si>
    <t>Shipman Wealth Management Ltd</t>
  </si>
  <si>
    <t>www.amberriver.com/sw</t>
  </si>
  <si>
    <t>SHIPMAN WEALTH MANAGEMENT LTD filing history - Find and update company information - GOV.UK</t>
  </si>
  <si>
    <t>Doug Wade Insurance Consultant</t>
  </si>
  <si>
    <t>P J Clifton Financial Services</t>
  </si>
  <si>
    <t>Andrew Kent &amp; Partners Limited</t>
  </si>
  <si>
    <t>David Stock &amp; Co Limited</t>
  </si>
  <si>
    <t>Clydesdale Bank Plc</t>
  </si>
  <si>
    <t>https://www.virginmoneyukplc.com/</t>
  </si>
  <si>
    <t>Wealth Solutions (UK) Limited</t>
  </si>
  <si>
    <t>www.amberriver.com/midlands</t>
  </si>
  <si>
    <t>WEALTH SOLUTIONS (UK) LTD filing history - Find and update company information - GOV.UK</t>
  </si>
  <si>
    <t>NatWest Markets Plc</t>
  </si>
  <si>
    <t>natwest.com</t>
  </si>
  <si>
    <t>The Co-operative Bank Plc</t>
  </si>
  <si>
    <t>https://www.co-operativebank.co.uk/</t>
  </si>
  <si>
    <t>McInroy &amp; Wood Ltd</t>
  </si>
  <si>
    <t>mcinroy-wood.co.uk</t>
  </si>
  <si>
    <t>Mercer Limited</t>
  </si>
  <si>
    <t>https://www.mercer.com/en - gb/</t>
  </si>
  <si>
    <t>True Bearing Ltd</t>
  </si>
  <si>
    <t>http://www.amberriver.com/true-bearing</t>
  </si>
  <si>
    <t>https://find-and-update.company-information.service.gov.uk/company/04806442/filing-history</t>
  </si>
  <si>
    <t>RF Trustee Co. Limited</t>
  </si>
  <si>
    <t>Northern Bank Limited</t>
  </si>
  <si>
    <t>http://www.danskebank.co.uk/</t>
  </si>
  <si>
    <t>Emery (IFA) Limited</t>
  </si>
  <si>
    <t>amberriver.com</t>
  </si>
  <si>
    <t>EMERY (IFA) LIMITED filing history - Find and update company information - GOV.UK</t>
  </si>
  <si>
    <t>GAM London Limited</t>
  </si>
  <si>
    <t>www.gam.com</t>
  </si>
  <si>
    <t>HSBC Global Asset Management (UK) Limited</t>
  </si>
  <si>
    <t>http://www.assetmanagement.hsbc.com/uk</t>
  </si>
  <si>
    <t>Top Technology Ventures Limited</t>
  </si>
  <si>
    <t>Alder Investment Management Ltd</t>
  </si>
  <si>
    <t>www.alder - investment.co.uk</t>
  </si>
  <si>
    <t>VenCap International plc</t>
  </si>
  <si>
    <t>https://www.vencap.com/</t>
  </si>
  <si>
    <t>The Bank of New York Mellon</t>
  </si>
  <si>
    <t>www.bny.com</t>
  </si>
  <si>
    <t>City Asset Management Plc</t>
  </si>
  <si>
    <t>www.city - asset.co.uk</t>
  </si>
  <si>
    <t>BRI Wealth Management PLC</t>
  </si>
  <si>
    <t>https://www.brigroup.co.uk/</t>
  </si>
  <si>
    <t>Fabian J.A. Finlay M.C.S.I.</t>
  </si>
  <si>
    <t>Atomos Investments Limited</t>
  </si>
  <si>
    <t>www.atomos.co.uk</t>
  </si>
  <si>
    <t>Future Life Wealth Management Limited</t>
  </si>
  <si>
    <t>Girlings</t>
  </si>
  <si>
    <t>https://www.girlings.com/</t>
  </si>
  <si>
    <t>Hansells Solicitors</t>
  </si>
  <si>
    <t>Legal Advice Service | Norwich &amp; Norfolk | Hansells Solicitors</t>
  </si>
  <si>
    <t>Chancery Financial Planning LLP</t>
  </si>
  <si>
    <t>www.amberriverchancery.com</t>
  </si>
  <si>
    <t>CHANCERY FINANCIAL PLANNING LLP filing history - Find and update company information - GOV.UK</t>
  </si>
  <si>
    <t>Quilter Cheviot Limited</t>
  </si>
  <si>
    <t>www.quiltercheviot.com</t>
  </si>
  <si>
    <t>DFM, the registered advisors are not internal they are external like a network</t>
  </si>
  <si>
    <t>https://www.quilter.com/4a330d/siteassets/documents/platform/guides-and-brochures/18035-making-the-cost-of-investment-clear.pdf</t>
  </si>
  <si>
    <t>Credit Suisse (UK) Limited</t>
  </si>
  <si>
    <t>https://www.ubs.com/global/en/collections/credit - suisse/wealthmanagement/uk.html</t>
  </si>
  <si>
    <t>Fiske Plc</t>
  </si>
  <si>
    <t>www.fiskeplc.com</t>
  </si>
  <si>
    <t>First Equity Limited</t>
  </si>
  <si>
    <t>www.firstequitylimited.com</t>
  </si>
  <si>
    <t>Atkinson Powell Financial Management LLP</t>
  </si>
  <si>
    <t>Leodis Wealth Limited</t>
  </si>
  <si>
    <t>LEODIS WEALTH LIMITED filing history - Find and update company information - GOV.UK</t>
  </si>
  <si>
    <t>N. M. Rothschild &amp; Sons Ltd</t>
  </si>
  <si>
    <t>www.rothschildandco.com</t>
  </si>
  <si>
    <t>Campbell &amp; McConnachie Limited</t>
  </si>
  <si>
    <t>https://www.amberriver.com/cm</t>
  </si>
  <si>
    <t>CAMPBELL &amp; MCCONNACHIE LIMITED filing history - Find and update company information - GOV.UK</t>
  </si>
  <si>
    <t>RBC Europe Limited</t>
  </si>
  <si>
    <t>www.rbccm.com</t>
  </si>
  <si>
    <t>Brown Shipley &amp; Co Limited</t>
  </si>
  <si>
    <t>http://www.brownshipley.com/</t>
  </si>
  <si>
    <t>potential to request and check around the web</t>
  </si>
  <si>
    <t>BNP Paribas</t>
  </si>
  <si>
    <t>https://www.bnpparibas.co.uk/en/</t>
  </si>
  <si>
    <t>Citibank, N.A.</t>
  </si>
  <si>
    <t>citibank.com</t>
  </si>
  <si>
    <t>Citi bank advice fee is derived from their upfront sales charge. Ongoing in product fee</t>
  </si>
  <si>
    <t>REGULATION BEST INTEREST DISCLOSURE STATEMENT AND RELATED INFORMATION FOR RETIREMENT ACCOUNTS</t>
  </si>
  <si>
    <t>Citi Funds - Multi Asset Class Balanced Level 3 (L3) Fund Class B USD Acc, LU2594915410:USD summary - FT.com</t>
  </si>
  <si>
    <t>CITIBANK UK LIMITED filing history - Find and update company information - GOV.UK</t>
  </si>
  <si>
    <t>Shore Capital Stockbrokers Ltd</t>
  </si>
  <si>
    <t>https://www.shorecap.co.uk/</t>
  </si>
  <si>
    <t>ICBC Standard Bank Plc</t>
  </si>
  <si>
    <t>www.icbcstandard.com</t>
  </si>
  <si>
    <t>Societe Generale</t>
  </si>
  <si>
    <t>www.societegenerale.co.uk</t>
  </si>
  <si>
    <t>Oberon Investments Limited</t>
  </si>
  <si>
    <t>www.oberoninvestments.com</t>
  </si>
  <si>
    <t>ING Bank N.V.</t>
  </si>
  <si>
    <t>www.ing.com</t>
  </si>
  <si>
    <t>P.J. Assurance Agency Limited</t>
  </si>
  <si>
    <t>PWS Financial Consulting Limited</t>
  </si>
  <si>
    <t>www.pwsfc.co.uk</t>
  </si>
  <si>
    <t>Courtiers Investment Services Limited</t>
  </si>
  <si>
    <t>Philip T. English International Financial Services Limited</t>
  </si>
  <si>
    <t>https://www.philiptenglish.com/</t>
  </si>
  <si>
    <t>Julia Williams Financial Planning Ltd</t>
  </si>
  <si>
    <t>J.R. Pritchard Financial &amp; Assurance Consultants</t>
  </si>
  <si>
    <t>https://www.jrpritchard.co.uk/</t>
  </si>
  <si>
    <t>Philip Marsden</t>
  </si>
  <si>
    <t>G.S. Lunnon &amp; Company Limited</t>
  </si>
  <si>
    <t>Chalfont Investment Consultants Limited</t>
  </si>
  <si>
    <t>https://www.chalfontinvestments.co.uk</t>
  </si>
  <si>
    <t>Sett Valley Insurance Services</t>
  </si>
  <si>
    <t>Radcliffe &amp; Company (Life &amp; Pensions) Limited</t>
  </si>
  <si>
    <t>www.radcliffe-ifa.co.uk</t>
  </si>
  <si>
    <t>J M Finn &amp; Co Ltd</t>
  </si>
  <si>
    <t>www.jmfinn.com</t>
  </si>
  <si>
    <t>Best Wealth Managers (UK) Compared &amp; Reviewed ✅</t>
  </si>
  <si>
    <t>YFS-JM-Finn-Moderate-Portfolio-Class-A-Income.pdf</t>
  </si>
  <si>
    <t>J.M. FINN &amp; CO.LTD filing history - Find and update company information - GOV.UK</t>
  </si>
  <si>
    <t>No initial fee</t>
  </si>
  <si>
    <t>Ellerd Investments Limited</t>
  </si>
  <si>
    <t>https://www.beacon.ifa.co.uk/</t>
  </si>
  <si>
    <t>DTE Risk and Financial Management Limited</t>
  </si>
  <si>
    <t>https://www.dtefinancialplanning.com/</t>
  </si>
  <si>
    <t>Devonshire Financial Services Limited</t>
  </si>
  <si>
    <t>www.devonwm.co.uk</t>
  </si>
  <si>
    <t>Westerby Investment Management Limited</t>
  </si>
  <si>
    <t>www.westerby-investment.co.uk</t>
  </si>
  <si>
    <t>Kerr Henderson (Financial Services) Limited</t>
  </si>
  <si>
    <t>www.kerrhenderson.com</t>
  </si>
  <si>
    <t>Lloyd and Whyte (Financial Services) Limited</t>
  </si>
  <si>
    <t>https://www.lloydwhyte.com/</t>
  </si>
  <si>
    <t>Goddard Perry Consulting Ltd</t>
  </si>
  <si>
    <t>https://www.goddardperry.com/</t>
  </si>
  <si>
    <t>Glamis Limited</t>
  </si>
  <si>
    <t>www.glamis-ifa.co.uk</t>
  </si>
  <si>
    <t>Kent Soper Life &amp; Pensions Limited</t>
  </si>
  <si>
    <t>https://www.kentsoper.com/</t>
  </si>
  <si>
    <t>Malcolm Wood</t>
  </si>
  <si>
    <t>Eastlake &amp; Beachell Limited</t>
  </si>
  <si>
    <t>www.eastlakebeachell.co.uk</t>
  </si>
  <si>
    <t>Seven Investment Management LLP</t>
  </si>
  <si>
    <t>www.7 im.co.uk</t>
  </si>
  <si>
    <t>Related to parent</t>
  </si>
  <si>
    <t>https://find-and-update.company-information.service.gov.uk/company/OC378740/filing-history</t>
  </si>
  <si>
    <t>Active Investment Managers Limited</t>
  </si>
  <si>
    <t>https://www.morgan-williams.co.uk/</t>
  </si>
  <si>
    <t>Paul Hipkiss</t>
  </si>
  <si>
    <t>https://www.paulhipkiss.co.uk/</t>
  </si>
  <si>
    <t>Calcluth &amp; Sangster (Financial Services) Limited</t>
  </si>
  <si>
    <t>https://csfs.uk</t>
  </si>
  <si>
    <t>Financial Management Bureau Limited</t>
  </si>
  <si>
    <t>https://www.finman.co.uk/</t>
  </si>
  <si>
    <t>Thurlowe-Clarke Limited</t>
  </si>
  <si>
    <t>https://www.thurlowe-clarke.co.uk/</t>
  </si>
  <si>
    <t>BFS Wealth and Protection Ltd</t>
  </si>
  <si>
    <t>www.bfswp.co.uk</t>
  </si>
  <si>
    <t>Footman Sherwin Financial Services Limited</t>
  </si>
  <si>
    <t>https://www.footman-sherwin.co.uk/</t>
  </si>
  <si>
    <t>7IM Investment and Retirement Solutions Limited</t>
  </si>
  <si>
    <t>www .7 im .co .uk</t>
  </si>
  <si>
    <t>https://find-and-update.company-information.service.gov.uk/company/10902511/filing-history</t>
  </si>
  <si>
    <t>Professional Independent Advisers Limited</t>
  </si>
  <si>
    <t>www.piawm.net</t>
  </si>
  <si>
    <t>Campbell Thomson (Insurance Services) Limited</t>
  </si>
  <si>
    <t>https://www.campbellthomson.co.uk/</t>
  </si>
  <si>
    <t>Power Robbins</t>
  </si>
  <si>
    <t>https://www.power-robbins.co.uk/</t>
  </si>
  <si>
    <t>Andrews Insurances Life &amp; Pensions</t>
  </si>
  <si>
    <t>Carey and Johnston</t>
  </si>
  <si>
    <t>https://www.careyandjohnston.com/</t>
  </si>
  <si>
    <t>Covenham Financial Services Limited</t>
  </si>
  <si>
    <t>R.A. Cowen &amp; Partners (Financial Services) Limited</t>
  </si>
  <si>
    <t>https://www.cowensgroup.co.uk/personal</t>
  </si>
  <si>
    <t>Ecclesiastical Financial Advisory Services Limited</t>
  </si>
  <si>
    <t>https://www.ecclesiastical.com/</t>
  </si>
  <si>
    <t>GM2 Ltd</t>
  </si>
  <si>
    <t>https://www.gm2.co.uk/ Saltus</t>
  </si>
  <si>
    <t>merged with Saltus</t>
  </si>
  <si>
    <t>Factsheet-20251231-Saltus-Managed-Plus-Balanced.pdf</t>
  </si>
  <si>
    <t>https://find-and-update.company-information.service.gov.uk/company/04496876/filing-history</t>
  </si>
  <si>
    <t>SCB Financial Services Ltd</t>
  </si>
  <si>
    <t>B &amp; S Financial Management Limited</t>
  </si>
  <si>
    <t>David Jameson Limited</t>
  </si>
  <si>
    <t>D A Calder Limited</t>
  </si>
  <si>
    <t>https://www.dacalder.com/</t>
  </si>
  <si>
    <t>Saltus Partners LLP</t>
  </si>
  <si>
    <t>www.saltus.co.uk</t>
  </si>
  <si>
    <t>Select Group of companies accounts made up to 31 March 2024</t>
  </si>
  <si>
    <t>A. G. Shackcloth and Company</t>
  </si>
  <si>
    <t>Chesterton House Financial Planning Ltd</t>
  </si>
  <si>
    <t>https://www.chestertonhouse.co.uk/</t>
  </si>
  <si>
    <t>Bartholomew &amp; James (Financial Services) Limited</t>
  </si>
  <si>
    <t>www.bartjames.com</t>
  </si>
  <si>
    <t>Milsted Langdon Financial Services Limited</t>
  </si>
  <si>
    <t>Warby Wealth Management</t>
  </si>
  <si>
    <t>P W White and Partners Limited</t>
  </si>
  <si>
    <t>https://www.pwwpl.com/</t>
  </si>
  <si>
    <t>Birstall Insurance Services</t>
  </si>
  <si>
    <t>Estate And Letting Agents In Birstall, Batley - Watsons Property Services</t>
  </si>
  <si>
    <t>Lifewing Consultants Limited</t>
  </si>
  <si>
    <t>https://www.lifewingconsultants.co.uk/</t>
  </si>
  <si>
    <t>Saltus Financial Planning Limited</t>
  </si>
  <si>
    <t>https://www.saltus.co.uk/</t>
  </si>
  <si>
    <t>L G Keeley (Life and Pensions) Limited</t>
  </si>
  <si>
    <t>www.keeleys.co.uk</t>
  </si>
  <si>
    <t>Delta Financial Management Limited</t>
  </si>
  <si>
    <t xml:space="preserve">https://www.deltafinancial.co.uk/ </t>
  </si>
  <si>
    <t>Now under Saltus</t>
  </si>
  <si>
    <t>DELTA FINANCIAL MANAGEMENT LIMITED filing history - Find and update company information - GOV.UK</t>
  </si>
  <si>
    <t>Manor Brokers</t>
  </si>
  <si>
    <t>https://www.manorbrokers.co.uk/</t>
  </si>
  <si>
    <t>Harding Roberts &amp; Company</t>
  </si>
  <si>
    <t>https://www.hardingroberts.co.uk/</t>
  </si>
  <si>
    <t>Buzzacott Financial Services Limited</t>
  </si>
  <si>
    <t>www.buzzacott.co.uk</t>
  </si>
  <si>
    <t>Moneywise Investments Plc</t>
  </si>
  <si>
    <t>www.moneywiseplc.co.uk</t>
  </si>
  <si>
    <t>FACET INVESTMENT MANAGEMENT LTD</t>
  </si>
  <si>
    <t>PrisWM Limited</t>
  </si>
  <si>
    <t>https://www.prismaticwealth.co.uk/</t>
  </si>
  <si>
    <t>Burfield Financial Planning Limited</t>
  </si>
  <si>
    <t>https://www.burfieldfp.co.uk/</t>
  </si>
  <si>
    <t>Charges - Burfield Financial Planning</t>
  </si>
  <si>
    <t>BURFIELD FINANCIAL PLANNING LIMITED filing history - Find and update company information - GOV.UK</t>
  </si>
  <si>
    <t>Mark Bischoff</t>
  </si>
  <si>
    <t>Lawrence Sheridan Millar</t>
  </si>
  <si>
    <t>https://www.dj-lawrence.co.uk/</t>
  </si>
  <si>
    <t>Peter Shirley (Financial Services) Limited</t>
  </si>
  <si>
    <t>www.psfswealth.co.uk</t>
  </si>
  <si>
    <t>Midas Financial Services</t>
  </si>
  <si>
    <t>P. Srinivasan, Esq.</t>
  </si>
  <si>
    <t>https://www.srinivasan.co.uk/</t>
  </si>
  <si>
    <t>WM Thomson &amp; Sons</t>
  </si>
  <si>
    <t>Howe Maxted Group Limited</t>
  </si>
  <si>
    <t>https://www.howemaxted.co.uk/</t>
  </si>
  <si>
    <t>Rootes Wealth Management Limited</t>
  </si>
  <si>
    <t>https://www.rootes.co.uk/</t>
  </si>
  <si>
    <t>Charges and Fees - Rootes Wealth Management</t>
  </si>
  <si>
    <t>ROOTES WEALTH MANAGEMENT LTD filing history - Find and update company information - GOV.UK</t>
  </si>
  <si>
    <t>Court Ross Financial Management Limited</t>
  </si>
  <si>
    <t>www.courtross.co.uk</t>
  </si>
  <si>
    <t>Cheetham Jackson Ltd</t>
  </si>
  <si>
    <t>https://www.cheethamjackson.com/</t>
  </si>
  <si>
    <t>Cheetham Jackson | Our Fees</t>
  </si>
  <si>
    <t>CHEETHAM JACKSON LTD filing history - Find and update company information - GOV.UK</t>
  </si>
  <si>
    <t>Footes Financial Planning UK Limited</t>
  </si>
  <si>
    <t>www.footes-financialplanning.co.uk</t>
  </si>
  <si>
    <t>Clear Financial Planning Fees | Footes Financial Planning</t>
  </si>
  <si>
    <t>FOOTES FINANCIAL PLANNING UK LIMITED filing history - Find and update company information - GOV.UK</t>
  </si>
  <si>
    <t>Brian J Hyman (Life &amp; Pensions) Limited</t>
  </si>
  <si>
    <t>https://www.hyfi.co.uk/</t>
  </si>
  <si>
    <t>Budge and Company Limited</t>
  </si>
  <si>
    <t>http://www.budgeandco.co.uk/</t>
  </si>
  <si>
    <t>Carlton Asset Management Limited</t>
  </si>
  <si>
    <t>https://www.carlton.org.uk/</t>
  </si>
  <si>
    <t>Hibbins Financial Services</t>
  </si>
  <si>
    <t>Peter Jones and Associates</t>
  </si>
  <si>
    <t>www.peterjonesfinancialadvisers.co.uk</t>
  </si>
  <si>
    <t>H&amp;D Wealth Limited</t>
  </si>
  <si>
    <t>https://hdwealth.com</t>
  </si>
  <si>
    <t>DWA Protector Limited</t>
  </si>
  <si>
    <t>Lawrence Dawson &amp; Co. Limited</t>
  </si>
  <si>
    <t>www.lawrencedawson.co.uk</t>
  </si>
  <si>
    <t>Jeston Insurance Brokers Limited</t>
  </si>
  <si>
    <t>https://www.jestons.co.uk/</t>
  </si>
  <si>
    <t>Centaur Financial Services Limited</t>
  </si>
  <si>
    <t>Mike Coram Associates | Independent Financial Advice | Bath</t>
  </si>
  <si>
    <t>Jackson Financial Planning Limited</t>
  </si>
  <si>
    <t>https://www.jacksoninsurance.co.uk/</t>
  </si>
  <si>
    <t xml:space="preserve">website unreachable </t>
  </si>
  <si>
    <t>Robert Gerrard &amp; Westbrook Ltd</t>
  </si>
  <si>
    <t>www.rgwifa.co.uk</t>
  </si>
  <si>
    <t>Client Agreement</t>
  </si>
  <si>
    <t>ROBERT GERRARD &amp; WESTBROOK LIMITED filing history - Find and update company information - GOV.UK</t>
  </si>
  <si>
    <t>Mike Coram Associates</t>
  </si>
  <si>
    <t>Investments &amp; Wealth Management | Coram Financial</t>
  </si>
  <si>
    <t>Personal Financial Advice Limited</t>
  </si>
  <si>
    <t>https://www.pfaoffice.co.uk/investment/</t>
  </si>
  <si>
    <t>Meldon &amp; Co Ltd</t>
  </si>
  <si>
    <t>https://www.meldonandco.uk/</t>
  </si>
  <si>
    <t>Lawson Financial Management</t>
  </si>
  <si>
    <t>https://www.lawson-ifa.co.uk/</t>
  </si>
  <si>
    <t>Pension Freedom (UK) Limited</t>
  </si>
  <si>
    <t>www.pensionfreedom.co.uk</t>
  </si>
  <si>
    <t>There is an initial fee but the rate was not indicated. To be excluded</t>
  </si>
  <si>
    <t>Client agreement - Investments and protection (what we do and how we charge)</t>
  </si>
  <si>
    <t>No initial/only pension</t>
  </si>
  <si>
    <t>Campbell Insurance Services Limited</t>
  </si>
  <si>
    <t>www.rsjfinancialplanning.co.uk</t>
  </si>
  <si>
    <t>Broadstone Financial Solutions Limited</t>
  </si>
  <si>
    <t>www.broadstone.co.uk</t>
  </si>
  <si>
    <t>Non advice consultancy</t>
  </si>
  <si>
    <t>The Carruth Financial Group Limited</t>
  </si>
  <si>
    <t>https://www.cfgfinancialadvisors.co.uk/</t>
  </si>
  <si>
    <t>Gerald Mulhern</t>
  </si>
  <si>
    <t>Fraser-Hann Financial Services Limited</t>
  </si>
  <si>
    <t>https://www.fraser-hann.co.uk</t>
  </si>
  <si>
    <t>Andrew Colyer-Worsell</t>
  </si>
  <si>
    <t>https://www.fixmypension.com/</t>
  </si>
  <si>
    <t>Craven Street Financial Planning Limited</t>
  </si>
  <si>
    <t>https://www.cravenstreetwealth.com/</t>
  </si>
  <si>
    <t>Charles James Financial Planning Limited</t>
  </si>
  <si>
    <t>https://www.charlesjames.com/</t>
  </si>
  <si>
    <t>Martyn Collett</t>
  </si>
  <si>
    <t>Home &amp; Finance IFA Limited</t>
  </si>
  <si>
    <t>https://www.homeandfinance.org/</t>
  </si>
  <si>
    <t>Felce Management Company Limited</t>
  </si>
  <si>
    <t>Robert Graham Harvie</t>
  </si>
  <si>
    <t>https://www.rgharvie.com/</t>
  </si>
  <si>
    <t>Christopher Mayes</t>
  </si>
  <si>
    <t>https://www.cmifa.com/</t>
  </si>
  <si>
    <t>E. S. Walton &amp; Co Limited</t>
  </si>
  <si>
    <t>www.eswalton.co.uk</t>
  </si>
  <si>
    <t>Tailored Financial Planning Ltd</t>
  </si>
  <si>
    <t>http://www.tailoredfp.co.uk/</t>
  </si>
  <si>
    <t>Client Agreement, Policy Arrangement &amp; Disclosure - Tailored Financial Planning</t>
  </si>
  <si>
    <t>TAILORED FINANCIAL PLANNING LTD filing history - Find and update company information - GOV.UK</t>
  </si>
  <si>
    <t>Altorfer Financial Management Limited</t>
  </si>
  <si>
    <t>https://www.altorfer.co.uk/</t>
  </si>
  <si>
    <t xml:space="preserve">Typical financial planning fee stated as 1150 </t>
  </si>
  <si>
    <t>Client-Agreement.pdf</t>
  </si>
  <si>
    <t>ALTORFER FINANCIAL MANAGEMENT LIMITED filing history - Find and update company information - GOV.UK</t>
  </si>
  <si>
    <t>Per hour effect</t>
  </si>
  <si>
    <t>P.J. McIlroy &amp; Son Insurance &amp; Investment</t>
  </si>
  <si>
    <t>https://www.pjmcilroy.com/</t>
  </si>
  <si>
    <t>Insight Wealth Limited</t>
  </si>
  <si>
    <t>www.insight-wealth.co.uk</t>
  </si>
  <si>
    <t>Client-Agreement-Insight-IFA-July-23.pdf</t>
  </si>
  <si>
    <t>INSIGHT WEALTH LIMITED filing history - Find and update company information - GOV.UK</t>
  </si>
  <si>
    <t>Tavistock Insurance Services Limited</t>
  </si>
  <si>
    <t>https://www.tavistock.org.uk/</t>
  </si>
  <si>
    <t>K.A. Ripley, Esq.</t>
  </si>
  <si>
    <t>Thompson &amp; Richardson (Financial Services) Lincoln Limited</t>
  </si>
  <si>
    <t>https://www.thompsonandrichardson.co.uk/</t>
  </si>
  <si>
    <t>Informed Choice (South West) Limited</t>
  </si>
  <si>
    <t>https://www.infomedchoice-sw.co.uk/</t>
  </si>
  <si>
    <t>Andrew Bourne &amp; Co Independent Financial Advisers Ltd</t>
  </si>
  <si>
    <t>www.andrewbourne.co.uk</t>
  </si>
  <si>
    <t>Client-Agreement-Pensions-Investments-and-Protection-nov25.pdf</t>
  </si>
  <si>
    <t>ANDREW BOURNE &amp; CO INDEPENDENT FINANCIAL ADVISERS LIMITED filing history - Find and update company information - GOV.UK</t>
  </si>
  <si>
    <t>Rainbourne Associates (Financial Services) Limited</t>
  </si>
  <si>
    <t>https://www.rainbourne.co.uk/</t>
  </si>
  <si>
    <t>Keith Montgomery Associates Limited</t>
  </si>
  <si>
    <t>https://www.montgomeryassociates.co.uk/</t>
  </si>
  <si>
    <t>Self Financial Planners Limited</t>
  </si>
  <si>
    <t>https://www.selfadvice.com/</t>
  </si>
  <si>
    <t>West Frazier Limited</t>
  </si>
  <si>
    <t>W B Baxter Limited</t>
  </si>
  <si>
    <t>https://www.wbbaxter.co.uk/</t>
  </si>
  <si>
    <t>Client-Service-Proposition-0124.pdf</t>
  </si>
  <si>
    <t>W.B.BAXTER LIMITED filing history - Find and update company information - GOV.UK</t>
  </si>
  <si>
    <t>Pacific (Norwich) Limited</t>
  </si>
  <si>
    <t>www.pacificgroup.co.uk</t>
  </si>
  <si>
    <t>Logicos Financial Planning Limited</t>
  </si>
  <si>
    <t>Atholl Scott Financial Services Limited</t>
  </si>
  <si>
    <t>www.asfs-ltd.co.uk</t>
  </si>
  <si>
    <t>Kirrage Williams Limited</t>
  </si>
  <si>
    <t>www.kirragewilliams.co.uk</t>
  </si>
  <si>
    <t>TERRY REED &amp; COMPANY LIMITED</t>
  </si>
  <si>
    <t>https://www.midwayprofessions.couk/</t>
  </si>
  <si>
    <t>Mathews Comfort Financial Services Limited</t>
  </si>
  <si>
    <t>https://www.mathewscomfort.co.uk/</t>
  </si>
  <si>
    <t>Timmins Whittaker Ltd</t>
  </si>
  <si>
    <t>https://www.timminswhittaker.co.uk/</t>
  </si>
  <si>
    <t>Moneynotion Limited</t>
  </si>
  <si>
    <t>www.moneynotion.co.uk</t>
  </si>
  <si>
    <t>Tallychart Limited</t>
  </si>
  <si>
    <t>Cartlidge Morland Limited</t>
  </si>
  <si>
    <t>www.cartlidgemorland.com</t>
  </si>
  <si>
    <t>CML-TCMP-Private-Client-Agreement-2025-22-01.pdf</t>
  </si>
  <si>
    <t>Select Total exeemption full accounts made up to 2024</t>
  </si>
  <si>
    <t>Kishore A. Shah Insurance Consultant</t>
  </si>
  <si>
    <t>TFP Financial Planning Ltd</t>
  </si>
  <si>
    <t>https://www.tfp-fp.com/</t>
  </si>
  <si>
    <t>Costs – TFP Financial Planning</t>
  </si>
  <si>
    <t>TFP FINANCIAL PLANNING LTD. filing history - Find and update company information - GOV.UK</t>
  </si>
  <si>
    <t>Fixed effect</t>
  </si>
  <si>
    <t>P.M.S. Financial Services</t>
  </si>
  <si>
    <t>The McHattie Group</t>
  </si>
  <si>
    <t>http://www.tipsheets.co.uk</t>
  </si>
  <si>
    <t>Tip sheet page not real adviser</t>
  </si>
  <si>
    <t>Stellar Financial Services</t>
  </si>
  <si>
    <t>Marel Sandidge Associates</t>
  </si>
  <si>
    <t>Imperial Wealth International Ltd</t>
  </si>
  <si>
    <t>www.imperialchartered.co.uk</t>
  </si>
  <si>
    <t>Costs &amp; Charges - Imperial Chartered Independent Financial Adviser</t>
  </si>
  <si>
    <t>IMPERIAL WEALTH INTERNATIONAL LTD filing history - Find and update company information - GOV.UK</t>
  </si>
  <si>
    <t>Beckett Financial Services Limited</t>
  </si>
  <si>
    <t>https://www.beckettinvest.com/</t>
  </si>
  <si>
    <t>Embassy Financial Planning Limited</t>
  </si>
  <si>
    <t>embassyfinancialplanning.co.uk</t>
  </si>
  <si>
    <t>Carleton Financial Planning Limited</t>
  </si>
  <si>
    <t>www.carletonfp.co.uk</t>
  </si>
  <si>
    <t>Pharon Independent Financial Advisers Limited</t>
  </si>
  <si>
    <t>https://www.pharon.co.uk/</t>
  </si>
  <si>
    <t>Castle Sundborn Limited</t>
  </si>
  <si>
    <t>https://www.castlesundborn.co.uk/</t>
  </si>
  <si>
    <t>csl-client-agreement---feb-24---aw.pdf</t>
  </si>
  <si>
    <t>CASTLE SUNDBORN LIMITED filing history - Find and update company information - GOV.UK</t>
  </si>
  <si>
    <t>Howard Taylor Associates</t>
  </si>
  <si>
    <t>GDC Associates</t>
  </si>
  <si>
    <t>Waterford Investments</t>
  </si>
  <si>
    <t>https://www.waterfordinvestments.co.uk/</t>
  </si>
  <si>
    <t>Barr Davis and Company Limited</t>
  </si>
  <si>
    <t>Guardian Financial Planners Limited</t>
  </si>
  <si>
    <t>Independent Wealth Management Consultants Ltd</t>
  </si>
  <si>
    <t>https://www.iwmcltd.co.uk/</t>
  </si>
  <si>
    <t>Philip Evans &amp; Associates</t>
  </si>
  <si>
    <t>https://www.philip-evans.co.uk/</t>
  </si>
  <si>
    <t>Fairstone Wealth Management Limited</t>
  </si>
  <si>
    <t>https://www.fairstone.co.uk/</t>
  </si>
  <si>
    <t>only ongoing fee mentioned no advice</t>
  </si>
  <si>
    <t>Fairstone changes fees to 80 bps and moves to single charging structure</t>
  </si>
  <si>
    <t>BRKM_Fairstone-Brooks-Macdonald-4-Income_0226.pdf</t>
  </si>
  <si>
    <t>FAIRSTONE WEALTH MANAGEMENT LIMITED filing history - Find and update company information - GOV.UK</t>
  </si>
  <si>
    <t xml:space="preserve">Bundled fee </t>
  </si>
  <si>
    <t>Stephen Devey</t>
  </si>
  <si>
    <t>Julius Baer International Limited</t>
  </si>
  <si>
    <t>https://www.juliusbaer.com/uk/en/</t>
  </si>
  <si>
    <t>MUFG BANK, LTD</t>
  </si>
  <si>
    <t>www.mufgemea.com</t>
  </si>
  <si>
    <t>Jefferies International Ltd</t>
  </si>
  <si>
    <t>www.jefferies.com</t>
  </si>
  <si>
    <t>Brunel Assurance Society</t>
  </si>
  <si>
    <t>I L Prebble &amp; Partners</t>
  </si>
  <si>
    <t>T.R.S. Independent Financial Advisers</t>
  </si>
  <si>
    <t>W H Ireland Limited</t>
  </si>
  <si>
    <t>www.whirelandplc.com</t>
  </si>
  <si>
    <t>DB UK Bank Limited</t>
  </si>
  <si>
    <t>www.db.com</t>
  </si>
  <si>
    <t>http://www.db.com/files/documents/costs-and-charges/investment-bank-products--bonds--corporate-bond.pdf</t>
  </si>
  <si>
    <t>BELLECAPITAL UK LIMITED</t>
  </si>
  <si>
    <t>www.bellecapital.com</t>
  </si>
  <si>
    <t>Oak Tree Friendly Society</t>
  </si>
  <si>
    <t>Interactive Investor Services Limited</t>
  </si>
  <si>
    <t>https://www.ii.co.uk/</t>
  </si>
  <si>
    <t>National Australia Bank Limited</t>
  </si>
  <si>
    <t>www.nab.com.au</t>
  </si>
  <si>
    <t>Pure banking</t>
  </si>
  <si>
    <t>Backhouse Independent Financial Services Limited</t>
  </si>
  <si>
    <t>https://www.backhouseifs.co.uk/</t>
  </si>
  <si>
    <t>Initial fee taking from foundation fee indicated. Nothing mentioned about initial fee</t>
  </si>
  <si>
    <t>Fee Structure - Backhouse - Independent Financial Services</t>
  </si>
  <si>
    <t>BACKHOUSE INDEPENDENT FINANCIAL SERVICES LIMITED filing history - Find and update company information - GOV.UK</t>
  </si>
  <si>
    <t>Only ongoing fee</t>
  </si>
  <si>
    <t>Aretian Wealth Management Limited</t>
  </si>
  <si>
    <t>www.aretianwealth.co.uk</t>
  </si>
  <si>
    <t>Fees – Aretian Wealth Management</t>
  </si>
  <si>
    <t>ARETIAN WEALTH MANAGEMENT LIMITED filing history - Find and update company information - GOV.UK</t>
  </si>
  <si>
    <t>Dobson &amp; Hodge Limited</t>
  </si>
  <si>
    <t>https://www.dobsonandhodge.co.uk/</t>
  </si>
  <si>
    <t>Stockcube Research Limited</t>
  </si>
  <si>
    <t>www.stockcube.com</t>
  </si>
  <si>
    <t>Chamberlyns(Leicestershire)Ltd</t>
  </si>
  <si>
    <t>www.cooperparrywealth.com</t>
  </si>
  <si>
    <t>Barons Capital Partners Limited</t>
  </si>
  <si>
    <t>Taylor Withers &amp; Company</t>
  </si>
  <si>
    <t>Cairn Independent Limited</t>
  </si>
  <si>
    <t>https://www.cairn.money/</t>
  </si>
  <si>
    <t>Aberdein Considine &amp; Co.</t>
  </si>
  <si>
    <t>www.acandco.com</t>
  </si>
  <si>
    <t>https://acwealth.co.uk/about-us/fees/</t>
  </si>
  <si>
    <t>Finli (G&amp;P) Ltd</t>
  </si>
  <si>
    <t>https://www.finli.co.uk/</t>
  </si>
  <si>
    <t>Walker Watson Financial Services</t>
  </si>
  <si>
    <t>Goldman Sachs International</t>
  </si>
  <si>
    <t>https://www.goldmansachs.com/</t>
  </si>
  <si>
    <t>Non UK advice biz</t>
  </si>
  <si>
    <t xml:space="preserve">No premier customer service only ultra wealthy </t>
  </si>
  <si>
    <t>Swiss Finance Corporation Limited</t>
  </si>
  <si>
    <t>www.sfc - uk.com</t>
  </si>
  <si>
    <t xml:space="preserve">plartform only </t>
  </si>
  <si>
    <t>Balance: Wealth Planning Limited</t>
  </si>
  <si>
    <t>http://www.balancewealth.uk/</t>
  </si>
  <si>
    <t>Fixed fee structure detrimental to lower investment</t>
  </si>
  <si>
    <t>https://balancewealth.uk/financial-planning/fees/</t>
  </si>
  <si>
    <t>https://find-and-update.company-information.service.gov.uk/company/08552799/filing-history</t>
  </si>
  <si>
    <t>Kellands (Gloucester) Limited</t>
  </si>
  <si>
    <t>https://www.kelland.co.uk/</t>
  </si>
  <si>
    <t>Arbuthnot Latham &amp; Co Limited</t>
  </si>
  <si>
    <t>www.arbuthnotlatham.co.uk</t>
  </si>
  <si>
    <t>Begley Brown Financial Solutions Ltd</t>
  </si>
  <si>
    <t>https://www.begleybrown.co.uk/</t>
  </si>
  <si>
    <t>Fees - Begley Brown Financial Solutions LTD</t>
  </si>
  <si>
    <t>BEGLEY BROWN FINANCIAL SOLUTIONS LTD. filing history - Find and update company information - GOV.UK</t>
  </si>
  <si>
    <t>fixed effect</t>
  </si>
  <si>
    <t>Lewis &amp; Co (Investments &amp; Pensions) Limited</t>
  </si>
  <si>
    <t>https://www.lewisinvestment.co.uk/</t>
  </si>
  <si>
    <t>Blankstone Sington Limited</t>
  </si>
  <si>
    <t>Warner Matthews Limited</t>
  </si>
  <si>
    <t>www.warnermatthews.co.uk</t>
  </si>
  <si>
    <t>Beach UK Ltd</t>
  </si>
  <si>
    <t>https://www.beachifa.co.uk/</t>
  </si>
  <si>
    <t>EFG Private Bank Limited</t>
  </si>
  <si>
    <t>www.efgl.com</t>
  </si>
  <si>
    <t>Magill &amp; Company Limited</t>
  </si>
  <si>
    <t>Associated Life</t>
  </si>
  <si>
    <t>https://www.associatedlife.co.uk/</t>
  </si>
  <si>
    <t>IFPC Limited</t>
  </si>
  <si>
    <t>https://www.ifpc.co.uk/</t>
  </si>
  <si>
    <t>Carlile Alexander Private Wealth Ltd</t>
  </si>
  <si>
    <t>www.capw.co.uk</t>
  </si>
  <si>
    <t>Fees - Carlile Alexander Private Wealth</t>
  </si>
  <si>
    <t>CARLILE ALEXANDER PRIVATE WEALTH LIMITED filing history - Find and update company information - GOV.UK</t>
  </si>
  <si>
    <t>Citygate Financial Planning Limited</t>
  </si>
  <si>
    <t>https://citygatefp.co.uk/</t>
  </si>
  <si>
    <t>Fees - Citygate</t>
  </si>
  <si>
    <t>CITYGATE FINANCIAL PLANNING LIMITED filing history - Find and update company information - GOV.UK</t>
  </si>
  <si>
    <t>Kieron John Bassett</t>
  </si>
  <si>
    <t>https://www.kieronbassett.com/</t>
  </si>
  <si>
    <t>Henry F Dodds Wealth Management Limited</t>
  </si>
  <si>
    <t>www.hfdoddswealth.co.uk</t>
  </si>
  <si>
    <t>Supreme Wealth Management</t>
  </si>
  <si>
    <t>https://www.supremewm.co.uk/</t>
  </si>
  <si>
    <t>Direct Wealth Management Limited</t>
  </si>
  <si>
    <t>https://www.directwealthmanagement.co.uk/</t>
  </si>
  <si>
    <t>Initial fee from per hour rate</t>
  </si>
  <si>
    <t>Fees – Direct Wealth Management</t>
  </si>
  <si>
    <t>DIRECT WEALTH MANAGEMENT LIMITED filing history - Find and update company information - GOV.UK</t>
  </si>
  <si>
    <t>Numis Securities Limited</t>
  </si>
  <si>
    <t>www.dbnumis.com</t>
  </si>
  <si>
    <t>German bank, non advice business</t>
  </si>
  <si>
    <t>Richmond House Wealth Management</t>
  </si>
  <si>
    <t>https://www.richmondhousewm.co.uk/</t>
  </si>
  <si>
    <t>Save &amp; Invest (Financial Planning) Limited</t>
  </si>
  <si>
    <t>Fletcher Investment Consultants Limited</t>
  </si>
  <si>
    <t>https://www.fletcherinvestments.org.uk/</t>
  </si>
  <si>
    <t>A.S.J. Financial Services Limited</t>
  </si>
  <si>
    <t>Three Counties Limited</t>
  </si>
  <si>
    <t>https://www.three-counties.co.uk/</t>
  </si>
  <si>
    <t>Latham Independent Finance</t>
  </si>
  <si>
    <t>https://www.lathamindependentfinance.co.uk/</t>
  </si>
  <si>
    <t>Charlwood Leigh Limited</t>
  </si>
  <si>
    <t>www.attivo.co.uk</t>
  </si>
  <si>
    <t>Frenkel Topping Limited</t>
  </si>
  <si>
    <t>https://www.frenkeltopping.co.uk/</t>
  </si>
  <si>
    <t>Somerville Financial Services Limited</t>
  </si>
  <si>
    <t>https://www.somervillefs.co.uk/</t>
  </si>
  <si>
    <t>Theisen Securities Limited</t>
  </si>
  <si>
    <t>https://www.theisensecurities.com/</t>
  </si>
  <si>
    <t>Aviva Life Services UK Limited</t>
  </si>
  <si>
    <t>www.aviva.co.uk</t>
  </si>
  <si>
    <t>Richard Field Investment Limited</t>
  </si>
  <si>
    <t>Widelist Investments Limited</t>
  </si>
  <si>
    <t>www.castle-investments.com</t>
  </si>
  <si>
    <t>Executive Benefit Services (UK) Limited</t>
  </si>
  <si>
    <t>https://www.ebsuk.com/</t>
  </si>
  <si>
    <t>initial includes implementation fee as well (basic services selected)</t>
  </si>
  <si>
    <t>Fees - EBS</t>
  </si>
  <si>
    <t>EXECUTIVE BENEFIT SERVICES (U.K.) LIMITED filing history - Find and update company information - GOV.UK</t>
  </si>
  <si>
    <t>Johnsons</t>
  </si>
  <si>
    <t>Charles Royle &amp; Company</t>
  </si>
  <si>
    <t>https://www.charlesroyle.co.uk/</t>
  </si>
  <si>
    <t>Headstart Advisers Limited</t>
  </si>
  <si>
    <t>www.headstartadvisers.com</t>
  </si>
  <si>
    <t>R C Brown Investment Management Plc</t>
  </si>
  <si>
    <t>www.rcbim.co.uk</t>
  </si>
  <si>
    <t>Dowgate Capital Limited</t>
  </si>
  <si>
    <t>dowgatecapital.co.uk</t>
  </si>
  <si>
    <t>Non advice firm</t>
  </si>
  <si>
    <t xml:space="preserve">IM company </t>
  </si>
  <si>
    <t>Lucas Fettes &amp; Partners (Financial Services) Limited</t>
  </si>
  <si>
    <t>www.lffinancialplanning.co.uk</t>
  </si>
  <si>
    <t>David Booler &amp; Company</t>
  </si>
  <si>
    <t>www.boolers.co.uk</t>
  </si>
  <si>
    <t>AMT Futures Limited</t>
  </si>
  <si>
    <t>www.amtfutures.co.uk</t>
  </si>
  <si>
    <t>RVW WealthCare Ltd</t>
  </si>
  <si>
    <t>www.rvwwealthcare.com</t>
  </si>
  <si>
    <t>Woodward Markwell Financial Advisers Limited</t>
  </si>
  <si>
    <t>www.woodwardmarkwell.co.uk</t>
  </si>
  <si>
    <t>PENGUIN WEALTH PLANNERS LIMITED</t>
  </si>
  <si>
    <t>www.penguinwealth.com</t>
  </si>
  <si>
    <t>Customer relationship service selected</t>
  </si>
  <si>
    <t>Fees - Financial Advice Cardiff</t>
  </si>
  <si>
    <t>PENGUIN WEALTH PLANNERS LIMITED filing history - Find and update company information - GOV.UK</t>
  </si>
  <si>
    <t>Weston Murray &amp; Moore Limited</t>
  </si>
  <si>
    <t>London Court Limited</t>
  </si>
  <si>
    <t>Shore Capital and Corporate Limited</t>
  </si>
  <si>
    <t>Credit Suisse International</t>
  </si>
  <si>
    <t>Forecast Financial Planning Limited</t>
  </si>
  <si>
    <t>https://www.forecastfp.co.uk/</t>
  </si>
  <si>
    <t>Fees - Forecast Financial Planning, New Forest</t>
  </si>
  <si>
    <t>FORECAST FINANCIAL PLANNING LIMITED filing history - Find and update company information - GOV.UK</t>
  </si>
  <si>
    <t>Global Advice Group Ltd</t>
  </si>
  <si>
    <t>www.gag-ltd.com</t>
  </si>
  <si>
    <t>Fees - Global Advice Group</t>
  </si>
  <si>
    <t>GLOBAL ADVICE GROUP LTD filing history - Find and update company information - GOV.UK</t>
  </si>
  <si>
    <t>Bentley Independent Financial Advisers</t>
  </si>
  <si>
    <t>https://www.bentleyifa.com/</t>
  </si>
  <si>
    <t>Legal &amp; General (Portfolio Management Services) Ltd</t>
  </si>
  <si>
    <t>www.legalandgeneral.com</t>
  </si>
  <si>
    <t>Peter Stewart Associates Limited</t>
  </si>
  <si>
    <t>Owen and Associates</t>
  </si>
  <si>
    <t>Halo Invest Ltd</t>
  </si>
  <si>
    <t>Kimberley Financial Services</t>
  </si>
  <si>
    <t>https://www.kimberleyfinancial.co.uk/</t>
  </si>
  <si>
    <t>Informed Choice Ltd</t>
  </si>
  <si>
    <t>https://www.icfp.co.uk/</t>
  </si>
  <si>
    <t>No ongoing indicated</t>
  </si>
  <si>
    <t>Fees - Informed Choice</t>
  </si>
  <si>
    <t>INFORMED CHOICE LIMITED filing history - Find and update company information - GOV.UK</t>
  </si>
  <si>
    <t>Chamberlain De Broe Limited</t>
  </si>
  <si>
    <t>www.cdebroe.com</t>
  </si>
  <si>
    <t>Harney &amp; Co Independent Financial Advisers</t>
  </si>
  <si>
    <t>https://www.harneyifa.co.uk/</t>
  </si>
  <si>
    <t>Ruby Red Financial Planning Ltd</t>
  </si>
  <si>
    <t>https://www.rubyredfp.co.uk/</t>
  </si>
  <si>
    <t>Fees - Ruby Red Financial Planning Ltd</t>
  </si>
  <si>
    <t>RUBY RED FINANCIAL PLANNING LTD filing history - Find and update company information - GOV.UK</t>
  </si>
  <si>
    <t>David Cope and Partners Limited</t>
  </si>
  <si>
    <t>https://www.dcandp.co.uk/</t>
  </si>
  <si>
    <t>WDFS Limited</t>
  </si>
  <si>
    <t>Peter Hope</t>
  </si>
  <si>
    <t>Nott Pybus &amp; Associates Limited</t>
  </si>
  <si>
    <t>https://nottpybus.co.uk/</t>
  </si>
  <si>
    <t>No ongoing but they get paid from product ongoing</t>
  </si>
  <si>
    <t>NP-TCs-1.11.20.pdf</t>
  </si>
  <si>
    <t>NOTT PYBUS &amp; ASSOCIATES LIMITED filing history - Find and update company information - GOV.UK</t>
  </si>
  <si>
    <t>Union Bancaire Privee, UBP SA</t>
  </si>
  <si>
    <t>Union Bancaire Privée UK | Premier Banking Services</t>
  </si>
  <si>
    <t>Sweeny Wealth Management Ltd</t>
  </si>
  <si>
    <t>www.sweenywealth.co.uk</t>
  </si>
  <si>
    <t>Fees - Sweeny Wealth Management</t>
  </si>
  <si>
    <t>SWEENY WEALTH MANAGEMENT LTD filing history - Find and update company information - GOV.UK</t>
  </si>
  <si>
    <t>Philip Binfield Limited</t>
  </si>
  <si>
    <t>Ramsay Brown Financial Services Limited</t>
  </si>
  <si>
    <t>www.ramsaybrownfinancialservices.co.uk/</t>
  </si>
  <si>
    <t>Financial Advice and Services Limited</t>
  </si>
  <si>
    <t>https://www.financial-advice.co.uk/</t>
  </si>
  <si>
    <t>Partridge Muir &amp; Warren Limited</t>
  </si>
  <si>
    <t>https://www.pmw.co.uk/</t>
  </si>
  <si>
    <t>Manor Park Financial Services Ltd</t>
  </si>
  <si>
    <t>Rees Astley Independent Financial Advisers Limited</t>
  </si>
  <si>
    <t>https://www.reesastleyifa.co.uk/</t>
  </si>
  <si>
    <t>Financial Affairs Limited</t>
  </si>
  <si>
    <t>https://www.financialaffairs.co.uk/</t>
  </si>
  <si>
    <t>Rowlands &amp; Hames Insurance Brokers Limited</t>
  </si>
  <si>
    <t>https://www.rowlands-hames.co.uk/</t>
  </si>
  <si>
    <t>Tingley &amp; Cooper Ltd</t>
  </si>
  <si>
    <t>https://www.tingleyandcooper.com/</t>
  </si>
  <si>
    <t>Fees – Tingley &amp; Cooper</t>
  </si>
  <si>
    <t>TINGLEY &amp; COOPER LIMITED filing history - Find and update company information - GOV.UK</t>
  </si>
  <si>
    <t>The Hartwood Group</t>
  </si>
  <si>
    <t>Albert Goodman Financial Planning Limited</t>
  </si>
  <si>
    <t>https://www.albertgoodman.co.uk/</t>
  </si>
  <si>
    <t>S R Smyth</t>
  </si>
  <si>
    <t>ADM Investor Services International Limited</t>
  </si>
  <si>
    <t>www.admisi.com</t>
  </si>
  <si>
    <t>MM Wealth Ltd</t>
  </si>
  <si>
    <t>https://www.mmwealth.co.uk/</t>
  </si>
  <si>
    <t>FUTURE PLANET CAPITAL (VENTURES) LIMITED</t>
  </si>
  <si>
    <t>https://www.futureplanetcapital.com/</t>
  </si>
  <si>
    <t>Venture capital firm</t>
  </si>
  <si>
    <t>K. D. R. Financial Services</t>
  </si>
  <si>
    <t>www.kdrfs.co.uk</t>
  </si>
  <si>
    <t>Circle Financial Services Limited</t>
  </si>
  <si>
    <t>https://www.circlefinancial.co.uk/</t>
  </si>
  <si>
    <t>Bexley Independent Financial Services</t>
  </si>
  <si>
    <t>Essex Financial Management Limited</t>
  </si>
  <si>
    <t>https://www.efmgroup.co.uk/</t>
  </si>
  <si>
    <t>Rixon Matthews Appleyard (Financial Services) Limited</t>
  </si>
  <si>
    <t>https://www.rixonsfinancial.co.uk/</t>
  </si>
  <si>
    <t>Brighton Williams &amp; Partners</t>
  </si>
  <si>
    <t>www.brightonwilliams.com</t>
  </si>
  <si>
    <t>Cantor Fitzgerald Europe</t>
  </si>
  <si>
    <t>www.cantor.com/global/europe/</t>
  </si>
  <si>
    <t>Research Independent Financial Services Limited</t>
  </si>
  <si>
    <t>https://www.researchindependent.co.uk/</t>
  </si>
  <si>
    <t>J.S.P. Financial Services Limited</t>
  </si>
  <si>
    <t>Plumptree Kilby</t>
  </si>
  <si>
    <t>Goldstar Insurance Services Limited</t>
  </si>
  <si>
    <t>https://www.goldstarwealthuk.co.uk/</t>
  </si>
  <si>
    <t>TenetConnect Limited</t>
  </si>
  <si>
    <t>ALPs F S Limited</t>
  </si>
  <si>
    <t>Stonewood Financial Planning Limited</t>
  </si>
  <si>
    <t>https://www.stonewoodfinancialplanning.com/</t>
  </si>
  <si>
    <t>Roger T Hulme Limited</t>
  </si>
  <si>
    <t>https://www.rthltd.co.uk/</t>
  </si>
  <si>
    <t>The GMD Partnership</t>
  </si>
  <si>
    <t>Deutsche Bank AG</t>
  </si>
  <si>
    <t>Amar Financial Services</t>
  </si>
  <si>
    <t>MGP Investment Management Limited</t>
  </si>
  <si>
    <t>Access Wealth Management</t>
  </si>
  <si>
    <t>ABS Financial Planning Limited</t>
  </si>
  <si>
    <t>www.absfinancial.co.uk</t>
  </si>
  <si>
    <t>Perspective (North East) Limited</t>
  </si>
  <si>
    <t>www.pfgl.co.uk/northeast</t>
  </si>
  <si>
    <t>Talis Financial Advisers Ltd</t>
  </si>
  <si>
    <t>https://www.talisifa.com/</t>
  </si>
  <si>
    <t>Lowndes Halsden &amp; Partners Limited</t>
  </si>
  <si>
    <t>www.lowndesonline.co.uk</t>
  </si>
  <si>
    <t>Rickard Lazenby Financial Services Ltd</t>
  </si>
  <si>
    <t>https://www.rickardlazenby.co.uk/</t>
  </si>
  <si>
    <t>Adelp Financial Solutions Ltd</t>
  </si>
  <si>
    <t>https://www.adelpfs.co.uk/</t>
  </si>
  <si>
    <t>Fees &amp; Advice Costs - Adelp Financial Solutions</t>
  </si>
  <si>
    <t>ADELP FINANCIAL SOLUTIONS LTD filing history - Find and update company information - GOV.UK</t>
  </si>
  <si>
    <t>Iain Brown</t>
  </si>
  <si>
    <t>TenetConnect Services Limited</t>
  </si>
  <si>
    <t>Rouse Limited</t>
  </si>
  <si>
    <t>www.rouseltd.co.uk</t>
  </si>
  <si>
    <t>Greenfields Financial Management Limited</t>
  </si>
  <si>
    <t>https://www.greenfields.biz/</t>
  </si>
  <si>
    <t>Norwood Financial Services</t>
  </si>
  <si>
    <t>Helm Godfrey Partners Ltd</t>
  </si>
  <si>
    <t>www.argentis.co.uk</t>
  </si>
  <si>
    <t>GHC Capital Markets Ltd</t>
  </si>
  <si>
    <t>www.ghcl.co.uk</t>
  </si>
  <si>
    <t>MM Financial Management Limited</t>
  </si>
  <si>
    <t>Denyer Insurance Consultancy Ltd</t>
  </si>
  <si>
    <t>Warren &amp; Warren</t>
  </si>
  <si>
    <t>https://www.warrenifa.com/</t>
  </si>
  <si>
    <t>One Four Nine Wealth Limited</t>
  </si>
  <si>
    <t>www.onefourninewealth.co.uk</t>
  </si>
  <si>
    <t>Julian Harris Financial Consultants</t>
  </si>
  <si>
    <t>https://www.julianharris.net/</t>
  </si>
  <si>
    <t>More like a network for advisers to use</t>
  </si>
  <si>
    <t>https://www.julianharris.net/JH%20Brochure.pdf</t>
  </si>
  <si>
    <t>Richard Jacobs Pension and Trustee Services Limited</t>
  </si>
  <si>
    <t>https://www.jacobs-pensions.co.uk/</t>
  </si>
  <si>
    <t>Keey Partners Limited</t>
  </si>
  <si>
    <t>Middleton Private Capital Limited</t>
  </si>
  <si>
    <t>https://www.middletonprivatecapital.co.uk/</t>
  </si>
  <si>
    <t>Fees &amp; Charges</t>
  </si>
  <si>
    <t>MIDDLETON PRIVATE CAPITAL LTD. filing history - Find and update company information - GOV.UK</t>
  </si>
  <si>
    <t>Christchurch Investment Management Limited</t>
  </si>
  <si>
    <t>Blackfinch Investments Limited</t>
  </si>
  <si>
    <t>https://www.blackfinch.com/</t>
  </si>
  <si>
    <t>Verso Wealth Management Limited</t>
  </si>
  <si>
    <t>www.versowm.com</t>
  </si>
  <si>
    <t>Laver Wealth Management Limited</t>
  </si>
  <si>
    <t>https://www.laverwealth.co.uk/</t>
  </si>
  <si>
    <t>N. J. Leeson &amp; Co.</t>
  </si>
  <si>
    <t>www.njleeson.com</t>
  </si>
  <si>
    <t>City &amp; Merchant Limited</t>
  </si>
  <si>
    <t>Redwood Financial Family Wealth and Estate Planners Ltd</t>
  </si>
  <si>
    <t>www.redwoodfinancial.co.uk</t>
  </si>
  <si>
    <t>Basic estate planning fee range selected</t>
  </si>
  <si>
    <t>Fees &amp; Pricing | Redwood Financial | Estate Planning Costs</t>
  </si>
  <si>
    <t>REDWOOD FINANCIAL FAMILY WEALTH &amp; ESTATE PLANNERS LIMITED filing history - Find and update company information - GOV.UK</t>
  </si>
  <si>
    <t>Executive Advisory Services Limited</t>
  </si>
  <si>
    <t>A.J. Buckley Asset Management Ltd</t>
  </si>
  <si>
    <t>https://www.ajbwealth.co.uk/</t>
  </si>
  <si>
    <t>Canaccord Genuity Financial Planning Limited</t>
  </si>
  <si>
    <t>www.canaccordgenuity.com/wealth - management - uk</t>
  </si>
  <si>
    <t>Lyndhurst Financial Management Limited</t>
  </si>
  <si>
    <t>https://www.lyndhurstfm.co.uk/</t>
  </si>
  <si>
    <t>Greystone Financial Services Limited</t>
  </si>
  <si>
    <t>www.greystonefs.co.uk</t>
  </si>
  <si>
    <t>T B Patterson Associates</t>
  </si>
  <si>
    <t>Vale Insurance Services Limited</t>
  </si>
  <si>
    <t>www.vale.uk.com</t>
  </si>
  <si>
    <t>Investacc Limited</t>
  </si>
  <si>
    <t>https://www.investacc.co.uk/</t>
  </si>
  <si>
    <t>Barbican Independent Financial Advisors Limited</t>
  </si>
  <si>
    <t>City Equities Limited</t>
  </si>
  <si>
    <t>3-S Financial Management</t>
  </si>
  <si>
    <t>https://www.3-sfinancial.com/</t>
  </si>
  <si>
    <t>Disolved</t>
  </si>
  <si>
    <t>Fees | 3-S Financial | Chartered Financial Planners | Manchester</t>
  </si>
  <si>
    <t>Rowan Dartington &amp; Co. Limited</t>
  </si>
  <si>
    <t>www.rowan-dartington.co.uk</t>
  </si>
  <si>
    <t>Hampton Ash 1993</t>
  </si>
  <si>
    <t>Morgan Law (Financial Services) Limited</t>
  </si>
  <si>
    <t>www.morganlawfinancialservices.co.uk</t>
  </si>
  <si>
    <t>AJ Bell Securities Limited</t>
  </si>
  <si>
    <t>BARCLAYS INVESTMENT SOLUTIONS LIMITED</t>
  </si>
  <si>
    <t>VSA Capital Limited</t>
  </si>
  <si>
    <t>www.vsacapital.com</t>
  </si>
  <si>
    <t>Peter Gay &amp; Company</t>
  </si>
  <si>
    <t>Chantler Kent Investments</t>
  </si>
  <si>
    <t>https://www.chantlerkent.co.uk/</t>
  </si>
  <si>
    <t>Cambrian Associates Limited</t>
  </si>
  <si>
    <t>Morgans Ltd</t>
  </si>
  <si>
    <t>https://www.mfgl.com/</t>
  </si>
  <si>
    <t>Burgess &amp; Lee Limited</t>
  </si>
  <si>
    <t>https://www.burgessandlee.co.uk/</t>
  </si>
  <si>
    <t>Church's Financial Planning Limited</t>
  </si>
  <si>
    <t>https://www.churchsfp.co.uk/</t>
  </si>
  <si>
    <t>Financial Risk Management</t>
  </si>
  <si>
    <t>Pension &amp; Investment Management Services</t>
  </si>
  <si>
    <t>Aquila Financial Management Limited</t>
  </si>
  <si>
    <t>http://www.aquilafm.co.uk/</t>
  </si>
  <si>
    <t>Strand Hanson Limited</t>
  </si>
  <si>
    <t>www.strandhanson.co.uk</t>
  </si>
  <si>
    <t>Graham Grant IFA Limited</t>
  </si>
  <si>
    <t>QI Financial Solutions Limited</t>
  </si>
  <si>
    <t>https://www.qifinancialsolutions.co.uk/</t>
  </si>
  <si>
    <t>Simon Flather</t>
  </si>
  <si>
    <t>https://www.cityconfidential.co.uk/</t>
  </si>
  <si>
    <t>Bradbury Hamilton Limited</t>
  </si>
  <si>
    <t>Kevin Adams</t>
  </si>
  <si>
    <t>Belvedere Wealth Management Ltd</t>
  </si>
  <si>
    <t>www.belvederewm.com</t>
  </si>
  <si>
    <t>Fees | Belvedere WM</t>
  </si>
  <si>
    <t>BELVEDERE WEALTH MANAGEMENT LTD. filing history - Find and update company information - GOV.UK</t>
  </si>
  <si>
    <t>Reeve-Sims Ltd</t>
  </si>
  <si>
    <t>Townsend McCormack Ltd</t>
  </si>
  <si>
    <t>www.townsendmccormack.co.uk</t>
  </si>
  <si>
    <t>Corbett Keeling Limited</t>
  </si>
  <si>
    <t>Corbettkeeling.com</t>
  </si>
  <si>
    <t>Shetland Independent Financial Advisers</t>
  </si>
  <si>
    <t>City &amp; Trust Finance Limited</t>
  </si>
  <si>
    <t xml:space="preserve">https://cityandtrust.co.uk </t>
  </si>
  <si>
    <t>All inclusive fee</t>
  </si>
  <si>
    <t>Fees | cityandtrust</t>
  </si>
  <si>
    <t>CITY AND TRUST FINANCE LIMITED filing history - Find and update company information - GOV.UK</t>
  </si>
  <si>
    <t>Johnston Kennedy</t>
  </si>
  <si>
    <t>www.johnston-kennedy.com</t>
  </si>
  <si>
    <t>Professional services focus</t>
  </si>
  <si>
    <t>Kelly Financial Management</t>
  </si>
  <si>
    <t>https://www.kfms.co.uk/</t>
  </si>
  <si>
    <t>Cactus Financial Planning Ltd</t>
  </si>
  <si>
    <t>https://www.cactusfp.co.uk/</t>
  </si>
  <si>
    <t>Fees | Independent Financial Advice in Cheltenham and the South West | Cactus Financial Planning</t>
  </si>
  <si>
    <t>CACTUS FINANCIAL PLANNING LTD filing history - Find and update company information - GOV.UK</t>
  </si>
  <si>
    <t>AMR Financial Management Limited</t>
  </si>
  <si>
    <t>https://www.amrinvest.co.uk/</t>
  </si>
  <si>
    <t>Ethical Investors (UK) Ltd</t>
  </si>
  <si>
    <t>www.ethicalinvestors.co.uk</t>
  </si>
  <si>
    <t>Research Vision Ltd</t>
  </si>
  <si>
    <t>Perrett &amp; Co. Financial Services Limited</t>
  </si>
  <si>
    <t>https://www.perrettandco.com/</t>
  </si>
  <si>
    <t>Medical &amp; Executive Financial Services</t>
  </si>
  <si>
    <t>Morgan Stanley &amp; Co. International Plc</t>
  </si>
  <si>
    <t>Slater Investments Ltd</t>
  </si>
  <si>
    <t>https://www.slaterinvestments.com/</t>
  </si>
  <si>
    <t>https://slaterinvestments.com/wp-content/uploads/2025/02/Slater-Investments-Form-ADV-Part-2A-February-2025.pdf</t>
  </si>
  <si>
    <t>Miller &amp; Co Investment Management Ltd</t>
  </si>
  <si>
    <t>Milton Keynes Financial Advice Ltd</t>
  </si>
  <si>
    <t>https://www.mkfa.co.uk/</t>
  </si>
  <si>
    <t>Fees | Milton Keynes Financial Advice</t>
  </si>
  <si>
    <t>MILTON KEYNES FINANCIAL ADVICE LIMITED filing history - Find and update company information - GOV.UK</t>
  </si>
  <si>
    <t>Castlegate Financial Management Limited</t>
  </si>
  <si>
    <t>https://www.casfin.co.uk/</t>
  </si>
  <si>
    <t>H S Coleman (Insurance Services) Ltd</t>
  </si>
  <si>
    <t>www.hscfinancial.co.uk</t>
  </si>
  <si>
    <t>Campbell Munro Limited</t>
  </si>
  <si>
    <t>https://www.campbellmunro.co.uk/</t>
  </si>
  <si>
    <t>D C Financial Limited</t>
  </si>
  <si>
    <t>HRI Investments Limited</t>
  </si>
  <si>
    <t>https://www.hri - investments.com/</t>
  </si>
  <si>
    <t>Omnilife Insurance Company Limited</t>
  </si>
  <si>
    <t>www.omnilife.co.uk</t>
  </si>
  <si>
    <t>Bank of China Limited London Branch</t>
  </si>
  <si>
    <t>www.bankofchina.com/uk/</t>
  </si>
  <si>
    <t>Red Kite Wealth Management Limited</t>
  </si>
  <si>
    <t>https://www.redkitewm.co.uk/</t>
  </si>
  <si>
    <t>Fixed fee included</t>
  </si>
  <si>
    <t>Fees | Red Kite Wealth Management | Benson</t>
  </si>
  <si>
    <t>RED KITE WEALTH MANAGEMENT LIMITED filing history - Find and update company information - GOV.UK</t>
  </si>
  <si>
    <t>Engage Financial Services Ltd</t>
  </si>
  <si>
    <t>www.engagefs.co.uk</t>
  </si>
  <si>
    <t>Fees | Transparent Fees, Fixed Fees — Engage Financial Services</t>
  </si>
  <si>
    <t>ENGAGE FINANCIAL SERVICES LTD filing history - Find and update company information - GOV.UK</t>
  </si>
  <si>
    <t>SP Financial Management Limited</t>
  </si>
  <si>
    <t>https://www.spfm.co.uk/</t>
  </si>
  <si>
    <t>CFS Management Ltd</t>
  </si>
  <si>
    <t>Fraser Finance Limited</t>
  </si>
  <si>
    <t>www.fraserfinance.com</t>
  </si>
  <si>
    <t>ITI Capital Limited</t>
  </si>
  <si>
    <t>Peter Manduell &amp; Company Financial Services Limited</t>
  </si>
  <si>
    <t>Kotak Mahindra (UK) Limited</t>
  </si>
  <si>
    <t>J &amp; E Davy (UK) Limited</t>
  </si>
  <si>
    <t>www.DavyUK.co.uk</t>
  </si>
  <si>
    <t>Broadway Financial Planning Limited</t>
  </si>
  <si>
    <t>https://www.broadwayfp.co.uk/</t>
  </si>
  <si>
    <t>Asset Management Financial Advisers Limited</t>
  </si>
  <si>
    <t>www.assetmanagement.co.uk</t>
  </si>
  <si>
    <t>Venture Alliance Corporate Finance Ltd</t>
  </si>
  <si>
    <t>Mr Peter John Shandley</t>
  </si>
  <si>
    <t>John Eames Limited</t>
  </si>
  <si>
    <t>Affluent Financial Planning Ltd</t>
  </si>
  <si>
    <t>https://www.affluentfp.co.uk/</t>
  </si>
  <si>
    <t>Aston Lark Employee Benefits Limited</t>
  </si>
  <si>
    <t>Epworth Investment Management Limited</t>
  </si>
  <si>
    <t>epworthim.com</t>
  </si>
  <si>
    <t>Daiwa Corporate Advisory Limited</t>
  </si>
  <si>
    <t>www.dcadvisory.com</t>
  </si>
  <si>
    <t>Gordon Shepherd Associates Limited</t>
  </si>
  <si>
    <t>Verdant Financial Planning Limited</t>
  </si>
  <si>
    <t>https://www.verdantfp.co.uk/</t>
  </si>
  <si>
    <t>Fees | Verdant Financial Planning</t>
  </si>
  <si>
    <t>VERDANT FINANCIAL PLANNING LIMITED filing history - Find and update company information - GOV.UK</t>
  </si>
  <si>
    <t>Mattinson Ginty and Partners (Employee Benefits) Limited</t>
  </si>
  <si>
    <t>https://www.mgpeb.co.uk/</t>
  </si>
  <si>
    <t>Johnson Gibbs</t>
  </si>
  <si>
    <t>https://www.johnsongibbs.co.uk/</t>
  </si>
  <si>
    <t>Capital Trust Financial Management LTD</t>
  </si>
  <si>
    <t>CROWD FOR ANGELS (UK) LIMITED</t>
  </si>
  <si>
    <t>https://crowdforangels.com/</t>
  </si>
  <si>
    <t xml:space="preserve">crowd funding </t>
  </si>
  <si>
    <t>Mayfield Financial Services Limited</t>
  </si>
  <si>
    <t>Nsure Financial Services Limited</t>
  </si>
  <si>
    <t>https://www.nsurefinancial.co.uk/</t>
  </si>
  <si>
    <t>Oak Private Wealth Ltd</t>
  </si>
  <si>
    <t>www.oakprivatewealth.com</t>
  </si>
  <si>
    <t>Nice fee calculator on the page. Ongoing fee is the platform fee</t>
  </si>
  <si>
    <t>Fees and Charges – Oak Private Wealth</t>
  </si>
  <si>
    <t>OAK PRIVATE WEALTH LTD filing history - Find and update company information - GOV.UK</t>
  </si>
  <si>
    <t>Massey Independent Advisers Ltd</t>
  </si>
  <si>
    <t>Templar Financial Planning Ltd</t>
  </si>
  <si>
    <t>https://templargroup.co.uk</t>
  </si>
  <si>
    <t>Perspective (South) Limited</t>
  </si>
  <si>
    <t>www.pfgl.co.uk/south</t>
  </si>
  <si>
    <t>Like a network</t>
  </si>
  <si>
    <t>Hynes Davis Limited</t>
  </si>
  <si>
    <t>PG Owen Limited</t>
  </si>
  <si>
    <t>Michael Brian Rooney</t>
  </si>
  <si>
    <t>Wild &amp; Company Limited</t>
  </si>
  <si>
    <t>https://www.wildandcompany.ltd.uk/</t>
  </si>
  <si>
    <t>Website under construction</t>
  </si>
  <si>
    <t>Clarksons Platou Futures Limited</t>
  </si>
  <si>
    <t>www.clarksons.com</t>
  </si>
  <si>
    <t>Blevins Franks Financial Management Limited</t>
  </si>
  <si>
    <t>http://www.blevinsfranks.com</t>
  </si>
  <si>
    <t>Brookson Financial Limited</t>
  </si>
  <si>
    <t>https://www.brooksonfinancial.co.uk/</t>
  </si>
  <si>
    <t>Herbert Scott Ltd</t>
  </si>
  <si>
    <t>https://www.herbertscott.co.uk/</t>
  </si>
  <si>
    <t>Timothy James and Partners Ltd</t>
  </si>
  <si>
    <t>www.tjpltd.co.uk</t>
  </si>
  <si>
    <t>MPL Wealth Management Limited</t>
  </si>
  <si>
    <t>https://www.mplwealthmanagement.co.uk</t>
  </si>
  <si>
    <t>Hallmark Independent Financial Advisers</t>
  </si>
  <si>
    <t>Heritage Wealth Solutions Ltd</t>
  </si>
  <si>
    <t>https://www.heritagews.co.uk/</t>
  </si>
  <si>
    <t>Fees and charges | Heritage Wealth Solutions</t>
  </si>
  <si>
    <t>HERITAGE WEALTH SOLUTIONS LTD filing history - Find and update company information - GOV.UK</t>
  </si>
  <si>
    <t>Blackfriars Asset Management Limited</t>
  </si>
  <si>
    <t>www.blackfriarsam.com</t>
  </si>
  <si>
    <t>Home Counties Financial Services</t>
  </si>
  <si>
    <t>https://www.homecountiesfs.co.uk/</t>
  </si>
  <si>
    <t>Paul Mayo Financial Services</t>
  </si>
  <si>
    <t>Alfred Henry Corporate Finance Ltd</t>
  </si>
  <si>
    <t>Optiva Securities Limited</t>
  </si>
  <si>
    <t>www.optivasecurities.com</t>
  </si>
  <si>
    <t>Montfort International Limited</t>
  </si>
  <si>
    <t>https://www.montfort-intl.com/</t>
  </si>
  <si>
    <t>Hedley Asset Management Limited</t>
  </si>
  <si>
    <t>https://www.hedleyasset.co.uk/</t>
  </si>
  <si>
    <t>SCOTTISH WIDOWS LIMITED</t>
  </si>
  <si>
    <t>https://www.scottishwidows.co.uk/</t>
  </si>
  <si>
    <t>Strategic Investment Planning Ltd</t>
  </si>
  <si>
    <t>Bank of Scotland plc</t>
  </si>
  <si>
    <t>https://www.bankofscotland.co.uk/</t>
  </si>
  <si>
    <t>Linked to Lloyds and Schroders</t>
  </si>
  <si>
    <t>Fees and Charges | Wealth Management | Bank of Scotland</t>
  </si>
  <si>
    <t>https://find-and-update.company-information.service.gov.uk/company/SC327000/filing-history</t>
  </si>
  <si>
    <t>Alastair Lyon</t>
  </si>
  <si>
    <t>Melanie Cygelman</t>
  </si>
  <si>
    <t>Gerrard Stuart Financial Services Limited</t>
  </si>
  <si>
    <t>AV Trinity Limited</t>
  </si>
  <si>
    <t>https://www.avtrinity.com/</t>
  </si>
  <si>
    <t>Hannah Consultancy Limited</t>
  </si>
  <si>
    <t>Nagle James Financial Planning Ltd</t>
  </si>
  <si>
    <t>Hughes Carne Independent Financial Advisers Ltd</t>
  </si>
  <si>
    <t>CBW Financial Planning Limited</t>
  </si>
  <si>
    <t>www.cbwfinancialplanning.co.uk</t>
  </si>
  <si>
    <t>Churchill Investments Plc</t>
  </si>
  <si>
    <t>https://www.churchillinvestments.co.uk/</t>
  </si>
  <si>
    <t>McDonald Associates Limited</t>
  </si>
  <si>
    <t>www.mcdonaldassociates.co.uk</t>
  </si>
  <si>
    <t>Forvis Mazars Financial Planning Limited</t>
  </si>
  <si>
    <t>www.forvismazars.com/uk/en</t>
  </si>
  <si>
    <t>Manse Capital Limited</t>
  </si>
  <si>
    <t>SPARK Advisory Partners Limited</t>
  </si>
  <si>
    <t>http://www.sparkadvisorypartners.com</t>
  </si>
  <si>
    <t>Cameron Trinity Limited</t>
  </si>
  <si>
    <t>The Bank of New York Mellon (International) Limited</t>
  </si>
  <si>
    <t>Dr David Smith Financial Services</t>
  </si>
  <si>
    <t>Torevell &amp; Partners Limited</t>
  </si>
  <si>
    <t>https://www.torevellpartners.co.uk/</t>
  </si>
  <si>
    <t>Chamberlyns Limited</t>
  </si>
  <si>
    <t>https://www.chamberlyns.co.uk/</t>
  </si>
  <si>
    <t xml:space="preserve">Website unreachable </t>
  </si>
  <si>
    <t>Brewin Dolphin Limited</t>
  </si>
  <si>
    <t>https://www.brewin.co.uk/</t>
  </si>
  <si>
    <t>fees-brochure-charges.pdf</t>
  </si>
  <si>
    <t>RBC-Brewin-Dolphin-MPS-factsheet-Balanced.pdf</t>
  </si>
  <si>
    <t>BREWIN DOLPHIN LIMITED filing history - Find and update company information - GOV.UK</t>
  </si>
  <si>
    <t>Charles Stanley &amp; Co Ltd</t>
  </si>
  <si>
    <t>www.charles - stanley.co.uk</t>
  </si>
  <si>
    <t>Financial planning cost</t>
  </si>
  <si>
    <t>Investment Search - Charles Stanley Direct</t>
  </si>
  <si>
    <t>RAYMOND JAMES WEALTH MANAGEMENT LIMITED filing history - Find and update company information - GOV.UK</t>
  </si>
  <si>
    <t>APM Capital Markets Limited</t>
  </si>
  <si>
    <t>www.lunaro.com</t>
  </si>
  <si>
    <t>Trading platform</t>
  </si>
  <si>
    <t>DIY trading</t>
  </si>
  <si>
    <t>Pall Mall Financial Independence Limited</t>
  </si>
  <si>
    <t>www.pmfi.co.uk</t>
  </si>
  <si>
    <t>Rock Wealth LLP</t>
  </si>
  <si>
    <t>rock-wealth.co.uk</t>
  </si>
  <si>
    <t>Average fees really high, the place themselves high end</t>
  </si>
  <si>
    <t>Financial Planning Fees - rockwealth Cheltenham</t>
  </si>
  <si>
    <t>https://find-and-update.company-information.service.gov.uk/company/OC387227/filing-history</t>
  </si>
  <si>
    <t>Personal Financial Planning Ltd</t>
  </si>
  <si>
    <t>https://www.pfp.co.uk/</t>
  </si>
  <si>
    <t>Gallagher Risk &amp; Reward Limited</t>
  </si>
  <si>
    <t>https://www.ajg.com/uk/</t>
  </si>
  <si>
    <t>Beaumont Cornish Limited</t>
  </si>
  <si>
    <t>www.b -cornish.co.uk</t>
  </si>
  <si>
    <t>Greene Financial Services</t>
  </si>
  <si>
    <t>https://www.greenefinancialservices.co.uk/</t>
  </si>
  <si>
    <t>Brooks Macdonald Asset Management Limited</t>
  </si>
  <si>
    <t>www.brooksmacdonald.com</t>
  </si>
  <si>
    <t>Legal &amp; Medical Investments Ltd</t>
  </si>
  <si>
    <t>www.legalandmedical.co.uk</t>
  </si>
  <si>
    <t>Crowe Financial Planning UK Limited</t>
  </si>
  <si>
    <t>https://www.crowe.com/uk/crowefinancialplanning</t>
  </si>
  <si>
    <t>Clarity Limited</t>
  </si>
  <si>
    <t>https://www.clarityglobal.com/</t>
  </si>
  <si>
    <t>Edison Consulting Limited</t>
  </si>
  <si>
    <t>Kelsall Steele Investment Services Limited</t>
  </si>
  <si>
    <t>https://www.ksisltd.co.uk/</t>
  </si>
  <si>
    <t>Need Financial Planning Ltd</t>
  </si>
  <si>
    <t>https://www.needfp.co.uk/</t>
  </si>
  <si>
    <t>Ongoing not disclosed but initial is high enough to warrant inclusion</t>
  </si>
  <si>
    <t>Financial Services Fees | Need Financial Planning</t>
  </si>
  <si>
    <t>NEED FINANCIAL PLANNING LTD filing history - Find and update company information - GOV.UK</t>
  </si>
  <si>
    <t>Robin Christopher Singer</t>
  </si>
  <si>
    <t>www.singerfinancialtrust.co.uk</t>
  </si>
  <si>
    <t>Argyle Consulting Ltd</t>
  </si>
  <si>
    <t>https://www.argyleconsulting.co.uk/</t>
  </si>
  <si>
    <t>Carlton St John Financial Services Limited</t>
  </si>
  <si>
    <t>Aviva Administration Limited</t>
  </si>
  <si>
    <t>Bigmore Benefits Limited</t>
  </si>
  <si>
    <t>https://www.bigmorebenefits.com/</t>
  </si>
  <si>
    <t>The National Farmers' Union Mutual Insurance Society Limited</t>
  </si>
  <si>
    <t>https://www.nfumutual.co.uk/</t>
  </si>
  <si>
    <t>All in fee indicated</t>
  </si>
  <si>
    <t>financial-planning-terms-of-business.pdf</t>
  </si>
  <si>
    <t>NFU Mutual Flexibond Mixed Portfolio 20 - 60% Shares PDF Factsheet</t>
  </si>
  <si>
    <t>Select Group of companies account for 2024</t>
  </si>
  <si>
    <t>Pi Financial Ltd</t>
  </si>
  <si>
    <t>https://www.pifinancial.co.uk/</t>
  </si>
  <si>
    <t>Globe Independent Financial Advisors Ltd</t>
  </si>
  <si>
    <t>https://www.globeifa.co.uk/</t>
  </si>
  <si>
    <t>Smith &amp; Pinching Financial Services Ltd</t>
  </si>
  <si>
    <t>www.smith-pinching.co.uk</t>
  </si>
  <si>
    <t>Lotus Benefit Consultants Limited</t>
  </si>
  <si>
    <t>https://www.lotusifa.co.uk/</t>
  </si>
  <si>
    <t>Premier Independent Investments UK Ltd</t>
  </si>
  <si>
    <t>The Financial Planning Practice</t>
  </si>
  <si>
    <t>www.thefpp.co.uk</t>
  </si>
  <si>
    <t>Doherty Pension &amp; Investment Consultancy Limited</t>
  </si>
  <si>
    <t>www.dohertypic.com</t>
  </si>
  <si>
    <t>KBC Bank NV</t>
  </si>
  <si>
    <t>www.kbc.be</t>
  </si>
  <si>
    <t>Nicola Reynolds</t>
  </si>
  <si>
    <t>Muir Brown Limited</t>
  </si>
  <si>
    <t>Liverpool Victoria Financial Advice Services Limited</t>
  </si>
  <si>
    <t>https://www.lv.com/</t>
  </si>
  <si>
    <t>UBS AG</t>
  </si>
  <si>
    <t>Financial advice for individuals and families | UBS United Kingdom</t>
  </si>
  <si>
    <t>Graham Carter Financial Services Limited</t>
  </si>
  <si>
    <t>https://www.grahamcarter.co.uk/</t>
  </si>
  <si>
    <t>Graham Carter &amp; Co. | Chester | Our Charges</t>
  </si>
  <si>
    <t>GRAHAM CARTER FINANCIAL SERVICES LIMITED filing history - Find and update company information - GOV.UK</t>
  </si>
  <si>
    <t>Reeves Financial Services Limited</t>
  </si>
  <si>
    <t>https://www.reevesfinancialservices.com/</t>
  </si>
  <si>
    <t>Grosvenor Consultancy Limited</t>
  </si>
  <si>
    <t>www.grosvenorconsultancy.co.uk</t>
  </si>
  <si>
    <t>Pembroke Financial Services (Horsham) Limited</t>
  </si>
  <si>
    <t>https://www.pembrokefinancial.co.uk/</t>
  </si>
  <si>
    <t>Grew Financial Services Limited</t>
  </si>
  <si>
    <t>City Financial (Aberdeen) Ltd</t>
  </si>
  <si>
    <t>www.city-financial.co.uk</t>
  </si>
  <si>
    <t>Sheppard Davies Asset Management Ltd</t>
  </si>
  <si>
    <t>The Marshall Partnership</t>
  </si>
  <si>
    <t>AXA Investment Managers GS Limited</t>
  </si>
  <si>
    <t>MGA Financial Management Limited</t>
  </si>
  <si>
    <t>HBL BANK UK LIMITED</t>
  </si>
  <si>
    <t>www.hblbankuk.com</t>
  </si>
  <si>
    <t>No advice business</t>
  </si>
  <si>
    <t>MICL Limited</t>
  </si>
  <si>
    <t>https://www.moaiwealth.co.uk/</t>
  </si>
  <si>
    <t>BLM Partnership Limited</t>
  </si>
  <si>
    <t>www.blmifa.co.uk</t>
  </si>
  <si>
    <t>The Ethical Investment Co-operative Limited</t>
  </si>
  <si>
    <t>https://www.ethicalmoney.org/</t>
  </si>
  <si>
    <t>Guide to our fees and services v4 1124.pdf</t>
  </si>
  <si>
    <t>THE ETHICAL INVESTMENT CO-OPERATIVE LIMITED filing history - Find and update company information - GOV.UK</t>
  </si>
  <si>
    <t>Blacktower Financial Management Ltd</t>
  </si>
  <si>
    <t>https://www.blacktowerfm.com/</t>
  </si>
  <si>
    <t>Fidelius Ltd</t>
  </si>
  <si>
    <t>https://www.fidelius.co.uk/</t>
  </si>
  <si>
    <t>Balmoral Asset Management Limited</t>
  </si>
  <si>
    <t>Personal Investment Planning Ltd</t>
  </si>
  <si>
    <t>Moneyweb Limited</t>
  </si>
  <si>
    <t>https://www.moneyweb-ifa.com/</t>
  </si>
  <si>
    <t>How We Are Paid - MoneyWeb | Financial Advisers | Scarborough | North Yorkshire</t>
  </si>
  <si>
    <t>MONEYWEB LIMITED filing history - Find and update company information - GOV.UK</t>
  </si>
  <si>
    <t>Paladin Financial Services Ltd</t>
  </si>
  <si>
    <t>Rometsch &amp; Moor Limited</t>
  </si>
  <si>
    <t>www.rometschandmoor.com</t>
  </si>
  <si>
    <t>Yates Financial Planning Ltd</t>
  </si>
  <si>
    <t>Eastwood Financial Services Limited</t>
  </si>
  <si>
    <t>https://www.eastwoodfinancial.co.uk/</t>
  </si>
  <si>
    <t>Baker Davies Limited</t>
  </si>
  <si>
    <t>https://www.bakerdavies.com/</t>
  </si>
  <si>
    <t>Mohindra &amp; Co</t>
  </si>
  <si>
    <t>mohco.com</t>
  </si>
  <si>
    <t>Campton (Financial Services) Ltd</t>
  </si>
  <si>
    <t>The St. David's Partnership</t>
  </si>
  <si>
    <t>www.stdavidspartnership.co.uk</t>
  </si>
  <si>
    <t>Gracechurch Wealth Management LLP</t>
  </si>
  <si>
    <t>https://gracechurchwm.com/</t>
  </si>
  <si>
    <t>Not clear if they charge initial advice fee, hence excluded</t>
  </si>
  <si>
    <t>How we can help - Gracechurch Wealth Management LLP</t>
  </si>
  <si>
    <t>https://find-and-update.company-information.service.gov.uk/company/OC320661/filing-history</t>
  </si>
  <si>
    <t>only ongoing fee</t>
  </si>
  <si>
    <t>McCrea Financial Services Limited</t>
  </si>
  <si>
    <t>GATE CAPITAL GROUP LTD</t>
  </si>
  <si>
    <t>http://www.gatecapitalgroup.com/</t>
  </si>
  <si>
    <t>SPF Private Clients Limited</t>
  </si>
  <si>
    <t>www.spf.co.uk</t>
  </si>
  <si>
    <t>Andrew O'Connor</t>
  </si>
  <si>
    <t>https://www.intouchinvestments.co.uk/</t>
  </si>
  <si>
    <t>Premier Financial Planning</t>
  </si>
  <si>
    <t>8 Financial Planning Limited</t>
  </si>
  <si>
    <t>https://www.8fp.co.uk/</t>
  </si>
  <si>
    <t>How we charge - 8 Financial Planning</t>
  </si>
  <si>
    <t>8 FINANCIAL PLANNING LIMITED filing history - Find and update company information - GOV.UK</t>
  </si>
  <si>
    <t>CAPITAL PLUS PARTNERS LIMITED</t>
  </si>
  <si>
    <t>www.capplus.co.uk</t>
  </si>
  <si>
    <t>Chartwell Financial Services Ltd</t>
  </si>
  <si>
    <t>https://www.chartwellfs.com/</t>
  </si>
  <si>
    <t>The Informed Partnership Limited</t>
  </si>
  <si>
    <t>https://www.informedfinancialplanning.co.uk/</t>
  </si>
  <si>
    <t>How We Charge - Informed Financial Planning</t>
  </si>
  <si>
    <t>THE INFORMED PARTNERSHIP LIMITED filing history - Find and update company information - GOV.UK</t>
  </si>
  <si>
    <t>Page Kirk Financial Services LLP</t>
  </si>
  <si>
    <t>www.pkfs.co.uk</t>
  </si>
  <si>
    <t>How We Charge | Page Kirk Financial Services | Nottingham</t>
  </si>
  <si>
    <t>PAGE KIRK FINANCIAL SERVICES LLP filing history - Find and update company information - GOV.UK</t>
  </si>
  <si>
    <t>Carpenter Rees Limited</t>
  </si>
  <si>
    <t>https://www.carpenter-rees.co.uk/</t>
  </si>
  <si>
    <t>Kelvin Financial Planning Limited</t>
  </si>
  <si>
    <t>https://www.kelvinfp.com/</t>
  </si>
  <si>
    <t xml:space="preserve">They don’t charge initial </t>
  </si>
  <si>
    <t>How we charge | Kelvin Financial Planning</t>
  </si>
  <si>
    <t>KELVIN FINANCIAL PLANNING LIMITED filing history - Find and update company information - GOV.UK</t>
  </si>
  <si>
    <t>Initial not stipulated</t>
  </si>
  <si>
    <t>Jonathan Bradnick</t>
  </si>
  <si>
    <t>https://www.informeddecisions.info/</t>
  </si>
  <si>
    <t>Premier Financial Management Ltd</t>
  </si>
  <si>
    <t>Lonsdale Financial Consulting Ltd</t>
  </si>
  <si>
    <t>Finsol Limited</t>
  </si>
  <si>
    <t>Solomon's</t>
  </si>
  <si>
    <t>https://www.solomonsifa.co.uk/</t>
  </si>
  <si>
    <t>Kevin Chalk</t>
  </si>
  <si>
    <t>Lovewell Blake Financial Planning Limited</t>
  </si>
  <si>
    <t>www.Lovewell-Blake.co.uk</t>
  </si>
  <si>
    <t>Adviser Business Solutions Ltd</t>
  </si>
  <si>
    <t>Deep Blue Financial Limited</t>
  </si>
  <si>
    <t>https://www.deepbluefinancial.com/</t>
  </si>
  <si>
    <t>Progressive Financial Planning Limited</t>
  </si>
  <si>
    <t>https://www.progressive-fp.co.uk/</t>
  </si>
  <si>
    <t>Marechale Capital PLC</t>
  </si>
  <si>
    <t>www.marechalecapital.com</t>
  </si>
  <si>
    <t>Corporate finance mainly</t>
  </si>
  <si>
    <t>Phoenix Wealth Management Ltd.</t>
  </si>
  <si>
    <t>https://www.phoenix-wm.co.uk/</t>
  </si>
  <si>
    <t>James Chadwick and Associates</t>
  </si>
  <si>
    <t>RPG Consulting Limited</t>
  </si>
  <si>
    <t>https://www.rpgcfp.co.uk/</t>
  </si>
  <si>
    <t>Intelligent Capital Ltd</t>
  </si>
  <si>
    <t>Church House Investments Limited</t>
  </si>
  <si>
    <t>https://www.ch-investments.co.uk/</t>
  </si>
  <si>
    <t>Financial Planning (Wales) Ltd</t>
  </si>
  <si>
    <t>www.financialplanningwales.co.uk</t>
  </si>
  <si>
    <t>Financial Care Solutions Limited</t>
  </si>
  <si>
    <t>https://www.financialcaresolutions.co.uk/</t>
  </si>
  <si>
    <t>Due to minimum 4250 initial and 3k ongoing</t>
  </si>
  <si>
    <t>How We Work - Financial Care Solutions</t>
  </si>
  <si>
    <t>FINANCIAL CARE SOLUTIONS LIMITED filing history - Find and update company information - GOV.UK</t>
  </si>
  <si>
    <t>First Global (UK) Limited</t>
  </si>
  <si>
    <t>The Whitechurch Network Limited</t>
  </si>
  <si>
    <t>https://www.inpartnership.net/</t>
  </si>
  <si>
    <t xml:space="preserve">Network </t>
  </si>
  <si>
    <t>Blue Spire Independent Financial Advice Limited</t>
  </si>
  <si>
    <t>www.blue-spire.com</t>
  </si>
  <si>
    <t>How you pay for our advice | Blue Spire Ltd</t>
  </si>
  <si>
    <t>BLUE SPIRE INDEPENDENT FINANCIAL ADVICE LIMITED filing history - Find and update company information - GOV.UK</t>
  </si>
  <si>
    <t>Magus Private Wealth Limited</t>
  </si>
  <si>
    <t>https://www.maguswealth.co.uk/</t>
  </si>
  <si>
    <t>Strategic Financial Solutions Limited</t>
  </si>
  <si>
    <t>www.sfs.uk.com</t>
  </si>
  <si>
    <t>TSB Bank plc</t>
  </si>
  <si>
    <t>www.tsb.co.uk</t>
  </si>
  <si>
    <t>Bank arm with no advisor see Wealthify for advice</t>
  </si>
  <si>
    <t>T J Green (Financial Services) Limited</t>
  </si>
  <si>
    <t>Geoff Mason Associates</t>
  </si>
  <si>
    <t>BHP Financial Planning Limited</t>
  </si>
  <si>
    <t>https://bhp.co.uk/financial-planning/</t>
  </si>
  <si>
    <t>Stephenson Smart Financial Services Limited</t>
  </si>
  <si>
    <t>Hopwood Ash Limited</t>
  </si>
  <si>
    <t>HHPG Limited</t>
  </si>
  <si>
    <t>LifePlanning Solutions</t>
  </si>
  <si>
    <t>WFS Consulting Limited</t>
  </si>
  <si>
    <t>https://www.wingatebs.com/</t>
  </si>
  <si>
    <t>Mayfair Independent Limited</t>
  </si>
  <si>
    <t>https://www.mayfairindependent.co.uk/</t>
  </si>
  <si>
    <t>Fisher Investments Europe Limited</t>
  </si>
  <si>
    <t>https://www.fisherinvestments.com/en - gb</t>
  </si>
  <si>
    <t>Brookes Financial Management Limited</t>
  </si>
  <si>
    <t>Aurora Financial Solutions Limited</t>
  </si>
  <si>
    <t>www.aurorafinancial.co.uk</t>
  </si>
  <si>
    <t>http://aspireonline.co.uk/sites/default/files/clients/130/0623-Client-Proposition.pdf</t>
  </si>
  <si>
    <t>https://find-and-update.company-information.service.gov.uk/company/11236418/filing-history</t>
  </si>
  <si>
    <t>Neales Financial Management Limited</t>
  </si>
  <si>
    <t>Mapus Financial Planning Limited</t>
  </si>
  <si>
    <t>P W Financial Management Limited</t>
  </si>
  <si>
    <t>A.J. Wealth Management Limited</t>
  </si>
  <si>
    <t>www.ajwealthmanagement.co.uk</t>
  </si>
  <si>
    <t>Adcock Financial Limited</t>
  </si>
  <si>
    <t>Jennings Wealth Management Ltd</t>
  </si>
  <si>
    <t>www.jenningswm.com</t>
  </si>
  <si>
    <t>One advisor confirmed on webpage</t>
  </si>
  <si>
    <t>http://jenningswm.com/fees/</t>
  </si>
  <si>
    <t>JENNINGS WEALTH MANAGEMENT LIMITED filing history - Find and update company information - GOV.UK</t>
  </si>
  <si>
    <t>Sound Financial Management Ltd</t>
  </si>
  <si>
    <t>www.sound-financial.co.uk</t>
  </si>
  <si>
    <t>Credo Capital Limited</t>
  </si>
  <si>
    <t>www.credogroup.com</t>
  </si>
  <si>
    <t>Lionel David Eustace Thomas</t>
  </si>
  <si>
    <t>Optima Financial Services Ltd.</t>
  </si>
  <si>
    <t>www.optima-fs.co.uk</t>
  </si>
  <si>
    <t>Atkins Bland Limited</t>
  </si>
  <si>
    <t>https://www.atkinsbland.co.uk/</t>
  </si>
  <si>
    <t>https://5deae023-4bbb-4f4f-8c02-446cd6ad798c.filesusr.com/ugd/499be7_b2c7f06368504f51a52ef5270efdc00b.pdf</t>
  </si>
  <si>
    <t>ATKINS BLAND LIMITED filing history - Find and update company information - GOV.UK</t>
  </si>
  <si>
    <t>Christie Financial Planning Limited</t>
  </si>
  <si>
    <t>Radiant Financial Planning Limited</t>
  </si>
  <si>
    <t>https://radiantfinancial.co.uk/</t>
  </si>
  <si>
    <t>Henderson Loggie Financial Planning Limited</t>
  </si>
  <si>
    <t>https://www.hlfp.co.uk/</t>
  </si>
  <si>
    <t>Seven Street Wealth Ltd</t>
  </si>
  <si>
    <t>https://www.7sw.co.uk/</t>
  </si>
  <si>
    <t>The Ethical Partnership Limited</t>
  </si>
  <si>
    <t>https://www.the-ethical-partnership.co.uk/</t>
  </si>
  <si>
    <t>Roberts Clark Independent Financial Solutions Limited</t>
  </si>
  <si>
    <t>https://www.financialadvice.net/</t>
  </si>
  <si>
    <t>No direct webpage</t>
  </si>
  <si>
    <t>Navigation Financial Services Ltd</t>
  </si>
  <si>
    <t>www.navigationfs.com</t>
  </si>
  <si>
    <t>Holyrood Asset Management Ltd</t>
  </si>
  <si>
    <t>https://www.holyroodam.co.uk/</t>
  </si>
  <si>
    <t>The On-Line Partnership Limited</t>
  </si>
  <si>
    <t>Aim Independent Limited</t>
  </si>
  <si>
    <t>Alpha Financial Management Limited</t>
  </si>
  <si>
    <t>www.afm. org.uk</t>
  </si>
  <si>
    <t>https://afm.org.uk/client-agreement/</t>
  </si>
  <si>
    <t>ALPHA FINANCIAL MANAGEMENT LIMITED filing history - Find and update company information - GOV.UK</t>
  </si>
  <si>
    <t>The Internet IFA Ltd</t>
  </si>
  <si>
    <t>Ainsworths Financial Services Limited</t>
  </si>
  <si>
    <t>https://www.afsl.info/</t>
  </si>
  <si>
    <t>Hartmann Capital Limited</t>
  </si>
  <si>
    <t>www.hartmanncapital.com</t>
  </si>
  <si>
    <t>AKFP Ltd</t>
  </si>
  <si>
    <t>https://www.akfp.net/</t>
  </si>
  <si>
    <t>https://akfp.net/why-choose-us/our-fees/</t>
  </si>
  <si>
    <t>AKFP LTD filing history - Find and update company information - GOV.UK</t>
  </si>
  <si>
    <t>Active Financial Planners Limited</t>
  </si>
  <si>
    <t>https://www.activefinancialplanners.co.uk/</t>
  </si>
  <si>
    <t>Progress Financial Planning Ltd</t>
  </si>
  <si>
    <t>www.progressfa.co.uk</t>
  </si>
  <si>
    <t>The Life &amp; Pensions Network Ltd</t>
  </si>
  <si>
    <t>https://www.lifeandpensionsnetwork.co.uk/</t>
  </si>
  <si>
    <t>Stephen Frederick Gordon</t>
  </si>
  <si>
    <t>Perry Appleton Financial Management Limited</t>
  </si>
  <si>
    <t>Murphy Sawers Consulting Limited</t>
  </si>
  <si>
    <t>https://www.murphysawers.co.uk/</t>
  </si>
  <si>
    <t>Kellands (Hale) Limited</t>
  </si>
  <si>
    <t>www.kelland-hale.com</t>
  </si>
  <si>
    <t>Atomos Financial Planning Limited</t>
  </si>
  <si>
    <t>Maybe I can find internally at WTW</t>
  </si>
  <si>
    <t>Manor IFA Limited</t>
  </si>
  <si>
    <t>Not taking client anymore</t>
  </si>
  <si>
    <t>The Financial Investment Consultancy</t>
  </si>
  <si>
    <t>Murray Round Wealth Management Limited</t>
  </si>
  <si>
    <t>JFS Cheltenham Limited</t>
  </si>
  <si>
    <t>Stonehage Fleming Investment Management Limited</t>
  </si>
  <si>
    <t>www.stonehagefleming.com</t>
  </si>
  <si>
    <t>Acton Financial Management</t>
  </si>
  <si>
    <t>www.actonifa.com</t>
  </si>
  <si>
    <t>GE Capital Limited</t>
  </si>
  <si>
    <t>Dentons Investment Services Ltd</t>
  </si>
  <si>
    <t>https://www.dentonswealth.co.uk/</t>
  </si>
  <si>
    <t>Cutting and Carter Limited</t>
  </si>
  <si>
    <t>Hammond Raggett &amp; Company Limited</t>
  </si>
  <si>
    <t>https://www.hammondraggett.co.uk/</t>
  </si>
  <si>
    <t>Raymond James Investment Services Ltd</t>
  </si>
  <si>
    <t>https://www.raymondjames.uk.com/</t>
  </si>
  <si>
    <t>HFMC Asset Management Limited</t>
  </si>
  <si>
    <t>www.hfmcam.com</t>
  </si>
  <si>
    <t>Ludgate Investments Limited</t>
  </si>
  <si>
    <t>www.ludgate.com</t>
  </si>
  <si>
    <t>Europa Partners Limited</t>
  </si>
  <si>
    <t>www.europapartners.com</t>
  </si>
  <si>
    <t>Curo Advisers Limited</t>
  </si>
  <si>
    <t>https://www.curoadvisers.com/</t>
  </si>
  <si>
    <t>Canaccord Genuity Wealth Limited</t>
  </si>
  <si>
    <t>https://www.canaccord - wealth.com</t>
  </si>
  <si>
    <t>Stonehage Fleming Advisory Limited</t>
  </si>
  <si>
    <t>Chetwood Wealth Management Ltd</t>
  </si>
  <si>
    <t>https://www.chetwoodwm.co.uk/</t>
  </si>
  <si>
    <t>Finli (GPGFS) Ltd</t>
  </si>
  <si>
    <t>Strategic Asset Managers Limited</t>
  </si>
  <si>
    <t>https://www.strategicassetmanagers.co.uk/</t>
  </si>
  <si>
    <t>F.P. Consulting Limited</t>
  </si>
  <si>
    <t>Aspire Independent Financial Planners LLP</t>
  </si>
  <si>
    <t>www.aspireonline.co.uk</t>
  </si>
  <si>
    <t>https://aspireonline.co.uk/sites/default/files/clients/130/0623-Client-Proposition.pdf</t>
  </si>
  <si>
    <t>ASPIRE INDEPENDENT FINANCIAL PLANNERS LLP filing history - Find and update company information - GOV.UK</t>
  </si>
  <si>
    <t>Chase Buckingham Limited</t>
  </si>
  <si>
    <t>https://www.chasebuckingham.com/</t>
  </si>
  <si>
    <t>Aaron Tawny Mortgages Limited</t>
  </si>
  <si>
    <t>https://www.atawny.co.uk/</t>
  </si>
  <si>
    <t>https://atawny.co.uk/wp-content/uploads/2024/09/Aaron-Tawny-Transparent-Approach-17.9.24.pdf</t>
  </si>
  <si>
    <t>AARON TAWNY MORTGAGES LIMITED filing history - Find and update company information - GOV.UK</t>
  </si>
  <si>
    <t>Baron &amp; Grant Investment Management Limited</t>
  </si>
  <si>
    <t>https://www.baronandgrant.com/</t>
  </si>
  <si>
    <t>https://baronandgrant.com/services/</t>
  </si>
  <si>
    <t>https://find-and-update.company-information.service.gov.uk/company/12161169/filing-history</t>
  </si>
  <si>
    <t>D C Pensions &amp; Investment Limited</t>
  </si>
  <si>
    <t>https://www.dcpi.co.uk/</t>
  </si>
  <si>
    <t>IG Markets Limited</t>
  </si>
  <si>
    <t>http://www.ig.com/</t>
  </si>
  <si>
    <t>Morgan Stanley Bank International Limited</t>
  </si>
  <si>
    <t>www.morganstanley.com</t>
  </si>
  <si>
    <t xml:space="preserve">No retail financial advice in the UK </t>
  </si>
  <si>
    <t>Finli (FA92) Ltd</t>
  </si>
  <si>
    <t>TMS Capital Limited</t>
  </si>
  <si>
    <t>https://www.tms-capital.com/</t>
  </si>
  <si>
    <t>Gerald Pepper Financial Management Limited</t>
  </si>
  <si>
    <t>Spence &amp; Partners Limited</t>
  </si>
  <si>
    <t>www.spenceandpartners.co.uk</t>
  </si>
  <si>
    <t>Chelsea Investments Limited</t>
  </si>
  <si>
    <t>www.chelseainvestments.co.uk</t>
  </si>
  <si>
    <t>Advance Investments Limited</t>
  </si>
  <si>
    <t>https://www.advanceinvestments.com/</t>
  </si>
  <si>
    <t>Cheltenham Wealth Financial Practice Ltd</t>
  </si>
  <si>
    <t>https://cheltenhamwealthfinancialltd. squarespace.com/</t>
  </si>
  <si>
    <t>S G Wealth Management Limited</t>
  </si>
  <si>
    <t>www.sgwealthmanagement.co.uk</t>
  </si>
  <si>
    <t>Trevally Capital Advisers Ltd</t>
  </si>
  <si>
    <t>https://www.trevallycapitaladvisers.co.uk/</t>
  </si>
  <si>
    <t>Kellands (Bristol) Limited</t>
  </si>
  <si>
    <t>www.kelland.co.uk</t>
  </si>
  <si>
    <t>Ernst &amp; Young LLP</t>
  </si>
  <si>
    <t>www.ey.com</t>
  </si>
  <si>
    <t>Beyond Finance Ltd</t>
  </si>
  <si>
    <t>https://www.beyondfinance.org.uk/</t>
  </si>
  <si>
    <t>https://beyondfinance.org.uk/our-fees-and-services/</t>
  </si>
  <si>
    <t>BEYOND FINANCE LTD filing history - Find and update company information - GOV.UK</t>
  </si>
  <si>
    <t>Mr William Harris</t>
  </si>
  <si>
    <t>https://www.lawrencemiller.co.uk/</t>
  </si>
  <si>
    <t>Ledingham Chalmers Financial Limited</t>
  </si>
  <si>
    <t>Trillium Financial Planning Ltd</t>
  </si>
  <si>
    <t>FPC Financial Services Ltd</t>
  </si>
  <si>
    <t>https://www.fpcfinancial.co.uk/</t>
  </si>
  <si>
    <t>Praefinium Partners Ltd</t>
  </si>
  <si>
    <t>Campbell Lutyens &amp; Co. Ltd</t>
  </si>
  <si>
    <t>https://campbell-lutyens.com/</t>
  </si>
  <si>
    <t>Consilium Financial Planning Limited</t>
  </si>
  <si>
    <t>https://www.consiliumfp.co.uk/</t>
  </si>
  <si>
    <t>Jade Independent Financial Advisors Limited</t>
  </si>
  <si>
    <t>Oakland Financial Management Ltd</t>
  </si>
  <si>
    <t>Chapelwood Financial Planning Ltd</t>
  </si>
  <si>
    <t>Concerva Limited</t>
  </si>
  <si>
    <t>https://www.concerva.co.uk/</t>
  </si>
  <si>
    <t>Asset and Investment Management Limited</t>
  </si>
  <si>
    <t>https://www.aimifa.com/</t>
  </si>
  <si>
    <t>Trustlaw Financial Services Limited</t>
  </si>
  <si>
    <t>Berkeley La Roche Financial Consultants Ltd</t>
  </si>
  <si>
    <t>Robert Morrow Financial Services</t>
  </si>
  <si>
    <t>https://www.robertmorrowfs.co.uk/</t>
  </si>
  <si>
    <t>MC3 Investments</t>
  </si>
  <si>
    <t>https://www.mc3inv.com/</t>
  </si>
  <si>
    <t>AFS Limited</t>
  </si>
  <si>
    <t>www.afs-online.co.uk</t>
  </si>
  <si>
    <t>TTR Barnes (Financial Services) Limited</t>
  </si>
  <si>
    <t>https://www.key-wealth.com/</t>
  </si>
  <si>
    <t>MULBERRY WEALTH CLIENT SERVICES LIMITED</t>
  </si>
  <si>
    <t>www.mulberrywealth.co.uk</t>
  </si>
  <si>
    <t>ValidPath Limited</t>
  </si>
  <si>
    <t>www.validpath.co.uk</t>
  </si>
  <si>
    <t>Gilliland Neilson Brown Limited</t>
  </si>
  <si>
    <t>Winders Financial Services Limited</t>
  </si>
  <si>
    <t>www.winderswm.co.uk</t>
  </si>
  <si>
    <t>Orr Kerr Dykes Financial Services Limited</t>
  </si>
  <si>
    <t>Boler Wiseman Financial Services Limited</t>
  </si>
  <si>
    <t>MacIntyre Hudson Corporate Finance Ltd</t>
  </si>
  <si>
    <t>Cooper Parry Wealth Limited</t>
  </si>
  <si>
    <t>Focused Financial Services</t>
  </si>
  <si>
    <t>Citywest Consultants Limited</t>
  </si>
  <si>
    <t>Integra Capital Limited</t>
  </si>
  <si>
    <t>http://integracapital.co.uk/</t>
  </si>
  <si>
    <t>family office</t>
  </si>
  <si>
    <t>Handelsbanken Wealth &amp; Asset Management Limited</t>
  </si>
  <si>
    <t>wealthandasset. handelsbanken.co.uk</t>
  </si>
  <si>
    <t>H C I Financial Services Limited</t>
  </si>
  <si>
    <t>https://www.hcifs.co.uk/</t>
  </si>
  <si>
    <t>Rapport Financial Strategists Limited</t>
  </si>
  <si>
    <t>https://www.rapportfsltd.co.uk/</t>
  </si>
  <si>
    <t>Keith Bayley Rogers &amp; Co Limited</t>
  </si>
  <si>
    <t>www.kbrl.co.uk</t>
  </si>
  <si>
    <t>RNS Financial Services Limited</t>
  </si>
  <si>
    <t>https://www.rns-ifa.co.uk/</t>
  </si>
  <si>
    <t>Ermin Fosse Financial Management LLP</t>
  </si>
  <si>
    <t>https://www.erminfosse.co.uk/</t>
  </si>
  <si>
    <t>JXG Wealth Limited</t>
  </si>
  <si>
    <t>Burwood Sage + Brookridge Ltd</t>
  </si>
  <si>
    <t>https://www.bsandb.co.uk/</t>
  </si>
  <si>
    <t>https://bsandb.co.uk/how-we-work/</t>
  </si>
  <si>
    <t>BURWOOD SAGE + BROOKRIDGE LTD filing history - Find and update company information - GOV.UK</t>
  </si>
  <si>
    <t>Foresight Group LLP</t>
  </si>
  <si>
    <t>www.foresightgroup.eu</t>
  </si>
  <si>
    <t>GRS Financial Consultants Limited</t>
  </si>
  <si>
    <t>https://www.grsfinancial.co.uk/</t>
  </si>
  <si>
    <t>Moore Kingston Smith Corporate Finance Limited</t>
  </si>
  <si>
    <t>https://mooreks.co.uk/</t>
  </si>
  <si>
    <t>Hodgson Barrow (Financial Services) Limited</t>
  </si>
  <si>
    <t>Moffatt Financial Planning Limited</t>
  </si>
  <si>
    <t>https://www.moffatts.com/</t>
  </si>
  <si>
    <t>Professional Financial Centre (Thames Valley) Ltd</t>
  </si>
  <si>
    <t>www.pfcthamesvalley.co.uk</t>
  </si>
  <si>
    <t>Lowland Financial Services Limited</t>
  </si>
  <si>
    <t>https://www.lowlandfinancial.co.uk/</t>
  </si>
  <si>
    <t>Fides Limited</t>
  </si>
  <si>
    <t>https://www.fidesfinancial.co.uk/</t>
  </si>
  <si>
    <t>https://c-cluster-110.uploads.documents.cimpress.io/v1/uploads/f0bcd7da-3686-403d-b0ea-96298222dbe7~110/original?tenant=vbu-digital</t>
  </si>
  <si>
    <t>FIDES LIMITED filing history - Find and update company information - GOV.UK</t>
  </si>
  <si>
    <t>Fixed fee</t>
  </si>
  <si>
    <t>Oversea-Chinese Banking Corporation Limited</t>
  </si>
  <si>
    <t>http://www.ocbc.com/</t>
  </si>
  <si>
    <t>Simon Bray Wealth Management Ltd</t>
  </si>
  <si>
    <t>https://www.responsiblewealth.co.uk/</t>
  </si>
  <si>
    <t>https://cdn.simplyplatform.co.uk/wp-content/uploads/sites/322/2022/08/03102639/13363_-_Responsible_Wealth_Client_Brochure_v14_PR-20.7.22-compressed.pdf</t>
  </si>
  <si>
    <t>RESPONSIBLE WEALTH LTD filing history - Find and update company information - GOV.UK</t>
  </si>
  <si>
    <t>John Barrett Financial Services Limited</t>
  </si>
  <si>
    <t>Independent Financial Advice Bureau</t>
  </si>
  <si>
    <t>Clairville York Limited</t>
  </si>
  <si>
    <t>https://www.clairvilleyork.co.uk/</t>
  </si>
  <si>
    <t>Maskell Moss &amp; Co Limited</t>
  </si>
  <si>
    <t>www.maskellmoss.co.uk/ Attivo</t>
  </si>
  <si>
    <t>Sussex Independent Financial Advisers Limited</t>
  </si>
  <si>
    <t>https://www.sussexifa.com/</t>
  </si>
  <si>
    <t>Rowanbank Financial Consultants Limited</t>
  </si>
  <si>
    <t>https://www.rowanbank-ltd.co.uk/</t>
  </si>
  <si>
    <t>Weston Associates IFA Limited</t>
  </si>
  <si>
    <t>www.westonassociates.co.uk</t>
  </si>
  <si>
    <t>Midvale Financial Services Limited</t>
  </si>
  <si>
    <t>https://www.midvalefs.co.uk/</t>
  </si>
  <si>
    <t>Ravenstone Financial Management Limited</t>
  </si>
  <si>
    <t>https://www.ravenstoneifa.co.uk/</t>
  </si>
  <si>
    <t>Beardmore and Co Limited</t>
  </si>
  <si>
    <t>https://www.beardmoreifa.co.uk/</t>
  </si>
  <si>
    <t>Harrington Wright &amp; Co</t>
  </si>
  <si>
    <t>MSM Independent Financial Services Limited</t>
  </si>
  <si>
    <t>J Illingworth &amp; Co Limited</t>
  </si>
  <si>
    <t>www.illingworths.co.uk</t>
  </si>
  <si>
    <t>Wealthcare Limited</t>
  </si>
  <si>
    <t>https://www.wealthcare.co.uk/</t>
  </si>
  <si>
    <t>IPS Financial Solutions Limited</t>
  </si>
  <si>
    <t>www.ipsfinancial.co.uk</t>
  </si>
  <si>
    <t>The Harvest Partnership Limited</t>
  </si>
  <si>
    <t>AHV Associates LLP</t>
  </si>
  <si>
    <t>Resolution Partners Limited</t>
  </si>
  <si>
    <t>www.resolution - partners.co.uk</t>
  </si>
  <si>
    <t>The Arlo Group UK Limited</t>
  </si>
  <si>
    <t>https://arlo-group.co.uk/</t>
  </si>
  <si>
    <t>Arden Associates (IFA) LLP</t>
  </si>
  <si>
    <t>https://www.ardenassociates.co.uk/</t>
  </si>
  <si>
    <t>Cobalt II Limited</t>
  </si>
  <si>
    <t>4 Square Advice Limited</t>
  </si>
  <si>
    <t>https://www.4sq.biz/</t>
  </si>
  <si>
    <t>Professional Pensions and Investments Limited</t>
  </si>
  <si>
    <t>OHFS Limited</t>
  </si>
  <si>
    <t>Mansion Park Limited</t>
  </si>
  <si>
    <t>Avon House</t>
  </si>
  <si>
    <t>Kingston PTM Limited</t>
  </si>
  <si>
    <t>https://www.kingston-solutions.com/</t>
  </si>
  <si>
    <t>The Premier Partnership Limited</t>
  </si>
  <si>
    <t>https://www.premierpartnership.co.uk/</t>
  </si>
  <si>
    <t>Family office</t>
  </si>
  <si>
    <t>Garstang Independent Financial Services Ltd</t>
  </si>
  <si>
    <t>Charles Dean Limited</t>
  </si>
  <si>
    <t>www.charlesdeanuk.com</t>
  </si>
  <si>
    <t>https://charlesdeanuk.com/wp-content/uploads/2022/02/Disclosure-Pack-Word-V11121-PDF.pdf</t>
  </si>
  <si>
    <t>CHARLES DEAN LIMITED filing history - Find and update company information - GOV.UK</t>
  </si>
  <si>
    <t>The Independent Asset Management Company</t>
  </si>
  <si>
    <t>https://www.iamcompany.co.uk/</t>
  </si>
  <si>
    <t>Investment and Tax Advisory Services Limited</t>
  </si>
  <si>
    <t>https://www.wilcoxyoung.co.uk/</t>
  </si>
  <si>
    <t>Co-Navigate Limited</t>
  </si>
  <si>
    <t>www.co-navigate.co.uk</t>
  </si>
  <si>
    <t>https://co-navigate.co.uk/wp-content/uploads/2024/06/Terms-of-Business-FP.pdf</t>
  </si>
  <si>
    <t>CO-NAVIGATE LIMITED filing history - Find and update company information - GOV.UK</t>
  </si>
  <si>
    <t>Ideal Financial Management Limited</t>
  </si>
  <si>
    <t>https://www.idealfinancialmanagement.co.uk/</t>
  </si>
  <si>
    <t>KSM Associates Independent Financial Advisers Limited</t>
  </si>
  <si>
    <t>Martin John Haines</t>
  </si>
  <si>
    <t>https://www.dentalfinancialassociates.co.uk/</t>
  </si>
  <si>
    <t>RFC AMBRIAN LIMITED</t>
  </si>
  <si>
    <t>www.rfcambrian.com</t>
  </si>
  <si>
    <t>HK Wealth Managers Ltd</t>
  </si>
  <si>
    <t>https://www.hkwm.co.uk/</t>
  </si>
  <si>
    <t>Frank Corrigan &amp; Co. Limited</t>
  </si>
  <si>
    <t>https://www.corrigans.co.uk/</t>
  </si>
  <si>
    <t>unreachable website</t>
  </si>
  <si>
    <t>https://corrigans.co.uk/wp-content/uploads/2025/12/Service-Agreement-25.pdf</t>
  </si>
  <si>
    <t>FRANK CORRIGAN &amp; CO. LIMITED filing history - Find and update company information - GOV.UK</t>
  </si>
  <si>
    <t>Medical Investment &amp; Financial Management Limited</t>
  </si>
  <si>
    <t>Winter Dean Partnership LLP</t>
  </si>
  <si>
    <t>Joseph R Lamb Independent Financial Advisers Limited</t>
  </si>
  <si>
    <t>Saxon Financial Advice Limited</t>
  </si>
  <si>
    <t>Horizon Independent Financial Advisers Ltd</t>
  </si>
  <si>
    <t>horizonifa.co.uk</t>
  </si>
  <si>
    <t>KPMG LLP</t>
  </si>
  <si>
    <t>www.kpmg.co.uk</t>
  </si>
  <si>
    <t>Richings Financial Management Ltd</t>
  </si>
  <si>
    <t>www.richingsfm.co.uk</t>
  </si>
  <si>
    <t>MCM Investment House LLP</t>
  </si>
  <si>
    <t>https://www.mcminvestmenthouse.co.uk/</t>
  </si>
  <si>
    <t>Thompson Jenner Financial Services Limited</t>
  </si>
  <si>
    <t>www.tjfs.co.uk</t>
  </si>
  <si>
    <t>Omnium Capital Limited</t>
  </si>
  <si>
    <t>https://www.omniumwealth.com/</t>
  </si>
  <si>
    <t>Tavistock Private Client Limited</t>
  </si>
  <si>
    <t>https://www.tavistockinvestments.com/</t>
  </si>
  <si>
    <t>Dragon Investment Managers Ltd</t>
  </si>
  <si>
    <t>https://www.dragonim.com/</t>
  </si>
  <si>
    <t>Alan Boswell &amp; Company Limited</t>
  </si>
  <si>
    <t>www.alanboswell.com</t>
  </si>
  <si>
    <t>Aspen Financial Strategies Limited</t>
  </si>
  <si>
    <t>Tees Financial Limited</t>
  </si>
  <si>
    <t>https://www.teeslaw.com/</t>
  </si>
  <si>
    <t>Noventus Partners Limited</t>
  </si>
  <si>
    <t>www.noventuspartners.com</t>
  </si>
  <si>
    <t>Innes Reid Investments Limited</t>
  </si>
  <si>
    <t>Citibank Europe plc</t>
  </si>
  <si>
    <t>Blue Sky Financial Planning Limited</t>
  </si>
  <si>
    <t>https://www.blueskyfp.co.uk/</t>
  </si>
  <si>
    <t>Caliber Financial Associates Limited</t>
  </si>
  <si>
    <t>Fiscal Engineers Limited</t>
  </si>
  <si>
    <t>Brian Mole Independent Financial Advisers Limited</t>
  </si>
  <si>
    <t>https://www.fosterdenovo.com/</t>
  </si>
  <si>
    <t>Nailsea Financial Services Limited</t>
  </si>
  <si>
    <t>Courtney Havers LLP</t>
  </si>
  <si>
    <t>https://www.courtneyhavers.co.uk/</t>
  </si>
  <si>
    <t>https://courtneyhavers.co.uk/fees/</t>
  </si>
  <si>
    <t>COURTNEY HAVERS LLP filing history - Find and update company information - GOV.UK</t>
  </si>
  <si>
    <t>Simpson &amp; Colvin Limited</t>
  </si>
  <si>
    <t>Independent Investment Associates Limited</t>
  </si>
  <si>
    <t>https://www.iialtd.co.uk/</t>
  </si>
  <si>
    <t>Pen-Life Associates Limited</t>
  </si>
  <si>
    <t>www.pen-life.co.uk</t>
  </si>
  <si>
    <t>Michael Benjamin</t>
  </si>
  <si>
    <t>Filip Slipaczek B.A.(Hons) FCIB ACII FPFS Chartered Financial Planner ISO 22222 Certified</t>
  </si>
  <si>
    <t>https://www.slipaczek.com/</t>
  </si>
  <si>
    <t>Barry Fleming and Partners (Tax, Trusts and Investments Planning) Limited</t>
  </si>
  <si>
    <t>Star Financial Planning Limited</t>
  </si>
  <si>
    <t>https://www.starfp.co.uk/</t>
  </si>
  <si>
    <t>PFM Associates Limited</t>
  </si>
  <si>
    <t>https://www.pfmassociates.co.uk/</t>
  </si>
  <si>
    <t>Scott and Casey Financial Management Limited</t>
  </si>
  <si>
    <t>Policy Services Limited</t>
  </si>
  <si>
    <t>Caledonia Asset Management Limited</t>
  </si>
  <si>
    <t>https://www.calam.co.uk/</t>
  </si>
  <si>
    <t>Daly, Hoggett &amp; Co</t>
  </si>
  <si>
    <t>www.dalyhoggett.co.uk</t>
  </si>
  <si>
    <t>using hourly rate of 300 (financial planner 230 and admin for 70)</t>
  </si>
  <si>
    <t>https://dalyhoggett.co.uk/wp-content/uploads/2025/08/FINANCIAL-PLANNING-SERVICES-STANDARD-TERMS-OF-BUSINESS-AUGUST-2025.pdf</t>
  </si>
  <si>
    <t>No data</t>
  </si>
  <si>
    <t>No data#</t>
  </si>
  <si>
    <t xml:space="preserve">No data on company house hence using 15m as revenue for a small company </t>
  </si>
  <si>
    <t>Acorn Bowman Finance &amp; Investment Management Ltd</t>
  </si>
  <si>
    <t>https://www.abfim.com/</t>
  </si>
  <si>
    <t>HCR Independent Financial Advisers Limited</t>
  </si>
  <si>
    <t>Professional Financial Planning Services (PFPS) Limited</t>
  </si>
  <si>
    <t>AFH Independent Financial Services Limited</t>
  </si>
  <si>
    <t>https://www.afhwm.co.uk/</t>
  </si>
  <si>
    <t>Evelyn Partners Corporate Finance Limited</t>
  </si>
  <si>
    <t>swgroup.com</t>
  </si>
  <si>
    <t>FirstBank UK Limited</t>
  </si>
  <si>
    <t>www.fbnbank.co.uk</t>
  </si>
  <si>
    <t xml:space="preserve">No UK advice business </t>
  </si>
  <si>
    <t>M G Shaw (UK) Limited</t>
  </si>
  <si>
    <t>https://www.mgshaw.co.uk/</t>
  </si>
  <si>
    <t>Stratos Markets Limited</t>
  </si>
  <si>
    <t>www.fxcm.com/uk/www.tradu.com/uk</t>
  </si>
  <si>
    <t>HSBC UK Bank Plc</t>
  </si>
  <si>
    <t>www.hsbc.co.uk</t>
  </si>
  <si>
    <t>HSBC UK BANK PLC filing history - Find and update company information - GOV.UK</t>
  </si>
  <si>
    <t>Robson MacIntosh &amp; Company Ltd</t>
  </si>
  <si>
    <t>https://www.thorntons-wealth.co.uk/</t>
  </si>
  <si>
    <t>Wesleyan Financial Services Ltd</t>
  </si>
  <si>
    <t>www.wesleyan.co.uk</t>
  </si>
  <si>
    <t>https://documentscdn.financialexpress.net/Literature/B6538DA90D2B2ACCCD55AD0377BBAD59/237052008.pdf</t>
  </si>
  <si>
    <t>Select full acconts made up to 31 December 2024</t>
  </si>
  <si>
    <t>TIC Financial Services (UK) Limited</t>
  </si>
  <si>
    <t>Talon Associates Limited</t>
  </si>
  <si>
    <t>https://www.talonassociates.co.uk/</t>
  </si>
  <si>
    <t>Brideshead Independent Financial Services</t>
  </si>
  <si>
    <t>Trentham Invest Ltd</t>
  </si>
  <si>
    <t>https://www.trenthaminvest.co.uk/</t>
  </si>
  <si>
    <t>Rothschild &amp; Co Wealth Management UK Limited</t>
  </si>
  <si>
    <t>https://www.rothschildandco.com/en/wealth - management/united - kingdom/</t>
  </si>
  <si>
    <t>Abbeyifa Limited</t>
  </si>
  <si>
    <t>Engage Wealth Management Limited</t>
  </si>
  <si>
    <t>https://www.engagewm.co.uk/</t>
  </si>
  <si>
    <t>https://engagewm.co.uk/wp-content/uploads/2025/11/Terms-Of-Business.pdf</t>
  </si>
  <si>
    <t>ENGAGE WEALTH MANAGEMENT LIMITED filing history - Find and update company information - GOV.UK</t>
  </si>
  <si>
    <t>Fixed</t>
  </si>
  <si>
    <t>Hunter Mills Limited</t>
  </si>
  <si>
    <t>https://www.huntermills.com/</t>
  </si>
  <si>
    <t>Howard Financial Services Limited</t>
  </si>
  <si>
    <t>www.howardfinancialservices.co.uk</t>
  </si>
  <si>
    <t>EA Financial Solutions Ltd</t>
  </si>
  <si>
    <t>Fairway McNaughton Ltd</t>
  </si>
  <si>
    <t>Strata Technology Partners LLP</t>
  </si>
  <si>
    <t>www.strata - partners.com</t>
  </si>
  <si>
    <t>Fowler Drew Limited</t>
  </si>
  <si>
    <t>www.fowlerdrew.co.uk</t>
  </si>
  <si>
    <t>https://fowlerdrew.co.uk/fowler-drew-fees/</t>
  </si>
  <si>
    <t>FOWLER DREW LIMITED filing history - Find and update company information - GOV.UK</t>
  </si>
  <si>
    <t>Merlin Financial Services Limited</t>
  </si>
  <si>
    <t>https://www.merlinfs.co.uk/</t>
  </si>
  <si>
    <t>The Wealth Management Partnership LLP</t>
  </si>
  <si>
    <t>Anderson King Ltd</t>
  </si>
  <si>
    <t>Abacus Portfolio Management Ltd</t>
  </si>
  <si>
    <t>Sterling Trust Professional Ltd</t>
  </si>
  <si>
    <t>CLB Financial Consulting Limited</t>
  </si>
  <si>
    <t>Enable Independent Limited</t>
  </si>
  <si>
    <t>David Smith Financial Services LLP</t>
  </si>
  <si>
    <t>https://www.dmbsmith.co.uk/</t>
  </si>
  <si>
    <t>Flagship Financial Consultants Ltd</t>
  </si>
  <si>
    <t>Mark Begg Asset Management Ltd</t>
  </si>
  <si>
    <t>https://www.mb-asset.co.uk/</t>
  </si>
  <si>
    <t>George Square Financial Management Ltd</t>
  </si>
  <si>
    <t>www.george-square.co.uk</t>
  </si>
  <si>
    <t>https://george-square.co.uk/faqs/</t>
  </si>
  <si>
    <t>GEORGE SQUARE FINANCIAL MANAGEMENT LTD filing history - Find and update company information - GOV.UK</t>
  </si>
  <si>
    <t>Corville Financial Services Limited</t>
  </si>
  <si>
    <t>PricewaterhouseCoopers LLP</t>
  </si>
  <si>
    <t>www.pwc.co.uk</t>
  </si>
  <si>
    <t>Mainly professional services</t>
  </si>
  <si>
    <t>NLP Financial Management Limited</t>
  </si>
  <si>
    <t>www.nlpfm.co.uk</t>
  </si>
  <si>
    <t>Keith Higginson Financial Services Limited</t>
  </si>
  <si>
    <t>Ashik Shah &amp; Co Limited</t>
  </si>
  <si>
    <t>www.ashikshah.com</t>
  </si>
  <si>
    <t>In Focus Asset Management &amp; Tax Solutions Limited</t>
  </si>
  <si>
    <t>Swallow Financial Management LLP</t>
  </si>
  <si>
    <t>Chamberlain Associates</t>
  </si>
  <si>
    <t>Ward Goodman Financial Services Ltd</t>
  </si>
  <si>
    <t>SW Financial Planning</t>
  </si>
  <si>
    <t>https://www.swlaw.co.uk/</t>
  </si>
  <si>
    <t>R &amp; G FINANCIAL SERVICES LTD</t>
  </si>
  <si>
    <t>https://www.randgfinancial.co.uk/</t>
  </si>
  <si>
    <t>Minster Financial Management Limited</t>
  </si>
  <si>
    <t>https://www.minsterfinancial.co.uk/</t>
  </si>
  <si>
    <t>Adcas Financial Management Ltd</t>
  </si>
  <si>
    <t>https://www.adcasltd.com/</t>
  </si>
  <si>
    <t>DP's Financial Advice &amp; Services</t>
  </si>
  <si>
    <t>www.dps-ifa.co.uk</t>
  </si>
  <si>
    <t>Makemson &amp; Company Limited</t>
  </si>
  <si>
    <t>David Spence Financial Options</t>
  </si>
  <si>
    <t>Edinburgh Wealth Management Limited</t>
  </si>
  <si>
    <t>https://www.edinburghwealthmanagement.co.uk/</t>
  </si>
  <si>
    <t>The Financial Planning Centre Limited</t>
  </si>
  <si>
    <t>www.thefpc. net</t>
  </si>
  <si>
    <t>Thorntons Wealth Management Limited</t>
  </si>
  <si>
    <t>Whitefriars Financial Services Limited</t>
  </si>
  <si>
    <t>www.whitefriarsfsl.co.uk</t>
  </si>
  <si>
    <t>Sable Private Wealth Management Ltd</t>
  </si>
  <si>
    <t>www.sableinternational.com</t>
  </si>
  <si>
    <t>Clydebank Financial Services Ltd</t>
  </si>
  <si>
    <t>https://www.clydebankfinancial.co.uk/</t>
  </si>
  <si>
    <t>Peter Richards Financial Ltd</t>
  </si>
  <si>
    <t>https://www.peterrichardsfinancial.com/</t>
  </si>
  <si>
    <t>Index Financial Services Ltd</t>
  </si>
  <si>
    <t>www.indexfs.co.uk</t>
  </si>
  <si>
    <t>Sound Financial Planning Ltd</t>
  </si>
  <si>
    <t>https://www.soundfp.co.uk/</t>
  </si>
  <si>
    <t>Richard Bamber &amp; Company Limited</t>
  </si>
  <si>
    <t>https://www.richardbamber.co.uk/</t>
  </si>
  <si>
    <t>Estate Planning Solutions Ltd</t>
  </si>
  <si>
    <t>https://www.estateplans.co.uk/</t>
  </si>
  <si>
    <t>Mr Salvatore Antonino Panzera</t>
  </si>
  <si>
    <t>Professional Wealth Management Ltd</t>
  </si>
  <si>
    <t>www.professionalwealthmanagement.co.uk</t>
  </si>
  <si>
    <t>Marshall Zoing Limited</t>
  </si>
  <si>
    <t>www.marshallzoing.com</t>
  </si>
  <si>
    <t>Maher Brownsword Limited</t>
  </si>
  <si>
    <t>https://www.maherbrownsword.co.uk/</t>
  </si>
  <si>
    <t>Protection and Investment Ltd</t>
  </si>
  <si>
    <t>https://www.pil.uk.com/</t>
  </si>
  <si>
    <t>Accalon Associates Limited</t>
  </si>
  <si>
    <t>https://www.accalon.co.uk/</t>
  </si>
  <si>
    <t>GMT Financial Solutions Limited</t>
  </si>
  <si>
    <t>https://gmtfs.co.uk/sites/default/files/clients/436/GMT-Important-Information-about%20our-Services-Nov-2021.pdf</t>
  </si>
  <si>
    <t>GMT FINANCIAL SOLUTIONS LIMITED filing history - Find and update company information - GOV.UK</t>
  </si>
  <si>
    <t>Oakfield Financial Consultants Limited</t>
  </si>
  <si>
    <t>https://www.gsigroup.co.uk/</t>
  </si>
  <si>
    <t>acquired by GSI</t>
  </si>
  <si>
    <t>https://gsigroup.co.uk/our-service-proposition/</t>
  </si>
  <si>
    <t>OAKFIELD FINANCIAL CONSULTANTS LIMITED filing history - Find and update company information - GOV.UK</t>
  </si>
  <si>
    <t>PK Financial Planning LLP</t>
  </si>
  <si>
    <t>https://www.pkgroup.co.uk/</t>
  </si>
  <si>
    <t>Byron Longstaff Independent Financial Consultancy Ltd</t>
  </si>
  <si>
    <t>Acuity Financial Consultancy Limited</t>
  </si>
  <si>
    <t>https://www.acuityfinancial.co.uk/</t>
  </si>
  <si>
    <t>Bhavik Shah IFA</t>
  </si>
  <si>
    <t>Independence Wealth Management Limited</t>
  </si>
  <si>
    <t>https://www.ukassetmanager.com/</t>
  </si>
  <si>
    <t>Firm sold off</t>
  </si>
  <si>
    <t>Whyte Sharp Independent LLP</t>
  </si>
  <si>
    <t>https://www.whytesharp.co.uk/</t>
  </si>
  <si>
    <t>Inspirational Financial Management Ltd</t>
  </si>
  <si>
    <t>Hazlewoods Financial Planning LLP</t>
  </si>
  <si>
    <t>https://www.hazlewoods.co.uk/</t>
  </si>
  <si>
    <t>Prosperis Limited</t>
  </si>
  <si>
    <t>https://www.prosperis.co.uk/</t>
  </si>
  <si>
    <t>GSI Wealth Management Limited</t>
  </si>
  <si>
    <t>GSI WEALTH MANAGEMENT LTD filing history - Find and update company information - GOV.UK</t>
  </si>
  <si>
    <t>Twigden Asset Management Limited</t>
  </si>
  <si>
    <t>Oakfield Financial Services Limited</t>
  </si>
  <si>
    <t>https://www.oakfieldfslimited.co.uk/</t>
  </si>
  <si>
    <t>Myers Davison Ginger Ltd</t>
  </si>
  <si>
    <t>https://www.mdgifa.com/</t>
  </si>
  <si>
    <t>Caton Fry Financial Services Limited</t>
  </si>
  <si>
    <t>www.cffs.co.uk</t>
  </si>
  <si>
    <t>NBL Financial Management Limited</t>
  </si>
  <si>
    <t>https://www.nblfm.com/</t>
  </si>
  <si>
    <t>Wills &amp; Trusts Independent Financial Planning Limited</t>
  </si>
  <si>
    <t>MacKrill Financial Management Limited</t>
  </si>
  <si>
    <t>Simpson Wood (Financial Services) Limited</t>
  </si>
  <si>
    <t>The Safe Insurance Agency Limited</t>
  </si>
  <si>
    <t>https://www.safeinsuranceagency.com/</t>
  </si>
  <si>
    <t>Peartree Wealth Management Ltd</t>
  </si>
  <si>
    <t>https://www.ptwm.co.uk/</t>
  </si>
  <si>
    <t>Cullen Wealth Limited</t>
  </si>
  <si>
    <t>https://www.cullenwealth.co.uk/</t>
  </si>
  <si>
    <t>Perrins Financial Planning Limited</t>
  </si>
  <si>
    <t>https://www.perrinsfp.co.uk/</t>
  </si>
  <si>
    <t>Davidsons Independent Financial Advisers Limited</t>
  </si>
  <si>
    <t>Amherst Financial Management Ltd</t>
  </si>
  <si>
    <t>https://www.amherstfm.co.uk/</t>
  </si>
  <si>
    <t>Mistral Consultancy Limited</t>
  </si>
  <si>
    <t>Future First Financial Solutions Limited</t>
  </si>
  <si>
    <t>www.futurefirst. biz</t>
  </si>
  <si>
    <t>Zeus Capital Limited</t>
  </si>
  <si>
    <t>https://www.zeuscapital.co.uk/</t>
  </si>
  <si>
    <t>Kevin Gates</t>
  </si>
  <si>
    <t>https://www.gatesfinancialservices.co.uk/</t>
  </si>
  <si>
    <t>R.C. McLeish Insurance Consultants Ltd</t>
  </si>
  <si>
    <t>Sardis Capital Limited</t>
  </si>
  <si>
    <t>www.sardiscapital.com</t>
  </si>
  <si>
    <t>Stones Financial Limited</t>
  </si>
  <si>
    <t>Horbury Financial Services Limited</t>
  </si>
  <si>
    <t>https://www.horburyfinancial.co.uk/</t>
  </si>
  <si>
    <t>Laithwaite Financial Services Limited</t>
  </si>
  <si>
    <t>https://www.laithwaiteifa.co.uk/</t>
  </si>
  <si>
    <t>https://www.laithwaiteifa.co.uk/wp-content/uploads/2025/11/Investment-Update.pdf</t>
  </si>
  <si>
    <t>Moodybrook Financial Services Ltd</t>
  </si>
  <si>
    <t>Meridian Financial Partners Limited</t>
  </si>
  <si>
    <t>Implementing the plan makes cost lower, sensible cost approach</t>
  </si>
  <si>
    <t>MERIDIAN FINANCIAL PARTNERS LIMITED filing history - Find and update company information - GOV.UK</t>
  </si>
  <si>
    <t>Family First Financial Services Limited</t>
  </si>
  <si>
    <t>Capital Asset Management (Financial Planning) Ltd</t>
  </si>
  <si>
    <t>www.capital.co.uk</t>
  </si>
  <si>
    <t>Cavendish Ware Limited</t>
  </si>
  <si>
    <t>www.cavendishware.co.uk</t>
  </si>
  <si>
    <t>Trusted Advisor Limited</t>
  </si>
  <si>
    <t>https://www.trustedadvisor.co.uk/</t>
  </si>
  <si>
    <t>Cambourne Financial Planning Limited</t>
  </si>
  <si>
    <t>Medical &amp; General Financial Solutions Limited</t>
  </si>
  <si>
    <t>http://medicalandgeneral.com/</t>
  </si>
  <si>
    <t>Davidson Asset Management Limited</t>
  </si>
  <si>
    <t>https://www.damgoodpensions.com/</t>
  </si>
  <si>
    <t>Bank House Consultants Ltd</t>
  </si>
  <si>
    <t>https://www.bankhouse-ifa.com/</t>
  </si>
  <si>
    <t>Newstead Financial Services Limited</t>
  </si>
  <si>
    <t>Perspective (Oxon) Limited</t>
  </si>
  <si>
    <t>https://www.pfgl.co.uk/oxon</t>
  </si>
  <si>
    <t>IFS Financial Management Limited</t>
  </si>
  <si>
    <t>www.ifs - online.co.uk</t>
  </si>
  <si>
    <t>Brookfield Financial Planning Ltd</t>
  </si>
  <si>
    <t>Lonsdale Services Ltd</t>
  </si>
  <si>
    <t>https://www.lonsdaleservices.co.uk/</t>
  </si>
  <si>
    <t>C.P.H. Ltd</t>
  </si>
  <si>
    <t>https://www.acclaimed-financial.co.uk/</t>
  </si>
  <si>
    <t>Turquoise International Limited</t>
  </si>
  <si>
    <t>www.turquoise.eu</t>
  </si>
  <si>
    <t>Landmark IFA Limited</t>
  </si>
  <si>
    <t>https://www.landmarkifa.co.uk/</t>
  </si>
  <si>
    <t>Distinct Financial Management Ltd</t>
  </si>
  <si>
    <t>Alexander Beard Investment Management Limited</t>
  </si>
  <si>
    <t>https://www.abg.net/</t>
  </si>
  <si>
    <t>CDP Associates Ltd</t>
  </si>
  <si>
    <t>Barnett Ravenscroft Financial Services Limited</t>
  </si>
  <si>
    <t>www.brwm.co.uk</t>
  </si>
  <si>
    <t>Lifetime Financial Management Intermediaries Ltd</t>
  </si>
  <si>
    <t>https://www.lifetime-fm.com/</t>
  </si>
  <si>
    <t>D G S Independent Financial Advisers Limited</t>
  </si>
  <si>
    <t>www.dgsifa.com</t>
  </si>
  <si>
    <t>Meltemi Investment Management Limited</t>
  </si>
  <si>
    <t>www.meltemi.biz</t>
  </si>
  <si>
    <t>Heron House Financial Management Limited</t>
  </si>
  <si>
    <t>www.hhfm.co.uk</t>
  </si>
  <si>
    <t>https://hhfm.co.uk/our-fees/</t>
  </si>
  <si>
    <t>HFMC WEALTH MANAGEMENT LTD filing history - Find and update company information - GOV.UK</t>
  </si>
  <si>
    <t>Asset Wealth Management LLP</t>
  </si>
  <si>
    <t>https://www.awmifa.co.uk/</t>
  </si>
  <si>
    <t>Accrue Investment Management Ltd</t>
  </si>
  <si>
    <t>William H Howard Ltd</t>
  </si>
  <si>
    <t>https://www.howardsifa.co.uk/</t>
  </si>
  <si>
    <t>Hencilla Canworth Ltd</t>
  </si>
  <si>
    <t>Charlwood IFA Limited</t>
  </si>
  <si>
    <t>https://www.charlwoodifa.com/</t>
  </si>
  <si>
    <t>Walker Crips Investment Management Limited</t>
  </si>
  <si>
    <t>www.walkercrips.co.uk</t>
  </si>
  <si>
    <t>Wallace Nichols Financial Services Ltd</t>
  </si>
  <si>
    <t>https://www.wallacenichols.co.uk/</t>
  </si>
  <si>
    <t>Axxis Financial Planning Ltd</t>
  </si>
  <si>
    <t>https://www.axxisfinancial.co.uk/</t>
  </si>
  <si>
    <t>KML Financial Services Limited</t>
  </si>
  <si>
    <t>https://www.kmlfs.co.uk/</t>
  </si>
  <si>
    <t>TK White &amp; Co Limited</t>
  </si>
  <si>
    <t>https://www.tkwhite.co.uk/</t>
  </si>
  <si>
    <t>McArthur Smith Financial Management Ltd</t>
  </si>
  <si>
    <t>https://www.mcarthursmith.co.uk/</t>
  </si>
  <si>
    <t>Huw Watts Independent Financial Planning Ltd</t>
  </si>
  <si>
    <t>https://www.huwwatts-ifp.co.uk/</t>
  </si>
  <si>
    <t>No ongoing, clean structure</t>
  </si>
  <si>
    <t>https://huwwatts-ifp.co.uk/pdfs/WebsiteFidfundres2025.pdf</t>
  </si>
  <si>
    <t>HUW WATTS INDEPENDENT FINANCIAL PLANNING LIMITED filing history - Find and update company information - GOV.UK</t>
  </si>
  <si>
    <t>Dunhams Financial Planning Limited</t>
  </si>
  <si>
    <t>https://www.dunhamsfinancial.co.uk/</t>
  </si>
  <si>
    <t>IFA. 1 Ltd</t>
  </si>
  <si>
    <t>www.ifa 1 ltd.co.uk</t>
  </si>
  <si>
    <t>Kingfisher Finance Limited</t>
  </si>
  <si>
    <t>https://www.kingfisherfinance.co.uk/</t>
  </si>
  <si>
    <t>The Independent Advice Bureau Limited</t>
  </si>
  <si>
    <t>https://www.iabltd.co.uk/</t>
  </si>
  <si>
    <t>Matthew Douglas Ltd</t>
  </si>
  <si>
    <t>www.matthewdouglas.co.uk</t>
  </si>
  <si>
    <t>AJH Financial Services Ltd</t>
  </si>
  <si>
    <t>Competitive Mortgages and Financial Services Ltd</t>
  </si>
  <si>
    <t>www.mortgagesandfs.com</t>
  </si>
  <si>
    <t>Stewart Investment Planning Limited</t>
  </si>
  <si>
    <t>Rapprocher Ltd</t>
  </si>
  <si>
    <t>Vie International Financial Services Ltd</t>
  </si>
  <si>
    <t>www.vieinternational.com</t>
  </si>
  <si>
    <t>Carlton Financial Planning Ltd</t>
  </si>
  <si>
    <t>www.carltonfinancial.co.uk</t>
  </si>
  <si>
    <t>LCM FAMILY LIMITED</t>
  </si>
  <si>
    <t>https://www.lcmfamily.co.uk/</t>
  </si>
  <si>
    <t>Sire Ltd</t>
  </si>
  <si>
    <t>www.ttpartnership.co.uk</t>
  </si>
  <si>
    <t>KNFM Ltd</t>
  </si>
  <si>
    <t>TL Financial Consultancy Ltd</t>
  </si>
  <si>
    <t>Chatsworth Financial Management Limited</t>
  </si>
  <si>
    <t>Swallow Financial Planning LLP</t>
  </si>
  <si>
    <t xml:space="preserve">www.swallow-financial.co.uk </t>
  </si>
  <si>
    <t>Strawberry Financial Ltd</t>
  </si>
  <si>
    <t>Kliskey Independent Financial Services Limited</t>
  </si>
  <si>
    <t>Castle Financial Services Ltd</t>
  </si>
  <si>
    <t>https://www.castlefs.com/</t>
  </si>
  <si>
    <t>Oakdale Financial Management Ltd</t>
  </si>
  <si>
    <t>Pembroke Financial Services Ltd</t>
  </si>
  <si>
    <t>Hewitt Card (Financial Planning) Ltd</t>
  </si>
  <si>
    <t>Security Financial Services Ltd</t>
  </si>
  <si>
    <t>https://www.security-financial.co.uk/</t>
  </si>
  <si>
    <t>Indigo Financial Advice Limited</t>
  </si>
  <si>
    <t>https://www.indigoadvice.co.uk/</t>
  </si>
  <si>
    <t>https://indigofinancialadvice.simplycluster1-web6.kin.tomdsites.co.uk/wp-content/uploads/sites/852/2024/07/1.-INDIGO-CLIENT-AGREE-v17.pdf</t>
  </si>
  <si>
    <t>INDIGO FINANCIAL ADVICE LTD filing history - Find and update company information - GOV.UK</t>
  </si>
  <si>
    <t>Ringrose Grimsley Ltd</t>
  </si>
  <si>
    <t>https://www.rgl-ifa.co.uk/</t>
  </si>
  <si>
    <t>Landmark Financial Limited</t>
  </si>
  <si>
    <t>www.landmarkfinancial.co.uk</t>
  </si>
  <si>
    <t>https://irp.cdn-website.com/2db008a1/files/uploaded/Services Inv - Protection 2022webv2 0423.pdf</t>
  </si>
  <si>
    <t>LANDMARK FINANCIAL LIMITED filing history - Find and update company information - GOV.UK</t>
  </si>
  <si>
    <t>Shaun Start Financial Planning</t>
  </si>
  <si>
    <t>Practice Financial Management Ltd</t>
  </si>
  <si>
    <t>www.pfmdental.co.uk</t>
  </si>
  <si>
    <t>Jane Smith Financial Planning Limited</t>
  </si>
  <si>
    <t>https://www.janesmithfinancial.com/</t>
  </si>
  <si>
    <t>https://janesmithfinancial.com/our-fees/</t>
  </si>
  <si>
    <t>JANE SMITH FINANCIAL PLANNING LIMITED filing history - Find and update company information - GOV.UK</t>
  </si>
  <si>
    <t>David Kneale Financial Management Ltd</t>
  </si>
  <si>
    <t>https://www.dkfm.co.uk/</t>
  </si>
  <si>
    <t>Premier Plus Limited</t>
  </si>
  <si>
    <t>https://www.premierplusltd.co.uk/</t>
  </si>
  <si>
    <t>Ruffer LLP</t>
  </si>
  <si>
    <t>www.ruffer.co.uk</t>
  </si>
  <si>
    <t xml:space="preserve">Investment manager only no advice </t>
  </si>
  <si>
    <t>Clarity Capital Partners Limited</t>
  </si>
  <si>
    <t>www.claritycp.com</t>
  </si>
  <si>
    <t>Only contact page available</t>
  </si>
  <si>
    <t>H.S.P. Financial Planning Limited</t>
  </si>
  <si>
    <t>www.hsp-ifa.com</t>
  </si>
  <si>
    <t>Pembroke Asset Management LLP</t>
  </si>
  <si>
    <t>www.pembrokeam.co.uk</t>
  </si>
  <si>
    <t>Gavin Hathaway Investment Services</t>
  </si>
  <si>
    <t>https://www.ghis.co.uk/</t>
  </si>
  <si>
    <t>Orchard Financial Management Ltd</t>
  </si>
  <si>
    <t>https://www.orchardfinancial.co.uk/</t>
  </si>
  <si>
    <t>McDade Financial Services Ltd</t>
  </si>
  <si>
    <t>Bourlet Financial Planning Limited</t>
  </si>
  <si>
    <t>https://www.bourletconsulting.com/</t>
  </si>
  <si>
    <t>Oakworth Financial Planning Limited</t>
  </si>
  <si>
    <t>https://www.oakworthfp.co.uk/</t>
  </si>
  <si>
    <t>Employee Benefit Solutions Ltd</t>
  </si>
  <si>
    <t>Taylors Asset Management Ltd</t>
  </si>
  <si>
    <t>Roland Ferri Financial Services Ltd</t>
  </si>
  <si>
    <t>Lodge Financial Advice Ltd</t>
  </si>
  <si>
    <t>https://www.lodgefinancial.co.uk/</t>
  </si>
  <si>
    <t>I.D. Bond Independent Financial Services Ltd</t>
  </si>
  <si>
    <t>https://www.idbondifs.co.uk/</t>
  </si>
  <si>
    <t>Professional Financial Centre (Cornwall) Ltd</t>
  </si>
  <si>
    <t>https://www.pfccornwall.com/</t>
  </si>
  <si>
    <t>Perspective (North West) Limited</t>
  </si>
  <si>
    <t>Perspective North West | Financial Advisors in Liverpool</t>
  </si>
  <si>
    <t>P J Collier Financial Services Limited</t>
  </si>
  <si>
    <t>Kenley Financial Limited</t>
  </si>
  <si>
    <t>https://www.kenleyfm.co.uk/</t>
  </si>
  <si>
    <t>Imperial House Ltd</t>
  </si>
  <si>
    <t>https://www.imperialhousegroup.co.uk/</t>
  </si>
  <si>
    <t>Killik &amp; Co LLP</t>
  </si>
  <si>
    <t>www.killik.com</t>
  </si>
  <si>
    <t>https://killik.com/media/iliccs2f/killikco_advised-master-rate-card_2025.pdf</t>
  </si>
  <si>
    <t>Last Acc filled in 2017</t>
  </si>
  <si>
    <t xml:space="preserve">All fee bundled into initial </t>
  </si>
  <si>
    <t>TEBC Ltd</t>
  </si>
  <si>
    <t>https://www.second-sight.com/</t>
  </si>
  <si>
    <t>Geeson Financial Services Ltd</t>
  </si>
  <si>
    <t>Spectrum Independent Financial Services</t>
  </si>
  <si>
    <t>www.spectrum-ifs.co.uk</t>
  </si>
  <si>
    <t>Bishopgate Limited</t>
  </si>
  <si>
    <t>www.mdbeckett.co.uk</t>
  </si>
  <si>
    <t>Investment Technique Ltd</t>
  </si>
  <si>
    <t>Tavistock Partners (UK) Limited</t>
  </si>
  <si>
    <t>Complete Financial Services</t>
  </si>
  <si>
    <t>https://www.completefinancialservices.co.uk/</t>
  </si>
  <si>
    <t>Mission Financial Planning Limited</t>
  </si>
  <si>
    <t>https://www.missionfinancial.co.uk/</t>
  </si>
  <si>
    <t>Moderate/standard size fee</t>
  </si>
  <si>
    <t>https://missionfinancial.co.uk/wp-content/uploads/2025/12/mission-fees-table-pdf.pdf</t>
  </si>
  <si>
    <t>MISSION FINANCIAL PLANNING LIMITED filing history - Find and update company information - GOV.UK</t>
  </si>
  <si>
    <t>J M G Independent Financial Advisers</t>
  </si>
  <si>
    <t>Altus Investment Management Limited</t>
  </si>
  <si>
    <t>www.altusinvestment.com</t>
  </si>
  <si>
    <t>SI Capital Ltd</t>
  </si>
  <si>
    <t>https://www.sicapital.co.uk/</t>
  </si>
  <si>
    <t>Norfolk &amp; Suffolk Financial Services Limited</t>
  </si>
  <si>
    <t>https://www.norfolkandsuffolk.co.uk/</t>
  </si>
  <si>
    <t>Initial fee = 1.5% implementation + £695</t>
  </si>
  <si>
    <t>https://norfolkandsuffolk.co.uk/wp-content/uploads/2023/09/What-we-do-and-what-we-charge.pdf</t>
  </si>
  <si>
    <t>No revenue small company account see Total examption full accounts 2024. Net Asset used to derive revenue</t>
  </si>
  <si>
    <t>Robert Miller Financial Management Ltd</t>
  </si>
  <si>
    <t>https://www.robertmillercapital.com/</t>
  </si>
  <si>
    <t>webpage under construction</t>
  </si>
  <si>
    <t>Hamdon Financial Services Ltd</t>
  </si>
  <si>
    <t>West Financial Management Co Limited</t>
  </si>
  <si>
    <t>www.westfm. biz</t>
  </si>
  <si>
    <t>Ultimate Financial Solutions Ltd</t>
  </si>
  <si>
    <t>SN Financial Services Ltd</t>
  </si>
  <si>
    <t>https://www.snfinancial.co.uk/</t>
  </si>
  <si>
    <t>PSA Financial Services Limited</t>
  </si>
  <si>
    <t>www.psafinancial.co.uk</t>
  </si>
  <si>
    <t>Andover Financial Planning Ltd</t>
  </si>
  <si>
    <t>Phoenix Financial Planning Ltd</t>
  </si>
  <si>
    <t>https://www.phoenixfp-ltd.co.uk/</t>
  </si>
  <si>
    <t>Hugh James Solicitors</t>
  </si>
  <si>
    <t>www.hughjames.com</t>
  </si>
  <si>
    <t>Wright, Johnston &amp; MacKenzie LLP</t>
  </si>
  <si>
    <t>https://www.wjm.co.uk/</t>
  </si>
  <si>
    <t>Marshwood Financial Services Ltd</t>
  </si>
  <si>
    <t>I F MACKINNON &amp; COMPANY LLP</t>
  </si>
  <si>
    <t>https://www.ifmackinnon.co.uk/</t>
  </si>
  <si>
    <t>Booth Financial Services Ltd</t>
  </si>
  <si>
    <t>FD Wealth Ltd</t>
  </si>
  <si>
    <t>Venn Watson &amp; Company Ltd</t>
  </si>
  <si>
    <t>https://www.vennwatson.com/</t>
  </si>
  <si>
    <t>A E Thomson Ltd</t>
  </si>
  <si>
    <t>https://www.aethomson.com/</t>
  </si>
  <si>
    <t>K &amp; M Financial Advisors Limited</t>
  </si>
  <si>
    <t>Lawton &amp; Taylor Financial Services Limited</t>
  </si>
  <si>
    <t>https://www.lawtonandtaylor.co.uk/</t>
  </si>
  <si>
    <t>Pense Limited</t>
  </si>
  <si>
    <t>https://www.pense.co.uk/</t>
  </si>
  <si>
    <t>Oliver Financial Planning Ltd</t>
  </si>
  <si>
    <t>https://www.oliverfp.co.uk/</t>
  </si>
  <si>
    <t>https://oliverfp.co.uk/fees-and-charges%60</t>
  </si>
  <si>
    <t>OLIVER FINANCIAL PLANNING LTD filing history - Find and update company information - GOV.UK</t>
  </si>
  <si>
    <t>Citywide Financial Partners Ltd</t>
  </si>
  <si>
    <t>Broadleaf Financial Services Ltd</t>
  </si>
  <si>
    <t>Park Investments (Leicester) Ltd</t>
  </si>
  <si>
    <t>www.parkinvestments.co.uk</t>
  </si>
  <si>
    <t>4Life Financial Planning Ltd</t>
  </si>
  <si>
    <t>Laurel Court Associates Limited</t>
  </si>
  <si>
    <t>https://www.laurelcourt.co.uk/</t>
  </si>
  <si>
    <t>Stoneleigh Financial Services LLP</t>
  </si>
  <si>
    <t>Grant Thornton UK LLP</t>
  </si>
  <si>
    <t>www.grantthornton.co.uk</t>
  </si>
  <si>
    <t>Corinthian Benefits Consulting Limited</t>
  </si>
  <si>
    <t>https://www.omnygroup.co.uk/</t>
  </si>
  <si>
    <t>https://omnygroup.co.uk/wp-content/uploads/2025/11/Omny-Personal-Finance-IDD-V2-Nov25.pdf</t>
  </si>
  <si>
    <t>CORINTHIAN BENEFITS CONSULTING LIMITED filing history - Find and update company information - GOV.UK</t>
  </si>
  <si>
    <t>Steve Wassell Insurance Management Ltd</t>
  </si>
  <si>
    <t>Cathedral Independent Financial Planning Ltd</t>
  </si>
  <si>
    <t>https://www.cathedral-ifa.co.uk/</t>
  </si>
  <si>
    <t>Unbiased (Financial Advice) UK Ltd</t>
  </si>
  <si>
    <t>https://www.stjohnshouse.uk/</t>
  </si>
  <si>
    <t>DML Financial Advisers</t>
  </si>
  <si>
    <t>Cowling Rawnsley Financial Solutions Limited</t>
  </si>
  <si>
    <t>www.cr-fs.com/</t>
  </si>
  <si>
    <t>Capelin Financial Management Ltd</t>
  </si>
  <si>
    <t>www.capelin.co.uk</t>
  </si>
  <si>
    <t>Ovation Finance Limited</t>
  </si>
  <si>
    <t>www.ovationfinance.co.uk</t>
  </si>
  <si>
    <t>https://ovationfinance.co.uk/how-we-work/our-fees/</t>
  </si>
  <si>
    <t>OVATION FINANCE LIMITED filing history - Find and update company information - GOV.UK</t>
  </si>
  <si>
    <t>IPP Financial Services LLP</t>
  </si>
  <si>
    <t>ippgroup.co.uk</t>
  </si>
  <si>
    <t>Stiles &amp; Company Financial Services Ltd</t>
  </si>
  <si>
    <t>https://www.stilesfinancial.co.uk/</t>
  </si>
  <si>
    <t>Covington's Financial Service Limited</t>
  </si>
  <si>
    <t>https://www.covingtons.co.uk/</t>
  </si>
  <si>
    <t>Ludlow Wealth Management Group Ltd</t>
  </si>
  <si>
    <t xml:space="preserve">https://www.ludco.co.uk/ </t>
  </si>
  <si>
    <t>Now part of Mattioli woods</t>
  </si>
  <si>
    <t>The Insurance Partnership Financial Services Limited</t>
  </si>
  <si>
    <t>Pareto Financial Planning Limited</t>
  </si>
  <si>
    <t>https://www.paretofp.co.uk/</t>
  </si>
  <si>
    <t>Growth service level showing initial and ongoing</t>
  </si>
  <si>
    <t>https://paretofp.co.uk/wp-content/uploads/2025/06/Acknowledgments-and-Agreements-2025.pdf</t>
  </si>
  <si>
    <t>PARETO FINANCIAL PLANNING LIMITED filing history - Find and update company information - GOV.UK</t>
  </si>
  <si>
    <t>GH Financial Consultancy Limited</t>
  </si>
  <si>
    <t>Francis John Hughes</t>
  </si>
  <si>
    <t>Globe Property Services Ltd</t>
  </si>
  <si>
    <t>https://www.globecompanies.co.uk/</t>
  </si>
  <si>
    <t>Charterhouse Portfolio Management Limited</t>
  </si>
  <si>
    <t>https://www.charterman.com/</t>
  </si>
  <si>
    <t>Rowley Turton (IFA) Ltd</t>
  </si>
  <si>
    <t>www.rowleyturton.com</t>
  </si>
  <si>
    <t>https://rowleyturton.com/how-we-are-paid/</t>
  </si>
  <si>
    <t>ROWLEY TURTON (I.F.A.) LIMITED filing history - Find and update company information - GOV.UK</t>
  </si>
  <si>
    <t>Coffey Brooks Financial Services Ltd</t>
  </si>
  <si>
    <t>https://www.coffeybrooks.com/</t>
  </si>
  <si>
    <t>Brancaster House Limited</t>
  </si>
  <si>
    <t>www.brancasterhouse.co.uk</t>
  </si>
  <si>
    <t>Lifetime Financial Advisers Ltd.</t>
  </si>
  <si>
    <t>https://www.lifetimefinancialadvisers.co.uk/</t>
  </si>
  <si>
    <t>Jerroms Financial Planning LTD</t>
  </si>
  <si>
    <t>www.jerroms.co.uk</t>
  </si>
  <si>
    <t>Diana Atkinson Limited</t>
  </si>
  <si>
    <t>https://www.dianaatkinson.co.uk/</t>
  </si>
  <si>
    <t>DTB Investments Ltd</t>
  </si>
  <si>
    <t>https://www.dtbinvestments.co.uk/</t>
  </si>
  <si>
    <t>Warren &amp; Co (Complete Financial Solutions) Ltd</t>
  </si>
  <si>
    <t>https://www.warrenifa.co.uk/</t>
  </si>
  <si>
    <t>Clive Webb Financial Services Limited</t>
  </si>
  <si>
    <t>Hills Insurance Services Ltd</t>
  </si>
  <si>
    <t>https://www.hillsfinancialplanning.co.uk/</t>
  </si>
  <si>
    <t>Financial Planning Partners Limited</t>
  </si>
  <si>
    <t>https://www.fpp-ifa.co.uk/</t>
  </si>
  <si>
    <t>Independent Financial Planning Limited</t>
  </si>
  <si>
    <t>www.ifplonline.co.uk</t>
  </si>
  <si>
    <t>A M Ruthven &amp; Associates Ltd</t>
  </si>
  <si>
    <t>https://www.ruthvenassociates.co.uk/</t>
  </si>
  <si>
    <t>Ellis Bates Financial Solutions Limited</t>
  </si>
  <si>
    <t>https://www.ellisbates.com/</t>
  </si>
  <si>
    <t>Now shackletonadvisers. Wealth management rate selected</t>
  </si>
  <si>
    <t>https://shackletonadvisers.co.uk/why-were-different/fair-and-transparent-charges/</t>
  </si>
  <si>
    <t>Using average OCF of all the balanced fund share classes</t>
  </si>
  <si>
    <t>Using holding company account White UK Holdco limited</t>
  </si>
  <si>
    <t>Active Financial Partners Limited</t>
  </si>
  <si>
    <t>https://www.activefinancialpartners.co.uk/</t>
  </si>
  <si>
    <t>Christopher Shaw</t>
  </si>
  <si>
    <t>Stone Financial Consultants Ltd</t>
  </si>
  <si>
    <t>P J Financial Services</t>
  </si>
  <si>
    <t>Red Dot (Cymru) Ltd</t>
  </si>
  <si>
    <t>https://www.reddotgroup.co.uk/</t>
  </si>
  <si>
    <t>Independent First Limited</t>
  </si>
  <si>
    <t>https://www.independentfirst.com/</t>
  </si>
  <si>
    <t>Website inactive</t>
  </si>
  <si>
    <t>Phoenix Wealth Solutions Limited</t>
  </si>
  <si>
    <t>https://www.phoenixwealthsolutions.com/</t>
  </si>
  <si>
    <t>MurrayPaterson Limited</t>
  </si>
  <si>
    <t>https://www.murraypaterson.co.uk/</t>
  </si>
  <si>
    <t>Acuma Ltd</t>
  </si>
  <si>
    <t>www.acumawealth.co.uk</t>
  </si>
  <si>
    <t>Mortgages TLC Limited</t>
  </si>
  <si>
    <t>https://www.newstartgroup.co.uk/</t>
  </si>
  <si>
    <t>Website under maintenance</t>
  </si>
  <si>
    <t>Ballma Ltd</t>
  </si>
  <si>
    <t>https://www.qfinancial.co.uk/</t>
  </si>
  <si>
    <t>Epsilon Mortgages Limited</t>
  </si>
  <si>
    <t>https://www.epsilononline.net/</t>
  </si>
  <si>
    <t>Pool House Professional Advisers Limited</t>
  </si>
  <si>
    <t>Anthony William Lennon</t>
  </si>
  <si>
    <t>https://www.activeinsurance.co.uk/</t>
  </si>
  <si>
    <t>Seago Butler + Stopps Financial Services Ltd</t>
  </si>
  <si>
    <t>www.seagobutlerstopps.co.uk</t>
  </si>
  <si>
    <t>Info4 Limited</t>
  </si>
  <si>
    <t>Black Swan Capital Ltd</t>
  </si>
  <si>
    <t>www.shackletonadvisers.co.uk</t>
  </si>
  <si>
    <t>Giles Warren Financial Ltd</t>
  </si>
  <si>
    <t>https://www.gileswarren.co.uk/</t>
  </si>
  <si>
    <t>Pembroke Finance Limited</t>
  </si>
  <si>
    <t>https://www.pembroke.uk.net/</t>
  </si>
  <si>
    <t>M &amp; N Insurance Service Ltd</t>
  </si>
  <si>
    <t>www.mninsure.com</t>
  </si>
  <si>
    <t>Finances Sorted Limited</t>
  </si>
  <si>
    <t>Horizon Financial Planning Limited</t>
  </si>
  <si>
    <t>www.horizonfp.co.uk</t>
  </si>
  <si>
    <t>Anglo International Group Ltd</t>
  </si>
  <si>
    <t>https://www.angloifa.com/</t>
  </si>
  <si>
    <t>Dumnonia Financial Services Limited</t>
  </si>
  <si>
    <t>Willis &amp; Company (Insurance Brokers) Limited</t>
  </si>
  <si>
    <t>https://www.willisinsurance.co.uk/</t>
  </si>
  <si>
    <t>Fistic Ltd</t>
  </si>
  <si>
    <t>https://www.ifaco.co.uk/</t>
  </si>
  <si>
    <t>Carlton-Sturman (Insurance Brokers) Limited</t>
  </si>
  <si>
    <t>https://www.carlton-sturman.co.uk/</t>
  </si>
  <si>
    <t>Route Mortgages Ltd</t>
  </si>
  <si>
    <t>Aon UK Limited</t>
  </si>
  <si>
    <t>www.aon.com</t>
  </si>
  <si>
    <t>John F Whippy &amp; Company Limited</t>
  </si>
  <si>
    <t>https://www.johnwhippy.co.uk/</t>
  </si>
  <si>
    <t>Wilkinson Financial Management Ltd</t>
  </si>
  <si>
    <t>Synergy Financial Products Limited</t>
  </si>
  <si>
    <t>https://www.sfpl.co.uk/</t>
  </si>
  <si>
    <t>Howden Employee Benefits &amp; Wellbeing Limited</t>
  </si>
  <si>
    <t>www.howdengroup.com/uk - en/cover/employee - benefits - and - wellbeing - consulting</t>
  </si>
  <si>
    <t>Nedbank Private Wealth Limited</t>
  </si>
  <si>
    <t>http://www.nedbankprivatewealth.com/</t>
  </si>
  <si>
    <t>Suitable Financial Advice Ltd</t>
  </si>
  <si>
    <t>Redfield</t>
  </si>
  <si>
    <t>https://www.redfield.co.uk/</t>
  </si>
  <si>
    <t>Cloverleaf Mortgages Ltd</t>
  </si>
  <si>
    <t>Longley Asset Management Ltd</t>
  </si>
  <si>
    <t>www.lamasset.com</t>
  </si>
  <si>
    <t>Kassius Ltd</t>
  </si>
  <si>
    <t>www.kassius.co.uk</t>
  </si>
  <si>
    <t>Sutherland Independent Ltd</t>
  </si>
  <si>
    <t>Bond Financial Limited</t>
  </si>
  <si>
    <t>https://www.bond-financial.com/</t>
  </si>
  <si>
    <t>SR Investment Associates Ltd</t>
  </si>
  <si>
    <t>Protocol Capital Management Limited</t>
  </si>
  <si>
    <t>https://www.protocolmoney.com/</t>
  </si>
  <si>
    <t>Kings Park Financial Management (Scotland) Ltd</t>
  </si>
  <si>
    <t>https://www.kpfm.co.uk/</t>
  </si>
  <si>
    <t>A&amp;M Wealth Management Ltd</t>
  </si>
  <si>
    <t>https://www.amwealth.co.uk/</t>
  </si>
  <si>
    <t>Ainsdale Finance Ltd</t>
  </si>
  <si>
    <t>https://www.ainsdalefinance.co.uk/</t>
  </si>
  <si>
    <t>Stanhope Capital LLP</t>
  </si>
  <si>
    <t>www.stanhopecapital.com</t>
  </si>
  <si>
    <t>Halton Insurance Services Ltd</t>
  </si>
  <si>
    <t>https://www.haltoninsurance.co.uk/</t>
  </si>
  <si>
    <t>Edward Asset Management LLP</t>
  </si>
  <si>
    <t>www.edwardam.co.uk</t>
  </si>
  <si>
    <t>John Atkinson</t>
  </si>
  <si>
    <t>Wynnstay Financial Consultancy</t>
  </si>
  <si>
    <t>Wessex Investment Management Limited</t>
  </si>
  <si>
    <t>https://www.wessexim.co.uk/</t>
  </si>
  <si>
    <t>HCL Bank House Financial Services Ltd</t>
  </si>
  <si>
    <t>Strathayr Financial Services LLP</t>
  </si>
  <si>
    <t>https://www.strathayr.co.uk/</t>
  </si>
  <si>
    <t>Kenneth Alan Partnership Financial Services</t>
  </si>
  <si>
    <t>https://www.ifa-kap.co.uk/</t>
  </si>
  <si>
    <t>Elmfield Financial Planning Limited</t>
  </si>
  <si>
    <t>https://www.elmfieldfp.co.uk/</t>
  </si>
  <si>
    <t>WTB Financial Consultancy</t>
  </si>
  <si>
    <t>https://www.wtbfinancial.co.uk/</t>
  </si>
  <si>
    <t>Consolidated Financial Management Limited</t>
  </si>
  <si>
    <t>https://www.consolidatedfinancialmanagement.com/</t>
  </si>
  <si>
    <t>PJG Financial Services Limited</t>
  </si>
  <si>
    <t>www.pjgfs.com</t>
  </si>
  <si>
    <t>Whitefield Financial Services Ltd</t>
  </si>
  <si>
    <t>Lawson and Fern Ltd</t>
  </si>
  <si>
    <t>https://www.mikelawsonandfern.co.uk/</t>
  </si>
  <si>
    <t>John Butters IFA</t>
  </si>
  <si>
    <t>Sean Barry</t>
  </si>
  <si>
    <t>Global Leisure Partners LLP</t>
  </si>
  <si>
    <t>Martec Associates Ltd</t>
  </si>
  <si>
    <t>Ash-Ridge Asset Management Ltd</t>
  </si>
  <si>
    <t>www.ash - ridge.com</t>
  </si>
  <si>
    <t>Kyle Consulting Ltd</t>
  </si>
  <si>
    <t>https://www.kyleconsulting.co.uk/</t>
  </si>
  <si>
    <t>VWM Consulting Limited</t>
  </si>
  <si>
    <t>https://www.vwmwealth.com/</t>
  </si>
  <si>
    <t>Spayne Lindsay &amp; Co. LLP</t>
  </si>
  <si>
    <t>https://spaynelindsay.com/</t>
  </si>
  <si>
    <t>Victoria Capital (UK) Ltd</t>
  </si>
  <si>
    <t>https://www.victoriaprivateinvestment.com/</t>
  </si>
  <si>
    <t>Corporate &amp; Personal Investment Planning Ltd</t>
  </si>
  <si>
    <t>Headstart Financial Planning Limited</t>
  </si>
  <si>
    <t>https://www.headstartfinancialplanning.co.uk/</t>
  </si>
  <si>
    <t>Absolute Financial Management Ltd</t>
  </si>
  <si>
    <t>https://www.afmanagement.co.uk/</t>
  </si>
  <si>
    <t>Shorts Financial Services LLP</t>
  </si>
  <si>
    <t xml:space="preserve">www.shortswealth.co.uk </t>
  </si>
  <si>
    <t>Now part of Shackleton advisers. Applied for cancellation on FCA page</t>
  </si>
  <si>
    <t>Independent Financial Advice 4 You LLP</t>
  </si>
  <si>
    <t>https://www.ifa4u.co.uk/</t>
  </si>
  <si>
    <t>Bottriell Adams LLP</t>
  </si>
  <si>
    <t>Platinum IFS Limited</t>
  </si>
  <si>
    <t>https://www.platinumifs.co.uk/</t>
  </si>
  <si>
    <t>Expert Financial Solutions Ltd</t>
  </si>
  <si>
    <t>R.L Stevenson Ltd</t>
  </si>
  <si>
    <t>Complete Financial Solutions Ltd</t>
  </si>
  <si>
    <t>https://www.complete-financial-solutions.co.uk/</t>
  </si>
  <si>
    <t>The Matrix Model Group (UK) Ltd</t>
  </si>
  <si>
    <t>www.matrixmodel.co.uk</t>
  </si>
  <si>
    <t>Retirement Planning (UK) Ltd</t>
  </si>
  <si>
    <t>https://www.rpuk.co.uk/</t>
  </si>
  <si>
    <t>S4 Financial Ltd</t>
  </si>
  <si>
    <t>https://www.s4financial.co.uk/</t>
  </si>
  <si>
    <t>Eton Square Financial Management Limited</t>
  </si>
  <si>
    <t>Independent Choice</t>
  </si>
  <si>
    <t>Fitzallan Ltd</t>
  </si>
  <si>
    <t>https://www.fitzallan.com/</t>
  </si>
  <si>
    <t>Sage Financial Management Limited</t>
  </si>
  <si>
    <t>www.sagegroup.co.uk</t>
  </si>
  <si>
    <t>G &amp; E Wealth Management Ltd</t>
  </si>
  <si>
    <t>www.successionwealth.co.uk</t>
  </si>
  <si>
    <t>No adviser registered under firm anymore</t>
  </si>
  <si>
    <t>Now succession</t>
  </si>
  <si>
    <t>Succession Wealth | Our fees</t>
  </si>
  <si>
    <t>Friar Gate Independent Financial Services Ltd</t>
  </si>
  <si>
    <t>www.friargate.net</t>
  </si>
  <si>
    <t>Wealthwise Financial Services Ltd</t>
  </si>
  <si>
    <t>EIS Financial Services Ltd</t>
  </si>
  <si>
    <t>Temple Bar Independent Financial Advice Limited</t>
  </si>
  <si>
    <t>https://www.templebar.co.uk/</t>
  </si>
  <si>
    <t>P A Asset Management LLP</t>
  </si>
  <si>
    <t>https://www.paam.co.uk/</t>
  </si>
  <si>
    <t>Golden Gate IFA Ltd</t>
  </si>
  <si>
    <t>https://www.goldengateifa.co.uk/</t>
  </si>
  <si>
    <t>G &amp; L Financial Solutions</t>
  </si>
  <si>
    <t>Statehouse Financial Management Limited</t>
  </si>
  <si>
    <t>https://www.statehousefinancial.uk/</t>
  </si>
  <si>
    <t>Henderson Rowe Ltd</t>
  </si>
  <si>
    <t>www.hendersonrowe.com</t>
  </si>
  <si>
    <t>Christopher Newcombe</t>
  </si>
  <si>
    <t>https://www.cdnlifesolutions.com/</t>
  </si>
  <si>
    <t>Paterson Financial Planning Ltd</t>
  </si>
  <si>
    <t>https://www.patersonfp.co.uk/</t>
  </si>
  <si>
    <t>Gregory White Associates Ltd</t>
  </si>
  <si>
    <t>Professional Financial Centre (Cumbria) Ltd</t>
  </si>
  <si>
    <t>https://www.pfccumbria.co.uk/</t>
  </si>
  <si>
    <t>Finance 21 Ltd</t>
  </si>
  <si>
    <t>https://www.finance21.co.uk/</t>
  </si>
  <si>
    <t>Home Matters Services Ltd</t>
  </si>
  <si>
    <t>West Riding Personal Financial Solutions Ltd</t>
  </si>
  <si>
    <t>https://www.wrpfs.com/</t>
  </si>
  <si>
    <t>Richmonde Laine Wealth Management Ltd</t>
  </si>
  <si>
    <t>Leabold Financial Management Ltd</t>
  </si>
  <si>
    <t>https://www.leabold.co.uk/</t>
  </si>
  <si>
    <t>Loraine Marsh</t>
  </si>
  <si>
    <t>Charlesworth Financial Planning Ltd</t>
  </si>
  <si>
    <t>Fallon Associates Limited</t>
  </si>
  <si>
    <t>Independent Personal Financial Management Limited</t>
  </si>
  <si>
    <t>Jan Kazimierz Pietruszka</t>
  </si>
  <si>
    <t>https://www.jan-cash.co.uk/</t>
  </si>
  <si>
    <t>Perennial Financial Management Limited</t>
  </si>
  <si>
    <t>https://www.perennial-financial.co.uk/</t>
  </si>
  <si>
    <t>Gary A Egan Financial Services Ltd</t>
  </si>
  <si>
    <t>Chadwick McLean Ltd</t>
  </si>
  <si>
    <t>https://www.shackletonadvisers.co.uk/</t>
  </si>
  <si>
    <t>CRN Financial Services Ltd</t>
  </si>
  <si>
    <t>www.crnfinancialgroup.com</t>
  </si>
  <si>
    <t>Independent Financial Strategies Ltd</t>
  </si>
  <si>
    <t>KMG Independent Limited</t>
  </si>
  <si>
    <t>Jewell &amp; Petersen Ltd</t>
  </si>
  <si>
    <t>https://www.jpltd.co.uk/</t>
  </si>
  <si>
    <t>Bradstyle Limited</t>
  </si>
  <si>
    <t>https://www.ajhird.com/</t>
  </si>
  <si>
    <t>M &amp; D Financial Management Limited</t>
  </si>
  <si>
    <t>www.manddfinancial.com</t>
  </si>
  <si>
    <t>Gencia Financial Services Ltd</t>
  </si>
  <si>
    <t>Abacus Advice Ltd</t>
  </si>
  <si>
    <t>https://www.aaltd.co.uk/</t>
  </si>
  <si>
    <t>Jamieson Corporate Finance LLP</t>
  </si>
  <si>
    <t>www.jamiesoncf.com</t>
  </si>
  <si>
    <t>Adaurum Limited</t>
  </si>
  <si>
    <t>https://www.adaurum.com/</t>
  </si>
  <si>
    <t>MacIntosh James and Partners Limited</t>
  </si>
  <si>
    <t>www.mjpwm.com</t>
  </si>
  <si>
    <t>Fleming Financial Ltd</t>
  </si>
  <si>
    <t>Chapters Financial Limited</t>
  </si>
  <si>
    <t>https://www.chaptersfinancial.com/</t>
  </si>
  <si>
    <t>Lifetime Financial Consulting Ltd</t>
  </si>
  <si>
    <t>Piercefield Asset Management Ltd</t>
  </si>
  <si>
    <t>www.piercefieldoliver.com</t>
  </si>
  <si>
    <t>Shore Financial Services Ltd</t>
  </si>
  <si>
    <t>https://www.shorefinancial.co.uk/</t>
  </si>
  <si>
    <t>Alka Financial Services Limited</t>
  </si>
  <si>
    <t>https://www.alka.co.uk/</t>
  </si>
  <si>
    <t>McCudden-Hughes</t>
  </si>
  <si>
    <t>Page Russell Ltd</t>
  </si>
  <si>
    <t>London Private Wealth Limited</t>
  </si>
  <si>
    <t>https://londonprivatewealth.cliftonwp.co.uk/</t>
  </si>
  <si>
    <t>BOWSPRIT PARTNERS LIMITED</t>
  </si>
  <si>
    <t>www.bowspritpartners.com</t>
  </si>
  <si>
    <t>Universal Finance (Omagh) Ltd</t>
  </si>
  <si>
    <t>https://www.universal-finance.co.uk/</t>
  </si>
  <si>
    <t>Smith and Wardle Financial Consultants LLP</t>
  </si>
  <si>
    <t>https://www.smithandwardle.co.uk/</t>
  </si>
  <si>
    <t>Moderate/standard service level selected</t>
  </si>
  <si>
    <t>https://smithandwardle.co.uk/wp-content/uploads/2020/08/Complaints-Policy.pdf</t>
  </si>
  <si>
    <t>SMITH AND WARDLE FINANCIAL CONSULTANTS LLP filing history - Find and update company information - GOV.UK</t>
  </si>
  <si>
    <t>Williams Investment Management LLP</t>
  </si>
  <si>
    <t>www.williams-im.com</t>
  </si>
  <si>
    <t>The Aldra Group Ltd</t>
  </si>
  <si>
    <t>Grierson Dickens Ltd</t>
  </si>
  <si>
    <t>https://www.griersondickens.co.uk/</t>
  </si>
  <si>
    <t>Heptagon Capital LLP</t>
  </si>
  <si>
    <t>www.heptagon - capital.com</t>
  </si>
  <si>
    <t>Wheeler Wicks &amp; Company</t>
  </si>
  <si>
    <t>https://www.wheelerwicks.co.uk/</t>
  </si>
  <si>
    <t>Wade Financial Services Ltd</t>
  </si>
  <si>
    <t>https://www.fosterdenovo.com/wp-content/uploads/2024/11/Meaningful-financial-planning.pdf</t>
  </si>
  <si>
    <t>FutureFocus Advisory Limited</t>
  </si>
  <si>
    <t>Equanimity Independent Financial Advisers Limited</t>
  </si>
  <si>
    <t>www.eq - ifa.co.uk</t>
  </si>
  <si>
    <t>Steggles &amp; Co Limited</t>
  </si>
  <si>
    <t>https://www.stegglesandco.com/</t>
  </si>
  <si>
    <t>Darwin Financial Management Ltd</t>
  </si>
  <si>
    <t>https://www.darwindirect.co.uk/</t>
  </si>
  <si>
    <t>Midas Wealth Management Ltd</t>
  </si>
  <si>
    <t>DKLS Ltd</t>
  </si>
  <si>
    <t>https://www.axlefinance.com/</t>
  </si>
  <si>
    <t>Panmure Liberum Limited</t>
  </si>
  <si>
    <t>https://www.panmureliberum.com/</t>
  </si>
  <si>
    <t>Perry Insurance Consultants Ltd</t>
  </si>
  <si>
    <t>Cheshire Investments &amp; Pensions Limited</t>
  </si>
  <si>
    <t>Penvest Limited</t>
  </si>
  <si>
    <t>www.penvest.co.uk</t>
  </si>
  <si>
    <t>Optimum Financial Advisors Ltd</t>
  </si>
  <si>
    <t>https://www.optimumfinancial.co.uk/</t>
  </si>
  <si>
    <t>Jonathan Blake Money Management Limited</t>
  </si>
  <si>
    <t>https://www.jonathanblakemoney.co.uk/</t>
  </si>
  <si>
    <t>SRC Financial Services Limited</t>
  </si>
  <si>
    <t>https://www.srcfinancial.com/</t>
  </si>
  <si>
    <t>https://srcwealthmanagement.co.uk/how-we-work/</t>
  </si>
  <si>
    <t>SRC FINANCIAL SERVICES LIMITED overview - Find and update company information - GOV.UK</t>
  </si>
  <si>
    <t>Bede Financial Group Limited</t>
  </si>
  <si>
    <t>Completely Financial Services Limited</t>
  </si>
  <si>
    <t>www.completely-financial.co.uk</t>
  </si>
  <si>
    <t>James &amp; Associates Financial Services Ltd</t>
  </si>
  <si>
    <t>https://www.jamesandassociates.co.uk/</t>
  </si>
  <si>
    <t>Openwork Limited</t>
  </si>
  <si>
    <t>https://www.theopenworkpartnership.com/</t>
  </si>
  <si>
    <t xml:space="preserve">Like a network </t>
  </si>
  <si>
    <t>First With Mortgages Limited</t>
  </si>
  <si>
    <t>www.mhfc.co.uk</t>
  </si>
  <si>
    <t>Harkin Financial Services Ltd</t>
  </si>
  <si>
    <t>HLSFM Ltd</t>
  </si>
  <si>
    <t>https://www.harperlees.co.uk/</t>
  </si>
  <si>
    <t>Becketts F.S. Ltd</t>
  </si>
  <si>
    <t>https://www.beckettsfs.co.uk/</t>
  </si>
  <si>
    <t>Segbourne Financial Management Limited</t>
  </si>
  <si>
    <t>Northumbrian Financial Ltd</t>
  </si>
  <si>
    <t>Hereford Pension, Investment and Mortgage Centre LLP</t>
  </si>
  <si>
    <t>https://www.hpimc.co.uk/</t>
  </si>
  <si>
    <t>Affinity Financial Awareness Limited</t>
  </si>
  <si>
    <t>www.affinityadvise.co.uk</t>
  </si>
  <si>
    <t>IFS Family Wealth Advisers Ltd</t>
  </si>
  <si>
    <t>McClelland Yarr Financial Services Ltd</t>
  </si>
  <si>
    <t>Https://www.mcclellandyarr.co.uk</t>
  </si>
  <si>
    <t>Whittaker Financial Solutions Limited</t>
  </si>
  <si>
    <t>https://www.whittakerfs.com/</t>
  </si>
  <si>
    <t>Strategic Solutions Financial Services</t>
  </si>
  <si>
    <t>https://www.ssfs.co.uk/</t>
  </si>
  <si>
    <t>https://ssfs.co.uk/wp-content/uploads/2024/06/SSFS-Service-Level-Options-2021.03-V2.pdf</t>
  </si>
  <si>
    <t>STRATEGIC SOLUTIONS FINANCIAL SERVICES LTD filing history - Find and update company information - GOV.UK</t>
  </si>
  <si>
    <t>Sterling Financial Services</t>
  </si>
  <si>
    <t>https://www.sterlingfs.org/</t>
  </si>
  <si>
    <t>Cleddau Financial Services Limited</t>
  </si>
  <si>
    <t>Belgrave Asset Management Limited</t>
  </si>
  <si>
    <t>https://www.belgraveifa.co.uk/</t>
  </si>
  <si>
    <t>Bailey Financial Limited</t>
  </si>
  <si>
    <t>https://www.baileyfinancial.co.uk/</t>
  </si>
  <si>
    <t>Redswan Limited</t>
  </si>
  <si>
    <t>https://www.redswanpensions.co.uk/</t>
  </si>
  <si>
    <t>Paul Robinson Financial Services</t>
  </si>
  <si>
    <t>Handheld Investments Limited</t>
  </si>
  <si>
    <t>https://www.handheldinvestments.com/</t>
  </si>
  <si>
    <t>Bramdean Asset Management LLP</t>
  </si>
  <si>
    <t>www.bramdeanam.com</t>
  </si>
  <si>
    <t>A C Financial Ltd</t>
  </si>
  <si>
    <t>www.AC-financial.com</t>
  </si>
  <si>
    <t>Strategic IFA Ltd</t>
  </si>
  <si>
    <t>https://www.strategicifa.co.uk/</t>
  </si>
  <si>
    <t>Stirling House Financial Services Limited</t>
  </si>
  <si>
    <t>https://www.stirling-house.com/</t>
  </si>
  <si>
    <t>MLP Wealth Management Ltd</t>
  </si>
  <si>
    <t>https://www.mlpwealth.co.uk/</t>
  </si>
  <si>
    <t>Financial Advice Centre Limited</t>
  </si>
  <si>
    <t>https://www.face-uk.com/</t>
  </si>
  <si>
    <t>Gracechurch Financial Services Ltd</t>
  </si>
  <si>
    <t>https://www.gracechurchfs.co.uk/</t>
  </si>
  <si>
    <t>Premier Research and Marketing</t>
  </si>
  <si>
    <t>BFS Handforth Limited</t>
  </si>
  <si>
    <t>https://www.burtonfinancialservices.co.uk/</t>
  </si>
  <si>
    <t>Newton-Barr Limited</t>
  </si>
  <si>
    <t>https://www.newtonbarr.co.uk/</t>
  </si>
  <si>
    <t>Regentia Lifestyle Planning Limited</t>
  </si>
  <si>
    <t>https://www.regentia.co.uk/</t>
  </si>
  <si>
    <t>Sterling Financial Services Limited</t>
  </si>
  <si>
    <t>www.sterlingfs.co.uk</t>
  </si>
  <si>
    <t>Espiene Ltd</t>
  </si>
  <si>
    <t>https://www.espiene.com/</t>
  </si>
  <si>
    <t>AEON Financial Services Ltd</t>
  </si>
  <si>
    <t>https://www.aeon-ifa.co.uk/</t>
  </si>
  <si>
    <t>Financial Direction (Northumberland) Ltd</t>
  </si>
  <si>
    <t>Hymans Robertson LLP</t>
  </si>
  <si>
    <t>www.hymans.co.uk</t>
  </si>
  <si>
    <t>Future Asset Management LLP</t>
  </si>
  <si>
    <t>https://www.famllp.com/</t>
  </si>
  <si>
    <t>XL Independent Financial Advisers Ltd</t>
  </si>
  <si>
    <t>www.xlifa.co.uk</t>
  </si>
  <si>
    <t>Thompson Riddle Associates Ltd</t>
  </si>
  <si>
    <t>https://www.themodernifa.co.uk/</t>
  </si>
  <si>
    <t>Thomas House Partnership LLP</t>
  </si>
  <si>
    <t>PFS (IFA) Limited</t>
  </si>
  <si>
    <t>Vale Asset Management</t>
  </si>
  <si>
    <t>https://www.valeam.co.uk/</t>
  </si>
  <si>
    <t>Thome Asset Management &amp; Asset Controlling</t>
  </si>
  <si>
    <t>https://www.tamac.com/</t>
  </si>
  <si>
    <t>Future Perfect Financial Planning (UK) Ltd</t>
  </si>
  <si>
    <t>www.futureperfectfp.co.uk</t>
  </si>
  <si>
    <t>Anderson Sinclair &amp; Co LLP</t>
  </si>
  <si>
    <t>https://www.andersonsinclair.co.uk/</t>
  </si>
  <si>
    <t>Cavendish Securities PLC</t>
  </si>
  <si>
    <t>www.cavendish.com</t>
  </si>
  <si>
    <t>Wealth At Work Limited</t>
  </si>
  <si>
    <t>www.wealthatwork.co.uk</t>
  </si>
  <si>
    <t>Simon Rowberry</t>
  </si>
  <si>
    <t>https://www.henleyretirement.com/</t>
  </si>
  <si>
    <t>Lifestyle Financial Choices Limited</t>
  </si>
  <si>
    <t>https://www.lifestylefc.co.uk/</t>
  </si>
  <si>
    <t>Select Financial Solutions North East LLP</t>
  </si>
  <si>
    <t>Henwood Court Financial Planning Limited</t>
  </si>
  <si>
    <t>www.henwoodcourt.co.uk</t>
  </si>
  <si>
    <t>Arlingclose Limited</t>
  </si>
  <si>
    <t>www.arlingclose.com</t>
  </si>
  <si>
    <t>SMG Financial Management Limited</t>
  </si>
  <si>
    <t>Professional Capital Limited</t>
  </si>
  <si>
    <t>www.professionalcapital.co.uk</t>
  </si>
  <si>
    <t>Charter Consultancy Ltd</t>
  </si>
  <si>
    <t>https://www.charterconsultancy.co.uk/</t>
  </si>
  <si>
    <t>75point3 Limited</t>
  </si>
  <si>
    <t>https://www.75point3.com/</t>
  </si>
  <si>
    <t>Christmas Financial Planners Ltd</t>
  </si>
  <si>
    <t>https://www.christmas-fp.myifa.net/</t>
  </si>
  <si>
    <t>Best to Invest Limited</t>
  </si>
  <si>
    <t>https://www.hillgrafford.co.uk/</t>
  </si>
  <si>
    <t>OCM Wealth Management Ltd</t>
  </si>
  <si>
    <t>www.ocmwealthmanagement.co.uk</t>
  </si>
  <si>
    <t>Argentis Wealth Management Ltd</t>
  </si>
  <si>
    <t>https://www.argentis.co.uk/</t>
  </si>
  <si>
    <t>Lightblue U.K. Limited</t>
  </si>
  <si>
    <t>https://www.lightblueuk.com/</t>
  </si>
  <si>
    <t>Arc Eden Ltd</t>
  </si>
  <si>
    <t>https://www.arceden.com/</t>
  </si>
  <si>
    <t>Stephenson Johnson Financial Planning Limited</t>
  </si>
  <si>
    <t>https://www.sjfp.co.uk/</t>
  </si>
  <si>
    <t>Fortitude Financial Planning Limited</t>
  </si>
  <si>
    <t>https://www.fortitudefp.co.uk/</t>
  </si>
  <si>
    <t>JTM Financial Services Limited</t>
  </si>
  <si>
    <t>ART Holdings Limited</t>
  </si>
  <si>
    <t>www.mfs - group.co.uk</t>
  </si>
  <si>
    <t>https://static1.squarespace.com/static/5d91f13aed9a60047a7c1635/t/665723268b4ed0149f360571/1721307440082/MFS+Fees+for+Services+.pdf</t>
  </si>
  <si>
    <t>ART HOLDINGS LIMITED filing history - Find and update company information - GOV.UK</t>
  </si>
  <si>
    <t>Jamieson Christie Wealth Management Limited</t>
  </si>
  <si>
    <t>https://www.jamiesonchristie.com/</t>
  </si>
  <si>
    <t>Telford Mann Limited</t>
  </si>
  <si>
    <t>https://www.titanpi.co.uk/</t>
  </si>
  <si>
    <t>Now under Titan wealth</t>
  </si>
  <si>
    <t>https://titanpi.co.uk/wp-content/uploads/2026/01/Platform-Terms-of-Business.pdf</t>
  </si>
  <si>
    <t>priips-kid-balanced-usd-s-acc.pdf</t>
  </si>
  <si>
    <t>2025 Acc, no 2024 available</t>
  </si>
  <si>
    <t>Sanderson Independent LLP</t>
  </si>
  <si>
    <t>https://www.s-ebs.co.uk/</t>
  </si>
  <si>
    <t>Crownhouse IFAS Ltd</t>
  </si>
  <si>
    <t>https://www.crownhouseifas.co.uk/</t>
  </si>
  <si>
    <t>MT Polo Limited</t>
  </si>
  <si>
    <t>Arnott Guy &amp; Co Ltd</t>
  </si>
  <si>
    <t>Stirling Financial Management (UK) Limited</t>
  </si>
  <si>
    <t>Broom Consultants Ltd</t>
  </si>
  <si>
    <t>https://www.broomconsultants.com/</t>
  </si>
  <si>
    <t>Vincent Colley Investment Advisors Limited</t>
  </si>
  <si>
    <t>https://www.principle-im.com/</t>
  </si>
  <si>
    <t>Face 2 Face Financial Ltd</t>
  </si>
  <si>
    <t>https://www.face2facefinancial.co.uk/</t>
  </si>
  <si>
    <t>Interface Financial Planning Ltd</t>
  </si>
  <si>
    <t>www.interfacefinancialplanning.co.uk</t>
  </si>
  <si>
    <t>PRICE FERGUSON LIMITED</t>
  </si>
  <si>
    <t>https://www.priceferguson.com/</t>
  </si>
  <si>
    <t>Concept Financial Management Limited</t>
  </si>
  <si>
    <t>Anomaly Consultants Limited</t>
  </si>
  <si>
    <t>Astute Financial Limited</t>
  </si>
  <si>
    <t>Solicitors Financial Centre Limited</t>
  </si>
  <si>
    <t>Financial Escape Limited</t>
  </si>
  <si>
    <t>https://www.financialescape.co.uk/</t>
  </si>
  <si>
    <t>Money Minder Financial Services (UK) Limited</t>
  </si>
  <si>
    <t>https://www.money-minder.com/</t>
  </si>
  <si>
    <t>Trust Matters Financial Services Ltd</t>
  </si>
  <si>
    <t>https://www.trustmatters.co.uk/</t>
  </si>
  <si>
    <t>Titan Private Wealth Limited</t>
  </si>
  <si>
    <t>www.titanprivatewealth.com</t>
  </si>
  <si>
    <t>https://find-and-update.company-information.service.gov.uk/company/04731281/filing-history</t>
  </si>
  <si>
    <t>Fort Financial Planning Ltd</t>
  </si>
  <si>
    <t>https://www.ffp.org.uk/</t>
  </si>
  <si>
    <t>Business &amp; Personal Investment Limited</t>
  </si>
  <si>
    <t>https://www.bpinvestment.com/</t>
  </si>
  <si>
    <t>Harry Moore</t>
  </si>
  <si>
    <t>https://www.harrymoore.co.uk/</t>
  </si>
  <si>
    <t>Hampshire Hill Group Limited</t>
  </si>
  <si>
    <t>https://www.hampshirehill.co.uk/</t>
  </si>
  <si>
    <t>Antony Ransom Independent Financial Adviser Ltd</t>
  </si>
  <si>
    <t>https://www.ransomifa.co.uk/</t>
  </si>
  <si>
    <t>Millen Griffiths Limited</t>
  </si>
  <si>
    <t>https://www.millengriffiths.com/</t>
  </si>
  <si>
    <t>Prism Financial Advice Limited</t>
  </si>
  <si>
    <t>https://www.prismadvice.co.uk/  Titan</t>
  </si>
  <si>
    <t>Holyoakes Group Ltd</t>
  </si>
  <si>
    <t>Prism Independent Financial Management Ltd</t>
  </si>
  <si>
    <t>Titan Wealth Planning Limited</t>
  </si>
  <si>
    <t>www.titanwh.com</t>
  </si>
  <si>
    <t>2025 Accounts, no 2024</t>
  </si>
  <si>
    <t>Symphony Financial Advisers Limited</t>
  </si>
  <si>
    <t>https://www.symphony.uk.net/</t>
  </si>
  <si>
    <t>Fleming Court Financial Services LLP</t>
  </si>
  <si>
    <t>https://www.flemingfs.co.uk/</t>
  </si>
  <si>
    <t>GS Financial Services Limited</t>
  </si>
  <si>
    <t>https://www.gsfinancialservices.co.uk/</t>
  </si>
  <si>
    <t>Morton Fraser MacRoberts LLP</t>
  </si>
  <si>
    <t>https://www.mfmac.com/</t>
  </si>
  <si>
    <t>A &amp; J Wealth Management Ltd</t>
  </si>
  <si>
    <t>Brown Thornton &amp; Lee Independent Financial Advisers LLP</t>
  </si>
  <si>
    <t>MKC Wealth Ltd</t>
  </si>
  <si>
    <t>https://www.mkcwealth.co.uk/</t>
  </si>
  <si>
    <t>M3 Financial Solutions Limited</t>
  </si>
  <si>
    <t>https://m 3 ltd.co.uk/</t>
  </si>
  <si>
    <t>Barratt &amp; Cooke Limited</t>
  </si>
  <si>
    <t>www.barrattandcooke.co.uk</t>
  </si>
  <si>
    <t>Fhoenix Estates Limited</t>
  </si>
  <si>
    <t>https://www.fhoenix.com/</t>
  </si>
  <si>
    <t>DHFS Davies Harris Financial Services Limited</t>
  </si>
  <si>
    <t>Heron Wealth Management Limited</t>
  </si>
  <si>
    <t>www.heronwm.co.uk</t>
  </si>
  <si>
    <t>D S Howell Financial Services Ltd</t>
  </si>
  <si>
    <t>www.dshowellfs.co.uk</t>
  </si>
  <si>
    <t>David McDonald Financial Services Ltd</t>
  </si>
  <si>
    <t>Citrus Wealth Management Limited</t>
  </si>
  <si>
    <t>www.citrusgroup.co.uk</t>
  </si>
  <si>
    <t>Davies Financial Limited</t>
  </si>
  <si>
    <t>https://www.daviesfinancial.net/</t>
  </si>
  <si>
    <t>Corbel Partners Limited</t>
  </si>
  <si>
    <t>https://www.corbelpartners.co.uk/</t>
  </si>
  <si>
    <t>Spratt Financial Services Limited</t>
  </si>
  <si>
    <t>https://www.spratt-financial-services-ltd.co.uk/</t>
  </si>
  <si>
    <t>Clear Solutions (Wealth and Tax Management) Ltd</t>
  </si>
  <si>
    <t>https://www.clearsolutionsifa.co.uk/</t>
  </si>
  <si>
    <t>Crown Financial Management</t>
  </si>
  <si>
    <t>Greysmere Associates Limited</t>
  </si>
  <si>
    <t>https://www.greysmere-ifa.co.uk/</t>
  </si>
  <si>
    <t>Simpsons of Brighton IFA Limited</t>
  </si>
  <si>
    <t>https://www.simpsonsofbrighton.co.uk/</t>
  </si>
  <si>
    <t>DPS Direction Ltd</t>
  </si>
  <si>
    <t>Regency Financial Consultancy LLP</t>
  </si>
  <si>
    <t>https://www.regencyfc.com/</t>
  </si>
  <si>
    <t>Paragon Investment Management Ltd</t>
  </si>
  <si>
    <t>HB Cranfield Wealth Management Limited</t>
  </si>
  <si>
    <t>Crocus Wealth Limited</t>
  </si>
  <si>
    <t>https://www.crocuswealth.co.uk/</t>
  </si>
  <si>
    <t>Independent Financial Planning (Anglia) Ltd</t>
  </si>
  <si>
    <t>www.ifp. trustedadviser. info</t>
  </si>
  <si>
    <t>Roebridge Financial Management Limited</t>
  </si>
  <si>
    <t>Gresham Financial Limited</t>
  </si>
  <si>
    <t>https://www.greshamfinancial.co.uk/</t>
  </si>
  <si>
    <t>DWS Investments UK Limited</t>
  </si>
  <si>
    <t>https://www.dws.com/en-gb/</t>
  </si>
  <si>
    <t>Capital Gains Ltd</t>
  </si>
  <si>
    <t>www.capitalgains.co.uk</t>
  </si>
  <si>
    <t>Financial Independent Solutions Limited</t>
  </si>
  <si>
    <t>https://www.financialindependentsolutions.co.uk/</t>
  </si>
  <si>
    <t>Advanced (Scotland) Limited</t>
  </si>
  <si>
    <t>Prosper Independent Financial Advisers Ltd</t>
  </si>
  <si>
    <t>https://www.prosper-ifa.co.uk/</t>
  </si>
  <si>
    <t>Hampton Court Associates Financial Services LLP</t>
  </si>
  <si>
    <t>Beckworth Financial Services Ltd</t>
  </si>
  <si>
    <t>www.beckworthifa.co.uk</t>
  </si>
  <si>
    <t>Prospect Financial Solutions Ltd</t>
  </si>
  <si>
    <t>https://prospectfinancialsolutions.co.uk/</t>
  </si>
  <si>
    <t>Optimum Solutions Independent Financial Advisers Limited</t>
  </si>
  <si>
    <t>https://www.optimumifa.com/</t>
  </si>
  <si>
    <t>Matrix Capital Limited</t>
  </si>
  <si>
    <t>www.matrixcapital.co.uk</t>
  </si>
  <si>
    <t>Genesis Wealth Strategies Ltd</t>
  </si>
  <si>
    <t>Huw Davies Independent Financial Adviser</t>
  </si>
  <si>
    <t>https://www.huwdavies.co.uk/</t>
  </si>
  <si>
    <t>Wessex Financial Planning Limited</t>
  </si>
  <si>
    <t>https://www.wessexfinancial.co.uk/</t>
  </si>
  <si>
    <t>Bradstock Bourne Limited</t>
  </si>
  <si>
    <t>www.bradstockbourne.co.uk</t>
  </si>
  <si>
    <t>Investment For Life Limited</t>
  </si>
  <si>
    <t>https://www.investmentforlife.co.uk/</t>
  </si>
  <si>
    <t>Phil Johnson Financial Services Limited</t>
  </si>
  <si>
    <t>https://www.pjfsltd.co.uk/</t>
  </si>
  <si>
    <t>James Anderson Barr t/a Anderson Barr Consultants</t>
  </si>
  <si>
    <t>https://www.andersonbarrconsultants.co.uk/</t>
  </si>
  <si>
    <t>Hestia Wealth</t>
  </si>
  <si>
    <t>https://www.hestiawealth.co.uk/</t>
  </si>
  <si>
    <t>Alcock Jones Financial Planning Ltd</t>
  </si>
  <si>
    <t>S K Nanda Financial Services</t>
  </si>
  <si>
    <t>Padstone Financial Management Limited</t>
  </si>
  <si>
    <t>https://www.padstone-fm.co.uk/</t>
  </si>
  <si>
    <t>Titan Financial Planning Limited</t>
  </si>
  <si>
    <t>www.titan-fp.com</t>
  </si>
  <si>
    <t>https://find-and-update.company-information.service.gov.uk/company/11483414/filing-history</t>
  </si>
  <si>
    <t>Encompass Financial Management Ltd</t>
  </si>
  <si>
    <t>https://www.encompassfm.co.uk/</t>
  </si>
  <si>
    <t>John Andrew James</t>
  </si>
  <si>
    <t>Westward Financial Management Limited</t>
  </si>
  <si>
    <t>https://www.westward-fm.com/</t>
  </si>
  <si>
    <t>Professional &amp; Medical Financial Planning Ltd</t>
  </si>
  <si>
    <t>https://www.professionalandmedical.co.uk/</t>
  </si>
  <si>
    <t>ASTUS Financial Planning Ltd</t>
  </si>
  <si>
    <t>https://www.astusfp.co.uk/</t>
  </si>
  <si>
    <t>Chelwood Financial Management</t>
  </si>
  <si>
    <t>https://www.chelwoodfinancial.com/</t>
  </si>
  <si>
    <t>Cummins Financial Advisers Ltd</t>
  </si>
  <si>
    <t>https://www.cumminsifa.com/</t>
  </si>
  <si>
    <t>Trevor Derek Fletcher</t>
  </si>
  <si>
    <t>Protexx (UK) Limited</t>
  </si>
  <si>
    <t>www.protexx.co.uk</t>
  </si>
  <si>
    <t>O2 Associates Ltd</t>
  </si>
  <si>
    <t>https://www.o2associates.com/</t>
  </si>
  <si>
    <t>Executive Financial Services Ltd</t>
  </si>
  <si>
    <t>Ark Financial Planning Ltd</t>
  </si>
  <si>
    <t>https://www.arkfp.co.uk/</t>
  </si>
  <si>
    <t>Advanta Direct Ltd</t>
  </si>
  <si>
    <t>Canter Holland Ltd</t>
  </si>
  <si>
    <t>https://www.canterholland.com/</t>
  </si>
  <si>
    <t>Foinaven Asset Management Ltd</t>
  </si>
  <si>
    <t>https://www.foinaven-ifa.co.uk/</t>
  </si>
  <si>
    <t>Great British Finance Limited</t>
  </si>
  <si>
    <t>https://www.greatbritishfinance.com/</t>
  </si>
  <si>
    <t>Orme Financial Services Ltd</t>
  </si>
  <si>
    <t>M &amp; M Financial Services Ltd</t>
  </si>
  <si>
    <t>https://www.mandmgroup.co.uk/</t>
  </si>
  <si>
    <t>Equitas Investment Services Limited</t>
  </si>
  <si>
    <t>Town &amp; Country Private Finance Limited</t>
  </si>
  <si>
    <t>Throgmorton Private Capital Ltd</t>
  </si>
  <si>
    <t>https://www.throgmortonltd.co.uk/</t>
  </si>
  <si>
    <t>Oakham Wealth Management Ltd</t>
  </si>
  <si>
    <t>www.oakhamwealth.com</t>
  </si>
  <si>
    <t>Fantastic Financial Ltd</t>
  </si>
  <si>
    <t>First Option</t>
  </si>
  <si>
    <t>Barrie Financial Services Ltd</t>
  </si>
  <si>
    <t>www.barriereesifa.co.uk</t>
  </si>
  <si>
    <t>Gale and Phillipson Investment Services Ltd</t>
  </si>
  <si>
    <t>https://www.you-asset.co.uk/</t>
  </si>
  <si>
    <t>IM company</t>
  </si>
  <si>
    <t>Just Investment Strategies Ltd</t>
  </si>
  <si>
    <t>https://www.jis.org.uk/</t>
  </si>
  <si>
    <t>HQN Financial Management Limited</t>
  </si>
  <si>
    <t>www.hqnfm.co.uk</t>
  </si>
  <si>
    <t>Integer Financial Management Ltd</t>
  </si>
  <si>
    <t>Charterhall Associates Limited</t>
  </si>
  <si>
    <t>Lewis Christopher Limited</t>
  </si>
  <si>
    <t>https://www.lewischristopher.co.uk/</t>
  </si>
  <si>
    <t>Caxton Payments Limited</t>
  </si>
  <si>
    <t>www.caxton.io</t>
  </si>
  <si>
    <t>Redwood Financial Management Ltd</t>
  </si>
  <si>
    <t>www.redwoodfmltd.co.uk</t>
  </si>
  <si>
    <t>M.R. Financial Services Ltd</t>
  </si>
  <si>
    <t>Personal Financial Planning Services Limited</t>
  </si>
  <si>
    <t>The Strachan Partnership Ltd</t>
  </si>
  <si>
    <t>Prydis Wealth Limited</t>
  </si>
  <si>
    <t>www.prydis.com</t>
  </si>
  <si>
    <t>M G Norman &amp; Co Ltd</t>
  </si>
  <si>
    <t>Maurice Macdonald Associates</t>
  </si>
  <si>
    <t>Financial Profiles Limited</t>
  </si>
  <si>
    <t>https://www.financialprofiles.co.uk/</t>
  </si>
  <si>
    <t>Oaklands Wealth Management Ltd</t>
  </si>
  <si>
    <t>www.oaklandswealth.com</t>
  </si>
  <si>
    <t>Castlefield Investment Partners LLP</t>
  </si>
  <si>
    <t>https://www.castlefield.com/</t>
  </si>
  <si>
    <t>Truly Independent Limited</t>
  </si>
  <si>
    <t>https://www.trulyifa.co.uk/</t>
  </si>
  <si>
    <t xml:space="preserve">Ongoing not compulsory </t>
  </si>
  <si>
    <t>https://trulyifa.co.uk/wp-content/uploads/2026/01/TIPS-Magazine-JanFeb-2026.pdf</t>
  </si>
  <si>
    <t>TRULY INDEPENDENT LTD filing history - Find and update company information - GOV.UK</t>
  </si>
  <si>
    <t>Kirkpatrick Kennedy</t>
  </si>
  <si>
    <t>Accudo Investments Limited</t>
  </si>
  <si>
    <t>https://www.accudo.co.uk/</t>
  </si>
  <si>
    <t>Sound Advice Financial Management Limited</t>
  </si>
  <si>
    <t>Ashlea Financial Planning Ltd</t>
  </si>
  <si>
    <t>www.ashlea-fp.co.uk</t>
  </si>
  <si>
    <t>Towers Watson Limited</t>
  </si>
  <si>
    <t>https://www.wtwco.com/</t>
  </si>
  <si>
    <t>Barker Financial Solutions Limited</t>
  </si>
  <si>
    <t>Coleridge Capital Ltd</t>
  </si>
  <si>
    <t>www.coleridge - capital.com</t>
  </si>
  <si>
    <t>Watson Moore Independent Financial Advisers Ltd</t>
  </si>
  <si>
    <t>https://www.watsonmooreifa.com/</t>
  </si>
  <si>
    <t>E L Watson Financial Planning Limited</t>
  </si>
  <si>
    <t>https://www.watsonfp.com/</t>
  </si>
  <si>
    <t>Orchard House (IFAs) Ltd</t>
  </si>
  <si>
    <t>https://www.orchardhouse.co.uk/</t>
  </si>
  <si>
    <t>Hanley Financial Consultants Ltd</t>
  </si>
  <si>
    <t>Fogwill &amp; Jones Asset Management Ltd</t>
  </si>
  <si>
    <t>www.fogwillandjones.co.uk</t>
  </si>
  <si>
    <t>Website unreachable</t>
  </si>
  <si>
    <t>Heritage Independent Financial Advisers Ltd</t>
  </si>
  <si>
    <t>www.heritageifa.com</t>
  </si>
  <si>
    <t>Shand Associates Ltd</t>
  </si>
  <si>
    <t>Francis Clark Financial Planning Ltd</t>
  </si>
  <si>
    <t>www.fcfp.co.uk</t>
  </si>
  <si>
    <t>Clayden Associates Ltd</t>
  </si>
  <si>
    <t>https://www.claydenassociates.co.uk/</t>
  </si>
  <si>
    <t>Wake up your Wealth LLP</t>
  </si>
  <si>
    <t>https://www.wakeupyourwealth.com/</t>
  </si>
  <si>
    <t>https://wakeupyourwealth.com/wp-content/uploads/2024/04/TOB-with-SA-Jan-2024-1.pdf</t>
  </si>
  <si>
    <t>WAKE UP YOUR WEALTH LLP filing history - Find and update company information - GOV.UK</t>
  </si>
  <si>
    <t>Evans Ash Financial Services LLP</t>
  </si>
  <si>
    <t>https://www.evansash.co.uk/</t>
  </si>
  <si>
    <t>Wealth and Tax Management Limited</t>
  </si>
  <si>
    <t>www.wealthandtax.co.uk</t>
  </si>
  <si>
    <t>https://wealthandtax.co.uk/our-fees/</t>
  </si>
  <si>
    <t>WEALTH AND TAX MANAGEMENT LIMITED filing history - Find and update company information - GOV.UK</t>
  </si>
  <si>
    <t>H V Financial Planning Ltd</t>
  </si>
  <si>
    <t>https://www.hvfp.co.uk/</t>
  </si>
  <si>
    <t>Financial Foresight (NI) Limited</t>
  </si>
  <si>
    <t>https://www.financialforesight.co.uk/</t>
  </si>
  <si>
    <t>O'Sullivan Associates</t>
  </si>
  <si>
    <t>https://www.ifa-lothians.com/</t>
  </si>
  <si>
    <t>Wealth Matters Limited</t>
  </si>
  <si>
    <t>https://www.wealth-matters.co.uk/</t>
  </si>
  <si>
    <t>https://wealth-matters.co.uk/financial-planning/fees/</t>
  </si>
  <si>
    <t>WEALTH MATTERS LIMITED filing history - Find and update company information - GOV.UK</t>
  </si>
  <si>
    <t>MPA Financial Management Limited</t>
  </si>
  <si>
    <t>https://www.mpafm.co.uk/</t>
  </si>
  <si>
    <t>Acornmain Limited</t>
  </si>
  <si>
    <t>https://www.acornmain.co.uk/</t>
  </si>
  <si>
    <t>Whitings Wealth Management Limited</t>
  </si>
  <si>
    <t>https://www.whitingswm.co.uk/</t>
  </si>
  <si>
    <t>Polygon Financial Ltd</t>
  </si>
  <si>
    <t>https://www.polygonfinancial.co.uk/</t>
  </si>
  <si>
    <t>Struan Financial Management Limited</t>
  </si>
  <si>
    <t>https://www.struanfm.co.uk/</t>
  </si>
  <si>
    <t>Logic Wealth Planning Limited</t>
  </si>
  <si>
    <t>https://www.logic-wp.com/</t>
  </si>
  <si>
    <t>Capital Managers LLP</t>
  </si>
  <si>
    <t>https://www.capitalmanagers.co.uk/</t>
  </si>
  <si>
    <t>Willow Financial Planning Limited</t>
  </si>
  <si>
    <t>https://www.willowfinancial.co.uk/</t>
  </si>
  <si>
    <t>https://willowfinancial.co.uk/wp-content/uploads/2025/06/Key-Facts-WFPv8-Jun25.pdf</t>
  </si>
  <si>
    <t>WILLOW FINANCIAL PLANNING LIMITED filing history - Find and update company information - GOV.UK</t>
  </si>
  <si>
    <t>Lynas Vokes Investments Ltd</t>
  </si>
  <si>
    <t>https://www.lynasvokes.co.uk/</t>
  </si>
  <si>
    <t>Danamere Employee Benefits Ltd</t>
  </si>
  <si>
    <t>Griffin Benedict Ltd</t>
  </si>
  <si>
    <t>IMIA Ltd</t>
  </si>
  <si>
    <t>https://www.independentis.co.uk/</t>
  </si>
  <si>
    <t>Infinite Financial Consultancy Ltd</t>
  </si>
  <si>
    <t>Howard Evans Financial Services Ltd</t>
  </si>
  <si>
    <t>Edmans IFA Ltd</t>
  </si>
  <si>
    <t>https://www.edmansifa.com/</t>
  </si>
  <si>
    <t>Parallel Financial Limited</t>
  </si>
  <si>
    <t>http://www.parallelfinancial.co.uk/</t>
  </si>
  <si>
    <t>The Financial Practice (UK) Ltd</t>
  </si>
  <si>
    <t>Cavendish Medical Ltd</t>
  </si>
  <si>
    <t>www.cavendishmedical.com</t>
  </si>
  <si>
    <t>Midas Strategies (UK) LLP</t>
  </si>
  <si>
    <t>Kudos Financial Consultancy</t>
  </si>
  <si>
    <t>https://www.kudosifa.com/</t>
  </si>
  <si>
    <t>Moneytree IFA Ltd</t>
  </si>
  <si>
    <t>Royal Acres Financial</t>
  </si>
  <si>
    <t>Richard H. Potts Financial Services Limited</t>
  </si>
  <si>
    <t>Whitegate Financial Services Limited</t>
  </si>
  <si>
    <t>Test Valley Financial Management Ltd</t>
  </si>
  <si>
    <t>Astute Financial &amp; Lifestyle Planning Limited</t>
  </si>
  <si>
    <t>https://www.astutefp.com/</t>
  </si>
  <si>
    <t>Cathedral Financial Services LLP</t>
  </si>
  <si>
    <t>www.cathedralfs.co.uk</t>
  </si>
  <si>
    <t>BSQFA Limited</t>
  </si>
  <si>
    <t>https://www.friendlywealth.co.uk/</t>
  </si>
  <si>
    <t>Lane Financial Management Limited</t>
  </si>
  <si>
    <t>https://www.lane.fm/</t>
  </si>
  <si>
    <t>Thomas And Gentry Independent Financial Advisors Limited</t>
  </si>
  <si>
    <t>https://www.thomasandgentry.co.uk/</t>
  </si>
  <si>
    <t>Cameron Asset Management Limited</t>
  </si>
  <si>
    <t>https://www.camlimited.co.uk/</t>
  </si>
  <si>
    <t>Incisive Wealth Strategies LLP</t>
  </si>
  <si>
    <t>https://www.incisivews.com/</t>
  </si>
  <si>
    <t>Wright Financial Management Limited</t>
  </si>
  <si>
    <t>https://www.wfmltd.com/</t>
  </si>
  <si>
    <t>Wisdom Consulting Limited</t>
  </si>
  <si>
    <t>https://www.wisdomconsulting.co.uk/</t>
  </si>
  <si>
    <t>Oak County Financial Services Ltd</t>
  </si>
  <si>
    <t>https://www.oakcounty.co.uk/</t>
  </si>
  <si>
    <t>Macleman Wealth Ltd</t>
  </si>
  <si>
    <t>https://www.maclemanwealth.co.uk/</t>
  </si>
  <si>
    <t>Avsons Financial Limited</t>
  </si>
  <si>
    <t>Face to Face Finance (Anglia) Ltd</t>
  </si>
  <si>
    <t>Mr Alexander Henney Farrow</t>
  </si>
  <si>
    <t>Standard Life Assurance Limited</t>
  </si>
  <si>
    <t>https://www.standardlife.co.uk/</t>
  </si>
  <si>
    <t>W&amp;T Limited</t>
  </si>
  <si>
    <t>https://www.blackdownfinancial.co.uk/</t>
  </si>
  <si>
    <t>Roberts Mackie Winstanley</t>
  </si>
  <si>
    <t>www.rmw-ifa.co.uk</t>
  </si>
  <si>
    <t>Sheila Tarr Limited</t>
  </si>
  <si>
    <t>www.sheilatarr.co.uk</t>
  </si>
  <si>
    <t>£20,000</t>
  </si>
  <si>
    <t>Burlington Associates Ltd</t>
  </si>
  <si>
    <t>www.burlingtonfs.com</t>
  </si>
  <si>
    <t>Charles Wilkinson Financial Planning Limited</t>
  </si>
  <si>
    <t>www.cwfp.co.uk</t>
  </si>
  <si>
    <t>AK Jensen Limited</t>
  </si>
  <si>
    <t>www.akj.com</t>
  </si>
  <si>
    <t>Wise Investments Ltd</t>
  </si>
  <si>
    <t>https://www.wiseinvestment.co.uk/</t>
  </si>
  <si>
    <t>https://wiseinvestment.co.uk/wp-content/uploads/2023/06/Fee-Schedule-July23.pdf</t>
  </si>
  <si>
    <t>12-2025-Balanced-Model-Portfolio-Factsheet-Pershing.pdf</t>
  </si>
  <si>
    <t>WISE INVESTMENTS LTD filing history - Find and update company information - GOV.UK</t>
  </si>
  <si>
    <t>Bob Little &amp; Co Ltd</t>
  </si>
  <si>
    <t>Cooper Mortimer Plant Limited</t>
  </si>
  <si>
    <t>https://www.cmp-wm.co.uk/</t>
  </si>
  <si>
    <t>Atlas Financial Planning Ltd</t>
  </si>
  <si>
    <t>https://www.atlasplanning.co.uk/</t>
  </si>
  <si>
    <t>M. Reynolds Financial Solutions Limited</t>
  </si>
  <si>
    <t>https://www.mreynoldsfinancialsolutions.co.uk/</t>
  </si>
  <si>
    <t>Excel 121 Ltd</t>
  </si>
  <si>
    <t>www.excelwealth.co.uk</t>
  </si>
  <si>
    <t>All Counties Financial Limited</t>
  </si>
  <si>
    <t>M J KENDAL</t>
  </si>
  <si>
    <t>Lexington Wealth Management Ltd</t>
  </si>
  <si>
    <t>https://www.lexingtonwealth.co.uk/</t>
  </si>
  <si>
    <t>Robert Graham Financial Ltd</t>
  </si>
  <si>
    <t>Chandler King (City) Ltd</t>
  </si>
  <si>
    <t>https://www.chandlerking.co.uk/</t>
  </si>
  <si>
    <t>CALPE FINANCIAL SOLUTIONS LIMITED</t>
  </si>
  <si>
    <t>Capital Independent Financial Consultants Ltd</t>
  </si>
  <si>
    <t>https://www.capitalifc.com/</t>
  </si>
  <si>
    <t>Pigotts Investments Limited</t>
  </si>
  <si>
    <t>https://www.pigottsinvestments.co.uk/</t>
  </si>
  <si>
    <t>MMR Financial Planning (Midlands) Ltd</t>
  </si>
  <si>
    <t>https://www.mmrfinancialplanning.co.uk/</t>
  </si>
  <si>
    <t>The Choice IFA Network Limited</t>
  </si>
  <si>
    <t>www.tcinet.co.uk</t>
  </si>
  <si>
    <t>Independent Options Ltd</t>
  </si>
  <si>
    <t>https://www.theoptionsgroup.co.uk/</t>
  </si>
  <si>
    <t>Perspective (South West) Limited</t>
  </si>
  <si>
    <t>https://www.pfgl.co.uk/southwest</t>
  </si>
  <si>
    <t>Builth Wells Financial Planning Ltd</t>
  </si>
  <si>
    <t>UnaVida Wealth Management Ltd</t>
  </si>
  <si>
    <t>https://www.unavida.co.uk/</t>
  </si>
  <si>
    <t>Paragon Independent Limited</t>
  </si>
  <si>
    <t>https://www.paragon-ifa.co.uk/</t>
  </si>
  <si>
    <t>City Financial Planning Ltd</t>
  </si>
  <si>
    <t>https://www.cityfinancialplanning.co.uk/</t>
  </si>
  <si>
    <t>Worldwide Financial Planning Ltd</t>
  </si>
  <si>
    <t>https://www.wwfp.net/</t>
  </si>
  <si>
    <t>S.F.S. Investments Limited</t>
  </si>
  <si>
    <t>https://www.southernfs.co.uk/</t>
  </si>
  <si>
    <t>Acumen Financial Planning Limited</t>
  </si>
  <si>
    <t>https://www.acumenfp.com/</t>
  </si>
  <si>
    <t>https://www.acumenfp.com/about-us/our-financial-planning-fees/</t>
  </si>
  <si>
    <t>ACUMEN FINANCIAL PLANNING LIMITED filing history - Find and update company information - GOV.UK</t>
  </si>
  <si>
    <t>MPI Investments Limited</t>
  </si>
  <si>
    <t>www.mpi-investments.com</t>
  </si>
  <si>
    <t>Atwood Benefits UK Limited</t>
  </si>
  <si>
    <t>https://www.benefitsuk.com/</t>
  </si>
  <si>
    <t>Plantech Independent Limited</t>
  </si>
  <si>
    <t>https://www.plantech.co.uk/</t>
  </si>
  <si>
    <t>Nationwide Building Society</t>
  </si>
  <si>
    <t>https://www.nationwide.co.uk/</t>
  </si>
  <si>
    <t>Using Aegon financial advisor</t>
  </si>
  <si>
    <t>https://www.aegon.co.uk/content/dam/auk/assets/publication/marketing-support/afp-overview-of-charges.pdf</t>
  </si>
  <si>
    <t>+Digital – Fund Centre</t>
  </si>
  <si>
    <t>listed</t>
  </si>
  <si>
    <t>See Full accounts made up to 4 April 2024- income received is revenue</t>
  </si>
  <si>
    <t>New Oak Wealth Management Limited</t>
  </si>
  <si>
    <t>Origen Financial Services Limited</t>
  </si>
  <si>
    <t>https://www.origenfs.co.uk/</t>
  </si>
  <si>
    <t>Now houses Aegon financial advisor</t>
  </si>
  <si>
    <t>Select Account for 2024</t>
  </si>
  <si>
    <t>Metcalf Moat IFA Ltd</t>
  </si>
  <si>
    <t>https://www.metcalfmoat.co.uk/</t>
  </si>
  <si>
    <t>Timothy John Pollitt</t>
  </si>
  <si>
    <t>https://www.timjpollitt.co.uk/</t>
  </si>
  <si>
    <t>St Johns Asset Management Limited</t>
  </si>
  <si>
    <t>Cater Willis Limited</t>
  </si>
  <si>
    <t>Perspective (West) Limited</t>
  </si>
  <si>
    <t>https://www.pfgl.co.uk/west</t>
  </si>
  <si>
    <t>David Travers Financial Services</t>
  </si>
  <si>
    <t>Midland Financial Advisers Limited</t>
  </si>
  <si>
    <t>https://www.mfa-ifa.co.uk/</t>
  </si>
  <si>
    <t>Maxis Investments Ltd</t>
  </si>
  <si>
    <t>http://www.maxisinvestments.co.uk/</t>
  </si>
  <si>
    <t>Hagley Financial Planning Ltd</t>
  </si>
  <si>
    <t>https://www.hagleyfinancial.co.uk/</t>
  </si>
  <si>
    <t>IWP Financial Planning Limited</t>
  </si>
  <si>
    <t>Independent Wealth Planners FP Home | IWP Financial Planning</t>
  </si>
  <si>
    <t>Bruce &amp; Co Legal &amp; Financial Ltd</t>
  </si>
  <si>
    <t>www.bruce-ifa.co.uk</t>
  </si>
  <si>
    <t>Futures Assured Ltd</t>
  </si>
  <si>
    <t>www.futuresassured.co.uk</t>
  </si>
  <si>
    <t>Equilius Limited</t>
  </si>
  <si>
    <t>specialistpw.com</t>
  </si>
  <si>
    <t>Stewart IFA Ltd</t>
  </si>
  <si>
    <t>https://www.stewartifa.co.uk/</t>
  </si>
  <si>
    <t>Beatties Financial Services</t>
  </si>
  <si>
    <t>www.beattiesfs.co.uk</t>
  </si>
  <si>
    <t>Harrison Brown Financial Services Ltd</t>
  </si>
  <si>
    <t>https://www.harrisonbrown.co.uk/</t>
  </si>
  <si>
    <t>Communications Equity Associates International LLP</t>
  </si>
  <si>
    <t>www.ceaworldwide.com</t>
  </si>
  <si>
    <t>Gill Insurance &amp; Finance Consultants Ltd</t>
  </si>
  <si>
    <t>https://www.gillinsurance.co.uk/</t>
  </si>
  <si>
    <t>B McKernan &amp; Co Ltd</t>
  </si>
  <si>
    <t>Professional Assured Financial Services Limited</t>
  </si>
  <si>
    <t>www.birketts.co.uk</t>
  </si>
  <si>
    <t>Alan Reid Financial Services (NI) Ltd</t>
  </si>
  <si>
    <t>https://www.tonnerjohnsrattiltd.co.uk/</t>
  </si>
  <si>
    <t>Collingbourne Wealth Management Ltd</t>
  </si>
  <si>
    <t>https://www.collingbourne.com/</t>
  </si>
  <si>
    <t>Sykes Ihlenfeldt Limited</t>
  </si>
  <si>
    <t>https://www.si-financial.co.uk/</t>
  </si>
  <si>
    <t>Hilton Wordsworth Financial Services Ltd</t>
  </si>
  <si>
    <t>https://www.hiltonwfs.co.uk/</t>
  </si>
  <si>
    <t>Simple Financial Services Ltd</t>
  </si>
  <si>
    <t>https://www.simplefinancial.co.uk/</t>
  </si>
  <si>
    <t>Money Doctor Financial Planning Ltd</t>
  </si>
  <si>
    <t>www.moneydr.co.uk</t>
  </si>
  <si>
    <t>Butler Toll Ltd</t>
  </si>
  <si>
    <t>https://www.butlertoll.co.uk/</t>
  </si>
  <si>
    <t>Partners Wealth Management LLP</t>
  </si>
  <si>
    <t>www.partnerswealthmanagement.co.uk</t>
  </si>
  <si>
    <t>PJ Aiken Ltd</t>
  </si>
  <si>
    <t>Alpha Partnership (IFA) Ltd</t>
  </si>
  <si>
    <t>www.alphapartnershipifa.co.uk</t>
  </si>
  <si>
    <t>LGB &amp; CO. LIMITED</t>
  </si>
  <si>
    <t>www.lgbco.com</t>
  </si>
  <si>
    <t>Haven IFA Limited</t>
  </si>
  <si>
    <t>https://www.havenifa.co.uk/</t>
  </si>
  <si>
    <t>Wynford Davies &amp; Co</t>
  </si>
  <si>
    <t>The Devereux Partnership LLP</t>
  </si>
  <si>
    <t>https://www.tdpl.biz/</t>
  </si>
  <si>
    <t>Everlong Wealth Limited</t>
  </si>
  <si>
    <t>https://www.everlongwealth.co.uk/</t>
  </si>
  <si>
    <t>City House Investors Limited</t>
  </si>
  <si>
    <t>The Wealth Group Limited</t>
  </si>
  <si>
    <t>https://www.wealth-group.co.uk/</t>
  </si>
  <si>
    <t>David Ewens</t>
  </si>
  <si>
    <t>wwhe.co.uk</t>
  </si>
  <si>
    <t>Humphries IFA Ltd</t>
  </si>
  <si>
    <t>https://www.humphriesifa.co.uk/</t>
  </si>
  <si>
    <t>AM&amp;A Investment &amp; Pension Planning Ltd</t>
  </si>
  <si>
    <t>https://www.amaipp.com/</t>
  </si>
  <si>
    <t>DRB Associates Ltd</t>
  </si>
  <si>
    <t>https://www.poolhouseadvisers.co.uk/</t>
  </si>
  <si>
    <t>JPM Insurance Advisers Limited</t>
  </si>
  <si>
    <t>https://www.jpm-group.co.uk/</t>
  </si>
  <si>
    <t>insurance</t>
  </si>
  <si>
    <t>Insurance business not much advisers</t>
  </si>
  <si>
    <t>Financial Solutions Wales Ltd</t>
  </si>
  <si>
    <t>Stephen Ellis</t>
  </si>
  <si>
    <t>www.affinityfinance.co.uk</t>
  </si>
  <si>
    <t>https://www.affinityfinance.co.uk/CSA.pdf</t>
  </si>
  <si>
    <t>DATA Wealth Management LLP</t>
  </si>
  <si>
    <t>https://www.dwmllp.com/</t>
  </si>
  <si>
    <t>Pegasus Portfolio Planning LLP</t>
  </si>
  <si>
    <t>https://www.pegasuspp.co.uk/</t>
  </si>
  <si>
    <t>Mortgage Horizons Ltd</t>
  </si>
  <si>
    <t>https://www.pearsonia.co.uk/</t>
  </si>
  <si>
    <t>Barnett &amp; Partners Ltd</t>
  </si>
  <si>
    <t>Arena Investment Management Ltd</t>
  </si>
  <si>
    <t>www.ainv.co.uk</t>
  </si>
  <si>
    <t>https://www.ainv.co.uk/who-we-are/#our-fees</t>
  </si>
  <si>
    <t>The have discretionary management of investment for fee not available</t>
  </si>
  <si>
    <t>ARENA INVESTMENT MANAGEMENT LIMITED filing history - Find and update company information - GOV.UK</t>
  </si>
  <si>
    <t>Chase Integral Limited</t>
  </si>
  <si>
    <t>www.chaseintegral.co.uk</t>
  </si>
  <si>
    <t>Eastmills Limited</t>
  </si>
  <si>
    <t>https://www.eastmillsltd.co.uk/</t>
  </si>
  <si>
    <t>Bigmore Associates Limited</t>
  </si>
  <si>
    <t>https://www.bigmoreassociates.com/</t>
  </si>
  <si>
    <t>Lloyds Independent Financial Planning Limited</t>
  </si>
  <si>
    <t>https://www.lloydsifp.com/</t>
  </si>
  <si>
    <t>Murray Smith Financial Services Ltd</t>
  </si>
  <si>
    <t>https://www.murraysmith.com/</t>
  </si>
  <si>
    <t>North Laine Financial Management Limited</t>
  </si>
  <si>
    <t>https://www.nlfm.co.uk/</t>
  </si>
  <si>
    <t>Platinum Wealth Management Limited</t>
  </si>
  <si>
    <t>Prosser Knowles Associates Ltd</t>
  </si>
  <si>
    <t>https://www.pfgl.co.uk/prosserknowles</t>
  </si>
  <si>
    <t>Sterling Financial Advisers Limited</t>
  </si>
  <si>
    <t>www.sterlingfgl-ifa.co.uk</t>
  </si>
  <si>
    <t>Grosvenor Beaumont Financial Services Limited</t>
  </si>
  <si>
    <t>https://www.gbfinancial.co.uk/</t>
  </si>
  <si>
    <t>Roger Graham Sheppard</t>
  </si>
  <si>
    <t>www.sheppardfs.co.uk</t>
  </si>
  <si>
    <t>Allan Investment Management Ltd</t>
  </si>
  <si>
    <t>www.aim-ifa.co.uk</t>
  </si>
  <si>
    <t>Summerside Independent Ltd</t>
  </si>
  <si>
    <t>Europe Arab Bank plc</t>
  </si>
  <si>
    <t>www.eabplc.com</t>
  </si>
  <si>
    <t>Bluesky Wealth Management Limited</t>
  </si>
  <si>
    <t>Intrinsic Capital LLP</t>
  </si>
  <si>
    <t>www.intrinsic.london</t>
  </si>
  <si>
    <t>Clear IFA Limited</t>
  </si>
  <si>
    <t>https://www.clearifa.com/</t>
  </si>
  <si>
    <t>Brant Financial Ltd</t>
  </si>
  <si>
    <t>IFA Financial Services (UK) Limited</t>
  </si>
  <si>
    <t>www.ifaonline. net</t>
  </si>
  <si>
    <t>Independent Financial Advisor Ltd</t>
  </si>
  <si>
    <t>The BT Partnership</t>
  </si>
  <si>
    <t>Codex Capital Partners Limited</t>
  </si>
  <si>
    <t>https://www.codexcapitalpartners.com/</t>
  </si>
  <si>
    <t>UHY Financial Planning Limited</t>
  </si>
  <si>
    <t>HAMNETT WEALTH MANAGEMENT LIMITED</t>
  </si>
  <si>
    <t>www.hamnettwealth.com</t>
  </si>
  <si>
    <t>Hurst Financial Consultancy Limited</t>
  </si>
  <si>
    <t>https://www.unbiased-advice.co.uk/</t>
  </si>
  <si>
    <t>Brook-Dobson Brear Limited</t>
  </si>
  <si>
    <t>www.bdbfinancial.com</t>
  </si>
  <si>
    <t>Copperstone Financial Services Ltd</t>
  </si>
  <si>
    <t>www.copperstone-financial.co.uk</t>
  </si>
  <si>
    <t>Champion Financial Advisors Limited</t>
  </si>
  <si>
    <t>https://www.championfinancial.biz/</t>
  </si>
  <si>
    <t>Yellowtail Financial Planning Ltd</t>
  </si>
  <si>
    <t>www.yellowtail.co.uk</t>
  </si>
  <si>
    <t>Brampton Financial Management Ltd</t>
  </si>
  <si>
    <t>https://www.bramptonfinancialmanagement.co.uk/</t>
  </si>
  <si>
    <t>Moore and Smalley LLP</t>
  </si>
  <si>
    <t>www.mooreandsmalleyllp.co.uk/</t>
  </si>
  <si>
    <t>Taylor &amp; Taylor Financial Services Ltd</t>
  </si>
  <si>
    <t>Lancashire Financial Services Limited</t>
  </si>
  <si>
    <t>https://www.lancashirefsltd.co.uk/</t>
  </si>
  <si>
    <t>Azets Wealth Management Limited</t>
  </si>
  <si>
    <t>https://www.azetswealthmanagement.co.uk/</t>
  </si>
  <si>
    <t>Charterhouse Financial Planning Limited</t>
  </si>
  <si>
    <t>https://www.charterhousefp.com/</t>
  </si>
  <si>
    <t>Merlin Partners LLP</t>
  </si>
  <si>
    <t>www.merlinpartnersllp.com</t>
  </si>
  <si>
    <t>Gravel Hill Wealth Management LLP</t>
  </si>
  <si>
    <t>www.gravelhillwm.co.uk</t>
  </si>
  <si>
    <t>Darren Hall</t>
  </si>
  <si>
    <t>I F S (SP) Limited</t>
  </si>
  <si>
    <t>www.ifs-sp.com</t>
  </si>
  <si>
    <t>IMC Financial Services Ltd</t>
  </si>
  <si>
    <t>https://www.imcfs.co.uk/</t>
  </si>
  <si>
    <t>Integrity Financial Management Ltd</t>
  </si>
  <si>
    <t>https://www.aabwealth.uk/</t>
  </si>
  <si>
    <t>Steven Martin &amp; Associates Ltd</t>
  </si>
  <si>
    <t>Glenwin Hardy Limited</t>
  </si>
  <si>
    <t>Pello Capital Limited</t>
  </si>
  <si>
    <t>In default</t>
  </si>
  <si>
    <t>Supportive Financial Planning Limited</t>
  </si>
  <si>
    <t>supportivefinancialplanning.co.uk</t>
  </si>
  <si>
    <t>Robert Nicholas Financial Advisers Ltd</t>
  </si>
  <si>
    <t>www.robertnicholas.co.uk</t>
  </si>
  <si>
    <t>Goodwill Financial Services Limited</t>
  </si>
  <si>
    <t>www.goodwill.co.uk</t>
  </si>
  <si>
    <t>Acumen Financial Partnership Limited</t>
  </si>
  <si>
    <t>https://www.acumenfinancial.co.uk/</t>
  </si>
  <si>
    <t>Hunter Hammond Daniel Associates Limited</t>
  </si>
  <si>
    <t>https://www.hhda.co.uk/</t>
  </si>
  <si>
    <t>www.addingvalue4u.com Limited</t>
  </si>
  <si>
    <t>https://www.addingvalue4u.com/</t>
  </si>
  <si>
    <t>Park Financial Limited</t>
  </si>
  <si>
    <t>www.parkfinancial.co.uk</t>
  </si>
  <si>
    <t>Thomas, Carroll Independent Financial Advisers Limited</t>
  </si>
  <si>
    <t>https://www.thomascarroll.co.uk/</t>
  </si>
  <si>
    <t>Romilly Associates IFA Limited</t>
  </si>
  <si>
    <t>https://www.romillyifa.com/</t>
  </si>
  <si>
    <t>Â£20,000</t>
  </si>
  <si>
    <t>Peacock Financial Management Ltd</t>
  </si>
  <si>
    <t>https://www.pfm-ltd.com/</t>
  </si>
  <si>
    <t>Wayne Austin IFA Ltd</t>
  </si>
  <si>
    <t>www.wayneaustinifa.com</t>
  </si>
  <si>
    <t>Capital Advisory Partners Ltd</t>
  </si>
  <si>
    <t>www.capital - advisory.com</t>
  </si>
  <si>
    <t>Neal and Co Financial Services Ltd</t>
  </si>
  <si>
    <t>AXG Advice Ltd</t>
  </si>
  <si>
    <t>Chancellor Financial Management Ltd</t>
  </si>
  <si>
    <t>Cochran Dickie &amp; MacKenzie Limited</t>
  </si>
  <si>
    <t>Fensham Howes Limited</t>
  </si>
  <si>
    <t>www.fenshamhowes.com</t>
  </si>
  <si>
    <t>Stephanie Amber Croft</t>
  </si>
  <si>
    <t>Odey Wealth Management (UK) Limited</t>
  </si>
  <si>
    <t>BOWER RETIREMENT LIMITED</t>
  </si>
  <si>
    <t>https://www.bowerhomefinance.co.uk/</t>
  </si>
  <si>
    <t>The Exeter Practice Limited</t>
  </si>
  <si>
    <t>www.boulterbowen.co.uk</t>
  </si>
  <si>
    <t>Zenith Bank (UK) Limited</t>
  </si>
  <si>
    <t>www.zenith - bank.co.uk</t>
  </si>
  <si>
    <t>Reef Financial Limited</t>
  </si>
  <si>
    <t>https://www.reef-financial.co.uk/</t>
  </si>
  <si>
    <t>Darwins IFA Limited</t>
  </si>
  <si>
    <t>www.darwins.co.uk</t>
  </si>
  <si>
    <t>Belmayne Independent Financial Services LLP</t>
  </si>
  <si>
    <t>https://www.belmayne-ifa.com/</t>
  </si>
  <si>
    <t>https://www.belmayne-ifa.com/fees/</t>
  </si>
  <si>
    <t>BELMAYNE INDEPENDENT FINANCIAL SERVICES LLP filing history - Find and update company information - GOV.UK</t>
  </si>
  <si>
    <t>Sean McCabe (Financial Adviser) Limited</t>
  </si>
  <si>
    <t>https://www.seanmccabe.co.uk/</t>
  </si>
  <si>
    <t>Belmont Associates Limited</t>
  </si>
  <si>
    <t>www.belmontassociates.co.uk</t>
  </si>
  <si>
    <t>https://www.belmontassociates.co.uk/Resource/Services%20Costs.pdf</t>
  </si>
  <si>
    <t>BELMONT ASSOCIATES LIMITED filing history - Find and update company information - GOV.UK</t>
  </si>
  <si>
    <t>Best Practice IFA Group Limited</t>
  </si>
  <si>
    <t>https://www.bestpractice.co.uk/</t>
  </si>
  <si>
    <t xml:space="preserve">Now under benchmark capital </t>
  </si>
  <si>
    <t>https://www.benchmarkcapital.co.uk/en-gb/uk/individual/process-and-costs/</t>
  </si>
  <si>
    <t>BEST PRACTICE IFA GROUP LIMITED filing history - Find and update company information - GOV.UK</t>
  </si>
  <si>
    <t>Libra Financial Planning Limited</t>
  </si>
  <si>
    <t>https://www.librafinancialplanning.co.uk/</t>
  </si>
  <si>
    <t>Treasurer Wealth Management LLP</t>
  </si>
  <si>
    <t>Newquay Mortgage &amp; Pensions Limited</t>
  </si>
  <si>
    <t>https://www.nmandp.co.uk/</t>
  </si>
  <si>
    <t>National Friendly Financial Solutions Limited</t>
  </si>
  <si>
    <t>www.nffs.co.uk</t>
  </si>
  <si>
    <t>Hulbert West Limited</t>
  </si>
  <si>
    <t>www.hulbertwestltd.co.uk</t>
  </si>
  <si>
    <t>Prosper Capital LLP</t>
  </si>
  <si>
    <t>https://www.prospercapital.co.uk/</t>
  </si>
  <si>
    <t>MFS Limited</t>
  </si>
  <si>
    <t>https://www.mfs-limited.co.uk/</t>
  </si>
  <si>
    <t>Ace Financial Advisers Limited</t>
  </si>
  <si>
    <t>https://www.aceadvisers.co.uk/</t>
  </si>
  <si>
    <t>Peter A Sudlow Certified Financial Planner</t>
  </si>
  <si>
    <t>www.sapienterwm.london</t>
  </si>
  <si>
    <t>Evolution Wealth  Network Ltd</t>
  </si>
  <si>
    <t>https://www.evowealth.co.uk/</t>
  </si>
  <si>
    <t>Now Benchmarkcapital</t>
  </si>
  <si>
    <t>EVOLUTION WEALTH PLANNING LIMITED filing history - Find and update company information - GOV.UK</t>
  </si>
  <si>
    <t>Singer Capital Markets Securities Ltd</t>
  </si>
  <si>
    <t>www.singercm.com</t>
  </si>
  <si>
    <t>Hay Hill Wealth Management Limited</t>
  </si>
  <si>
    <t>www.hayhillwealth.com</t>
  </si>
  <si>
    <t>Christison and Rowland LLP</t>
  </si>
  <si>
    <t>Essex Financial Planners UK Ltd</t>
  </si>
  <si>
    <t>https://www.essexfp.com/</t>
  </si>
  <si>
    <t>Charterhouse Independent Financial Advisors LLP</t>
  </si>
  <si>
    <t>charterhouseifallp.com</t>
  </si>
  <si>
    <t>Fletcher Davies Limited</t>
  </si>
  <si>
    <t>Kingswood Law IFA Limited</t>
  </si>
  <si>
    <t>https://www.kingswoodlawifa.com/</t>
  </si>
  <si>
    <t>Premier Financial Ltd</t>
  </si>
  <si>
    <t>www.premierfinancialltd.co.uk</t>
  </si>
  <si>
    <t>Aveton Gifford Associates Limited</t>
  </si>
  <si>
    <t>Hanlon Kneller and Associates LLP</t>
  </si>
  <si>
    <t>Howard Muir Associates LLP</t>
  </si>
  <si>
    <t>https://www.investmentcompanion.com/</t>
  </si>
  <si>
    <t>Mortgage Pensions &amp; Investments LLP</t>
  </si>
  <si>
    <t>https://www.mpillp.co.uk/</t>
  </si>
  <si>
    <t>NVS Financial Planning</t>
  </si>
  <si>
    <t>Smith Weale Associates LLP</t>
  </si>
  <si>
    <t>https://www.smithweale.co.uk/</t>
  </si>
  <si>
    <t>CAPITAL MANAGEMENT CFP LTD</t>
  </si>
  <si>
    <t>www.capitalmanagement.co.uk</t>
  </si>
  <si>
    <t>1st Financial Services (London) Limited</t>
  </si>
  <si>
    <t>www. 1 stff.co.uk</t>
  </si>
  <si>
    <t>Strata Financial Resourcing Ltd</t>
  </si>
  <si>
    <t>www.stratafinancial.co.uk</t>
  </si>
  <si>
    <t>MRIB Limited</t>
  </si>
  <si>
    <t>https://www.integrity365.co.uk/</t>
  </si>
  <si>
    <t>SBN Advisors Limited</t>
  </si>
  <si>
    <t>https://www.sbnwm.com/</t>
  </si>
  <si>
    <t>Waterside Wealth Management Limited</t>
  </si>
  <si>
    <t>https://www.watersidewealth.co.uk/</t>
  </si>
  <si>
    <t>BLG Wealth Limited</t>
  </si>
  <si>
    <t>www.blgwealth.com</t>
  </si>
  <si>
    <t>https://www.blgwealth.com/wp-content/uploads/2023/07/Glossary-of-Terms-for-Consumers-2.pdf</t>
  </si>
  <si>
    <t>BLG WEALTH LTD filing history - Find and update company information - GOV.UK</t>
  </si>
  <si>
    <t>Stonehouse Financial Services Ltd</t>
  </si>
  <si>
    <t>Creative Advice Limited</t>
  </si>
  <si>
    <t>GMP Independent Financial Advisers LLP</t>
  </si>
  <si>
    <t>www.gmpifa.co.uk</t>
  </si>
  <si>
    <t>Paradigm Norton Financial Planning Ltd</t>
  </si>
  <si>
    <t>www.paradigmnorton.co.uk</t>
  </si>
  <si>
    <t>Briggs Fiscal Limited</t>
  </si>
  <si>
    <t>Finance Matters (NI) Limited</t>
  </si>
  <si>
    <t>http://www.financemattersni.co.uk/</t>
  </si>
  <si>
    <t>Eaton Financial Services Ltd</t>
  </si>
  <si>
    <t>Axiom Financial Services Ltd</t>
  </si>
  <si>
    <t>Mercury Wealth Management Limited</t>
  </si>
  <si>
    <t>https://www.mercurywealth.co.uk/</t>
  </si>
  <si>
    <t>Andrew Clements Partnership Limited</t>
  </si>
  <si>
    <t>Anglo-Celtic Financial Consultants Ltd.</t>
  </si>
  <si>
    <t>www.anglo-celtic.co.uk</t>
  </si>
  <si>
    <t>Riverpark Investment &amp; Financial Consultants Limited</t>
  </si>
  <si>
    <t>https://www.riverparkifa.com/</t>
  </si>
  <si>
    <t>Carter Pearl Limited</t>
  </si>
  <si>
    <t>https://www.carterpearl.co.uk/</t>
  </si>
  <si>
    <t>https://www.carterpearl.co.uk/information/services-costs/</t>
  </si>
  <si>
    <t>CARTER PEARL LIMITED filing history - Find and update company information - GOV.UK</t>
  </si>
  <si>
    <t>HUB Financial Solutions Limited</t>
  </si>
  <si>
    <t>https://www.hubfinancialsolutions.co.uk/</t>
  </si>
  <si>
    <t>Suttons Independent Financial Advisers Limited</t>
  </si>
  <si>
    <t>https://www.suttonsifa.co.uk/</t>
  </si>
  <si>
    <t>Kingswood Financial Advisors</t>
  </si>
  <si>
    <t>Baker Jenness Financial Management</t>
  </si>
  <si>
    <t>Aubrey Capital Management Limited</t>
  </si>
  <si>
    <t>https://www.aubreycm.co.uk/</t>
  </si>
  <si>
    <t>GEE 7 WEALTH MANAGEMENT LIMITED</t>
  </si>
  <si>
    <t>https://www.gee7.co.uk/</t>
  </si>
  <si>
    <t>Fletcher Associates Financial Services Limited</t>
  </si>
  <si>
    <t>https://www.fletcherfs.com/</t>
  </si>
  <si>
    <t>Kirk Newsholme Financial Planning Limited</t>
  </si>
  <si>
    <t>www.knfp.co.uk</t>
  </si>
  <si>
    <t>In2 Planning Limited</t>
  </si>
  <si>
    <t>www.in 2 planning.co.uk</t>
  </si>
  <si>
    <t>Aspire Wealth Management Limited</t>
  </si>
  <si>
    <t>https://www.aspireifa.co.uk/</t>
  </si>
  <si>
    <t>Newman Cozens Ltd</t>
  </si>
  <si>
    <t>https://www.newcoz.co.uk/</t>
  </si>
  <si>
    <t>Elevation Wealth Management Ltd</t>
  </si>
  <si>
    <t>http://www.elevation-wm.co.uk/</t>
  </si>
  <si>
    <t>Blue Ocean Investment Company Limited</t>
  </si>
  <si>
    <t>https://www.blueoceanfp.co.uk/</t>
  </si>
  <si>
    <t>Foxbridge Independent Financial Solutions Limited</t>
  </si>
  <si>
    <t>www.foxbridgeifs.co.uk</t>
  </si>
  <si>
    <t>Everard Investment Planning Ltd</t>
  </si>
  <si>
    <t>https://www.everardifa.co.uk/</t>
  </si>
  <si>
    <t>KRD Financial Advisers Limited</t>
  </si>
  <si>
    <t>https://www.krdfa.com/</t>
  </si>
  <si>
    <t>Cockburn Lucas Independent Financial Consulting Limited</t>
  </si>
  <si>
    <t>www.cockburnlucas.co.uk</t>
  </si>
  <si>
    <t>https://www.cockburnlucas.co.uk/our-fees/</t>
  </si>
  <si>
    <t>COCKBURN LUCAS INDEPENDENT FINANCIAL CONSULTING LIMITED filing history - Find and update company information - GOV.UK</t>
  </si>
  <si>
    <t>RJH Mortgage and Financial Services Limited</t>
  </si>
  <si>
    <t>Chilvester Limited</t>
  </si>
  <si>
    <t>https://www.chilvester.co.uk/</t>
  </si>
  <si>
    <t>Novum Securities Limited</t>
  </si>
  <si>
    <t>www.albrcapital.com</t>
  </si>
  <si>
    <t>MVA Holdings Ltd</t>
  </si>
  <si>
    <t>https://www.mcgarrie-vahey.co.uk/</t>
  </si>
  <si>
    <t>CopperHouse Financial Limited</t>
  </si>
  <si>
    <t>https://www.copperhousefinancial.co.uk/</t>
  </si>
  <si>
    <t>https://www.copperhousefinancial.co.uk/wp-content/uploads/2021/01/Client-Agreement-1st-January-2021.pdf</t>
  </si>
  <si>
    <t>COPPERHOUSE FINANCIAL LIMITED filing history - Find and update company information - GOV.UK</t>
  </si>
  <si>
    <t>Eastgate Financial Services (Exeter) Limited</t>
  </si>
  <si>
    <t>Coton Financial Management Ltd</t>
  </si>
  <si>
    <t>www.cotonfinancial.co.uk</t>
  </si>
  <si>
    <t>https://www.cotonfinancial.co.uk/howpaid.php</t>
  </si>
  <si>
    <t>COTON FINANCIAL MANAGEMENT LIMITED filing history - Find and update company information - GOV.UK</t>
  </si>
  <si>
    <t>Carter Dawes IFA Solutions Limited</t>
  </si>
  <si>
    <t>https://www.carterdawes.com/</t>
  </si>
  <si>
    <t>Home Financial Consultants Limited</t>
  </si>
  <si>
    <t>https://www.hfcifa.co.uk/</t>
  </si>
  <si>
    <t>BAKER FINANCIAL PLANNING LTD</t>
  </si>
  <si>
    <t>Laurence Anthony Associates</t>
  </si>
  <si>
    <t>https://www.laurenceanthony.co.uk/</t>
  </si>
  <si>
    <t>Affinity Financial Advisors Ltd</t>
  </si>
  <si>
    <t>https://www.ifa-affinity.co.uk/</t>
  </si>
  <si>
    <t>Roxborough Wealth Management Limited</t>
  </si>
  <si>
    <t>https://www.roxborough.uk.com/</t>
  </si>
  <si>
    <t>Alan Robinson</t>
  </si>
  <si>
    <t>Legal &amp; Financial Planning Limited</t>
  </si>
  <si>
    <t>R H Financial Limited</t>
  </si>
  <si>
    <t>Tower House Financial Management Limited</t>
  </si>
  <si>
    <t>MSL Independent Financial Advisers Limited</t>
  </si>
  <si>
    <t>www.mslifa.com</t>
  </si>
  <si>
    <t>Fairstone Private Wealth Limited</t>
  </si>
  <si>
    <t>https://www.fairstone.co.uk/private-wealth</t>
  </si>
  <si>
    <t>Fairstone introduces new streamlined client proposition - Fairstone</t>
  </si>
  <si>
    <t>Akshar Financial Services Ltd</t>
  </si>
  <si>
    <t>Tacconis Advisors &amp; Co LLP</t>
  </si>
  <si>
    <t>https://www.tacpartners.com/</t>
  </si>
  <si>
    <t>RBS Associates</t>
  </si>
  <si>
    <t>https://www.rbsassociates.co.uk/</t>
  </si>
  <si>
    <t>CMD Independent Financial Advisers Limited</t>
  </si>
  <si>
    <t>Element Hinton Ltd</t>
  </si>
  <si>
    <t>https://www.elementhintonltd.co.uk/</t>
  </si>
  <si>
    <t>PSC UK INSURANCE BROKERS LIMITED</t>
  </si>
  <si>
    <t>www.pscinsurance.co.uk</t>
  </si>
  <si>
    <t>Allsopp Financial Management Limited</t>
  </si>
  <si>
    <t>www.allsoppfinancial.co.uk</t>
  </si>
  <si>
    <t>Sophex Limited</t>
  </si>
  <si>
    <t>www.lifetimefinancialsolutions.co.uk</t>
  </si>
  <si>
    <t>Wealth Experts Ltd</t>
  </si>
  <si>
    <t>https://www.pfgl.co.uk/wealth-experts</t>
  </si>
  <si>
    <t>Calver Groom Limited</t>
  </si>
  <si>
    <t>https://www.calvergroom.co.uk/</t>
  </si>
  <si>
    <t>Create Wealth Management Ltd</t>
  </si>
  <si>
    <t>www.createwealth.co.uk</t>
  </si>
  <si>
    <t>https://www.createwealth.co.uk/about/fees/</t>
  </si>
  <si>
    <t>CREATE WEALTH MANAGEMENT LTD filing history - Find and update company information - GOV.UK</t>
  </si>
  <si>
    <t>Eldon Financial Planning Ltd</t>
  </si>
  <si>
    <t>https://www.eldonfinancial.co.uk/</t>
  </si>
  <si>
    <t>https://www.eldonfinancial.co.uk/fees/</t>
  </si>
  <si>
    <t>ELDON FINANCIAL PLANNING LIMITED filing history - Find and update company information - GOV.UK</t>
  </si>
  <si>
    <t>Allied Financial Services Ltd</t>
  </si>
  <si>
    <t>https://www.alliedfs.co.uk/</t>
  </si>
  <si>
    <t>Hugh Pearson-Gregory</t>
  </si>
  <si>
    <t>Oakley Independent Ltd</t>
  </si>
  <si>
    <t>Westcourt Financial Services Limited</t>
  </si>
  <si>
    <t>www.westcourt 4 advice.com</t>
  </si>
  <si>
    <t>LWM10 LTD</t>
  </si>
  <si>
    <t>(SMT) Money Matters Limited</t>
  </si>
  <si>
    <t>https://www.smtmoneymatters.co.uk/</t>
  </si>
  <si>
    <t>Hassium Asset Management LLP</t>
  </si>
  <si>
    <t>www.hassium.co.uk</t>
  </si>
  <si>
    <t>David S Lowe Financial Management</t>
  </si>
  <si>
    <t>https://www.davidslowe.co.uk/</t>
  </si>
  <si>
    <t>B &amp; M Harrison Limited</t>
  </si>
  <si>
    <t>https://www.bandmharrison.co.uk/</t>
  </si>
  <si>
    <t>Holborn Financial Limited</t>
  </si>
  <si>
    <t>Hearnden Associates Limited</t>
  </si>
  <si>
    <t>https://www.hearndenassociates.co.uk/</t>
  </si>
  <si>
    <t>Chase St James Private Clients Limited</t>
  </si>
  <si>
    <t>Manning &amp; Company (South West) Ltd</t>
  </si>
  <si>
    <t>https://www.manningandco.co.uk/</t>
  </si>
  <si>
    <t>James Murray Associates Limited</t>
  </si>
  <si>
    <t>https://www.jmurray.co.uk/</t>
  </si>
  <si>
    <t>Ian Blessed &amp; Co Independent Financial Consultants Ltd</t>
  </si>
  <si>
    <t>https://www.ianblessed.co.uk/</t>
  </si>
  <si>
    <t>Insight Financial Associates Limited</t>
  </si>
  <si>
    <t>https://www.insightifa.com/</t>
  </si>
  <si>
    <t>Tony Rogers Financial Management Limited</t>
  </si>
  <si>
    <t>https://www.tonyrogersifa.com/</t>
  </si>
  <si>
    <t>Tailormade Financial Services Limited</t>
  </si>
  <si>
    <t>https://www.cliftonwealthpartnership.co.uk/client/tailormade-financial-services. html</t>
  </si>
  <si>
    <t>Mitchell Griffin Wealth Management Limited</t>
  </si>
  <si>
    <t>https://www.mitchellgriffin.co.uk/</t>
  </si>
  <si>
    <t>Lockhart Consultancy Ltd</t>
  </si>
  <si>
    <t>https://www.lockhartconsultancy.co.uk/</t>
  </si>
  <si>
    <t>Jonathan Davis Wealth Management Ltd</t>
  </si>
  <si>
    <t>https://www.jonathandaviswm.com/</t>
  </si>
  <si>
    <t>MWS Financial Advisers Limited</t>
  </si>
  <si>
    <t>www.mwsfa.co.uk</t>
  </si>
  <si>
    <t>Corin Berry Associates Limited</t>
  </si>
  <si>
    <t>https://www.corinberryassociates.com/</t>
  </si>
  <si>
    <t>Robson Laidler Financial Planning Limited</t>
  </si>
  <si>
    <t>www.robson-laidler.co.uk/wealth</t>
  </si>
  <si>
    <t>Gemini Wealth Management Limited</t>
  </si>
  <si>
    <t>www.geminiwealthgroup.com</t>
  </si>
  <si>
    <t>Ives &amp; Co Financial Services Limited</t>
  </si>
  <si>
    <t>Master Adviser CFP Limited</t>
  </si>
  <si>
    <t>Prosperity Wealth Management Limited</t>
  </si>
  <si>
    <t>www.prosperitywml.co.uk</t>
  </si>
  <si>
    <t>Castell Cyf</t>
  </si>
  <si>
    <t>https://www.castellcyf.co.uk/</t>
  </si>
  <si>
    <t>IFP Associates Limited</t>
  </si>
  <si>
    <t>www.ifpassociates.co.uk</t>
  </si>
  <si>
    <t>Sandringham Financial Management</t>
  </si>
  <si>
    <t>Blackstone Moregate Limited</t>
  </si>
  <si>
    <t>www.blackstonemoregate.com</t>
  </si>
  <si>
    <t>Graham Bacon Financial Solutions Limited</t>
  </si>
  <si>
    <t>XPAT Limited</t>
  </si>
  <si>
    <t>www.pensionexchange.co.uk</t>
  </si>
  <si>
    <t>Blowfish Financial Services Limited</t>
  </si>
  <si>
    <t>www.blowfish-fs.co.uk</t>
  </si>
  <si>
    <t>PM&amp;M Financial Planning Ltd</t>
  </si>
  <si>
    <t>https://www.pmm.co.uk/</t>
  </si>
  <si>
    <t>Starkey Financial Planning Limited</t>
  </si>
  <si>
    <t>www.starkeyfinancialplanning.co.uk</t>
  </si>
  <si>
    <t>R T Financial Services UK Limited</t>
  </si>
  <si>
    <t>www.rtfsl.com</t>
  </si>
  <si>
    <t>Estate Capital Financial Management Limited</t>
  </si>
  <si>
    <t>www.estatecapital.co.uk</t>
  </si>
  <si>
    <t>https://www.estatecapital.co.uk/financial-charges/</t>
  </si>
  <si>
    <t>ESTATE CAPITAL FINANCIAL MANAGEMENT LIMITED filing history - Find and update company information - GOV.UK</t>
  </si>
  <si>
    <t>Pension &amp; Investment Partners LLP</t>
  </si>
  <si>
    <t>www.pipllp.co.uk</t>
  </si>
  <si>
    <t>Deane Andrew Cross</t>
  </si>
  <si>
    <t>https://www.crossfm.co.uk/</t>
  </si>
  <si>
    <t>Primavera Financial Partners LLP</t>
  </si>
  <si>
    <t>https://www.primaverafp.com/</t>
  </si>
  <si>
    <t>Tudor Financial Options Ltd</t>
  </si>
  <si>
    <t>https://www.t-fo.co.uk/</t>
  </si>
  <si>
    <t>Philip Roberts</t>
  </si>
  <si>
    <t>Questa Financial Services Ltd</t>
  </si>
  <si>
    <t>Divitiae Limited</t>
  </si>
  <si>
    <t>https://www.dca-fp.co.uk/</t>
  </si>
  <si>
    <t>Walpole Financial Ltd</t>
  </si>
  <si>
    <t>https://www.johnsoncrilly.co.uk/</t>
  </si>
  <si>
    <t>M.A.G. Financial Services Limited</t>
  </si>
  <si>
    <t>Michael Eaton</t>
  </si>
  <si>
    <t>Mulberry Independent Financial Advisers Ltd</t>
  </si>
  <si>
    <t>Pelier Financial Limited</t>
  </si>
  <si>
    <t>www.pelier.co.uk</t>
  </si>
  <si>
    <t>Essential Financial Advisers LLP</t>
  </si>
  <si>
    <t>www.essential-fa.com</t>
  </si>
  <si>
    <t>Trafalgar Financial Advisers</t>
  </si>
  <si>
    <t>Derek A Forsythe Financial Advisors Ltd</t>
  </si>
  <si>
    <t>Mitchell and Kane Independent Financial Advisers Ltd</t>
  </si>
  <si>
    <t>Ingard Independent Financial Management LLP</t>
  </si>
  <si>
    <t>https://www.ingardifm.co.uk/</t>
  </si>
  <si>
    <t>Man Fai Lau</t>
  </si>
  <si>
    <t>City Financial Planning (Exeter) Limited</t>
  </si>
  <si>
    <t>www.cityfinancialplanningexeter.co.uk</t>
  </si>
  <si>
    <t>Kelvin Jenkins</t>
  </si>
  <si>
    <t>Steven Ibbotson</t>
  </si>
  <si>
    <t>MWA FINANCIAL ADVICE LTD</t>
  </si>
  <si>
    <t>https://www.mwafinancialadvice.co.uk/</t>
  </si>
  <si>
    <t>New Leaf Distribution Limited</t>
  </si>
  <si>
    <t>https://www.newleafdistribution.co.uk/</t>
  </si>
  <si>
    <t>Financial Planning Objectives Limited</t>
  </si>
  <si>
    <t>https://www.finplan.co.uk/</t>
  </si>
  <si>
    <t>Independent Professional Investments Limited</t>
  </si>
  <si>
    <t>Evelyn Partners Securities</t>
  </si>
  <si>
    <t>evelyn.com</t>
  </si>
  <si>
    <t>This is the security arm but they have large number of financial advisers as well</t>
  </si>
  <si>
    <t>https://www.evelyn.com/fees-charges/</t>
  </si>
  <si>
    <t>G1OB_UnitedKingdom_EN-GB.pdf</t>
  </si>
  <si>
    <t>Select Full accounts made up to 31 December 2024</t>
  </si>
  <si>
    <t>Progressive Strategic Solutions LLP</t>
  </si>
  <si>
    <t>https://www.progressive-llp.com/</t>
  </si>
  <si>
    <t>LFS &amp; Partners Limited</t>
  </si>
  <si>
    <t>Prospero Wealth Management Services LLP</t>
  </si>
  <si>
    <t>Barry Fenton Independent Financial Advisers Ltd</t>
  </si>
  <si>
    <t>https://www.barryfentonifa.co.uk/</t>
  </si>
  <si>
    <t>DOL Solutions</t>
  </si>
  <si>
    <t>https://www.dolsolutions.co.uk/</t>
  </si>
  <si>
    <t>Isio Wealth Planning Limited</t>
  </si>
  <si>
    <t>Financial advisers - Isio</t>
  </si>
  <si>
    <t>%</t>
  </si>
  <si>
    <t>Corfields (UK) Limited</t>
  </si>
  <si>
    <t>https://www.corfieldswm.co.uk/</t>
  </si>
  <si>
    <t>Demelza Financial Planning Limited</t>
  </si>
  <si>
    <t>https://www.thedemelzagroup.co.uk/</t>
  </si>
  <si>
    <t>Inspire Wealth Ltd</t>
  </si>
  <si>
    <t>www.inspire-wealth.co.uk</t>
  </si>
  <si>
    <t>Dentons Pension Management Limited</t>
  </si>
  <si>
    <t>Castle Financial LLP</t>
  </si>
  <si>
    <t>https://www.castlefinancial.co.uk/</t>
  </si>
  <si>
    <t>Northern Star Financial Management Limited</t>
  </si>
  <si>
    <t>https://www.northernstarifa.co.uk/</t>
  </si>
  <si>
    <t>2 Plan Wealth Management Limited</t>
  </si>
  <si>
    <t>www. 2 plan.com</t>
  </si>
  <si>
    <t>Farley &amp; Thompson LLP</t>
  </si>
  <si>
    <t>https://www.farleyandthompson.co.uk/</t>
  </si>
  <si>
    <t>Robinson Sterling NYC Financial Services LLP</t>
  </si>
  <si>
    <t>https://www.rsnyc.co.uk/</t>
  </si>
  <si>
    <t>Strabens Hall Ltd</t>
  </si>
  <si>
    <t>Tavira Financial Limited</t>
  </si>
  <si>
    <t>HFS Milbourne Financial Services Limited</t>
  </si>
  <si>
    <t>hfsmilbourne.co.uk/</t>
  </si>
  <si>
    <t>Now part of Evelyn financial planning business</t>
  </si>
  <si>
    <t>https://find-and-update.company-information.service.gov.uk/company/02061008/filing-history</t>
  </si>
  <si>
    <t>Money Adviser LLP</t>
  </si>
  <si>
    <t>Attivo Financial Services Limited</t>
  </si>
  <si>
    <t>John Fachiri Ltd</t>
  </si>
  <si>
    <t>https://www.johnfachiri.com/</t>
  </si>
  <si>
    <t>Ardent IFA Limited</t>
  </si>
  <si>
    <t>www.ardentuk.com</t>
  </si>
  <si>
    <t>Page offline</t>
  </si>
  <si>
    <t>Robertson Baxter Limited</t>
  </si>
  <si>
    <t>Investax Management LLP</t>
  </si>
  <si>
    <t>Mackenzie Taylor Wealth Management Limited</t>
  </si>
  <si>
    <t>David Ducker Associates Ltd</t>
  </si>
  <si>
    <t>www.davidducker.co.uk</t>
  </si>
  <si>
    <t>Thornton &amp; Baines Independent Financial Advisers Limited</t>
  </si>
  <si>
    <t>www.tabifa.com</t>
  </si>
  <si>
    <t>Bromige Limited</t>
  </si>
  <si>
    <t>https://www.bromige.co.uk/</t>
  </si>
  <si>
    <t>Charterhouse Estate Planning And Investment Services Limited</t>
  </si>
  <si>
    <t>Windmill Financial Services Ltd</t>
  </si>
  <si>
    <t>https://www.windmillfs.co.uk/</t>
  </si>
  <si>
    <t>Dukes Financial Planning LLP</t>
  </si>
  <si>
    <t>https://www.dukesfinancialplanning.co.uk/</t>
  </si>
  <si>
    <t>Andrews Gwynne LLP</t>
  </si>
  <si>
    <t>Foster Denovo Limited</t>
  </si>
  <si>
    <t>www.fosterdenovo.com</t>
  </si>
  <si>
    <t>Investment &amp; Mortgage Options Scotland Ltd</t>
  </si>
  <si>
    <t>Asset Investment Management Ltd</t>
  </si>
  <si>
    <t>www.asset-im.co.uk</t>
  </si>
  <si>
    <t>Clear Financial Advice Ltd</t>
  </si>
  <si>
    <t>https://www.clearfinancialadvice.co.uk/</t>
  </si>
  <si>
    <t>H.L. Financial Limited</t>
  </si>
  <si>
    <t>https://www.hlfinancial.co.uk/</t>
  </si>
  <si>
    <t>Bateman Asset Management Ltd</t>
  </si>
  <si>
    <t>https://www.bateman-group.co.uk/</t>
  </si>
  <si>
    <t>Optimal Planning Ltd</t>
  </si>
  <si>
    <t>https://www.optimalplanning.co.uk/</t>
  </si>
  <si>
    <t>Evelyn Partners Investment Services Limited</t>
  </si>
  <si>
    <t>FMS Sevenoaks LLP</t>
  </si>
  <si>
    <t>https://www.fms-sevenoaks.co.uk/</t>
  </si>
  <si>
    <t>Pavey Group Financial Services Limited</t>
  </si>
  <si>
    <t>https://www.paveygroupfs.co.uk/</t>
  </si>
  <si>
    <t>Mills &amp; Spenceley Limited</t>
  </si>
  <si>
    <t>A D Shah Financial Limited</t>
  </si>
  <si>
    <t>Whitehill Financial Management Limited</t>
  </si>
  <si>
    <t>https://www.whitehillfm.co.uk/</t>
  </si>
  <si>
    <t>Straight Talk Financial Planning Ltd</t>
  </si>
  <si>
    <t>www.straighttalkfinancial.co.uk</t>
  </si>
  <si>
    <t xml:space="preserve">using wealthify and Aviva </t>
  </si>
  <si>
    <t>C. Rengert &amp; Company Limited</t>
  </si>
  <si>
    <t>Example Associates Limited</t>
  </si>
  <si>
    <t>Tailored Financial Services Solutions Ltd</t>
  </si>
  <si>
    <t>ACUITY PROFESSIONAL ADVISERS LTD</t>
  </si>
  <si>
    <t>Wealth Management – Acuity</t>
  </si>
  <si>
    <t>Twismo Financial Planning Ltd</t>
  </si>
  <si>
    <t>https://www.twismo.co.uk/</t>
  </si>
  <si>
    <t>Bank of London and The Middle East plc</t>
  </si>
  <si>
    <t>www.blme.com</t>
  </si>
  <si>
    <t>Equilibrium Capital Ltd</t>
  </si>
  <si>
    <t>www.equilibriumcapital.com</t>
  </si>
  <si>
    <t>No active website</t>
  </si>
  <si>
    <t>Zigma Financial Services Limited</t>
  </si>
  <si>
    <t>AES Financial Services Ltd</t>
  </si>
  <si>
    <t>www.aesinternational.com</t>
  </si>
  <si>
    <t>Halcyon Financial Solutions Limited</t>
  </si>
  <si>
    <t>Single Point Financial Services Limited</t>
  </si>
  <si>
    <t>https://www.spfsl.co.uk/</t>
  </si>
  <si>
    <t>Steven Day</t>
  </si>
  <si>
    <t>https://www.ajlife.co.uk/</t>
  </si>
  <si>
    <t>HW Financial Services Limited</t>
  </si>
  <si>
    <t>https://find-and-update.company-information.service.gov.uk/company/02030706/filing-history</t>
  </si>
  <si>
    <t>Warner Goodman LLP</t>
  </si>
  <si>
    <t>https://www.warnergoodman.co.uk/</t>
  </si>
  <si>
    <t>Martin Aitken Financial Services Limited</t>
  </si>
  <si>
    <t>https://www.mafsltd.co.uk/</t>
  </si>
  <si>
    <t>Panmure Liberum Capital Limited</t>
  </si>
  <si>
    <t>Grove Pension Solutions Limited</t>
  </si>
  <si>
    <t>https://www.grove-pensions.co.uk/</t>
  </si>
  <si>
    <t>Gemmell Financial Services Limited</t>
  </si>
  <si>
    <t>https://www.gemmells.co.uk/</t>
  </si>
  <si>
    <t>Sense Network Limited</t>
  </si>
  <si>
    <t>https://www.sense-network.co.uk/</t>
  </si>
  <si>
    <t>IWP ADVISORY SERVICES LIMITED</t>
  </si>
  <si>
    <t>www.iwpuk.co.uk</t>
  </si>
  <si>
    <t>Thomas Anthony Wealth Management Limited</t>
  </si>
  <si>
    <t>www.thomasanthony.com</t>
  </si>
  <si>
    <t>Cerno Capital Partners LLP</t>
  </si>
  <si>
    <t>https://cernocapital.com/</t>
  </si>
  <si>
    <t>CONSULT LWC LIMITED</t>
  </si>
  <si>
    <t>Mearns &amp; Company Limited</t>
  </si>
  <si>
    <t>https://www.mearnscompany.com/</t>
  </si>
  <si>
    <t>MWLFS Limited</t>
  </si>
  <si>
    <t>https://www.financial.wrightandlord.com/</t>
  </si>
  <si>
    <t>Jupp Castle Financial Services Limited</t>
  </si>
  <si>
    <t>https://www.juppcastle.co.uk/</t>
  </si>
  <si>
    <t>Arundel Wealth Management Limited</t>
  </si>
  <si>
    <t>https://www.arundelwealth.co.uk/</t>
  </si>
  <si>
    <t>Christian Douglass Group Ltd</t>
  </si>
  <si>
    <t>https://www.christiandouglassgroup.com/</t>
  </si>
  <si>
    <t>Phillip Masters Independent Financial Advisers Limited</t>
  </si>
  <si>
    <t>www.pensionsuk.co.uk</t>
  </si>
  <si>
    <t>Black Swan Financial Management Ltd</t>
  </si>
  <si>
    <t>https://www.blackswanfinancialmanagement.co.uk/</t>
  </si>
  <si>
    <t>Appleton Fox Wealth Management Ltd</t>
  </si>
  <si>
    <t>https://www.appletonfox.co.uk/</t>
  </si>
  <si>
    <t>MPI Services (Saffron Walden) Ltd</t>
  </si>
  <si>
    <t>https://www.mpiservices.co.uk/</t>
  </si>
  <si>
    <t>Ellis Lloyd Jones (Financial Services) Limited</t>
  </si>
  <si>
    <t>http://www.ellislloydjones.co.uk/our-financial-services/</t>
  </si>
  <si>
    <t>QIB (UK) Plc</t>
  </si>
  <si>
    <t>www.qib - uk.com</t>
  </si>
  <si>
    <t>Kroll Securities Ltd</t>
  </si>
  <si>
    <t>www.kroll.com</t>
  </si>
  <si>
    <t>David Winter Independent Financial Advisers Limited</t>
  </si>
  <si>
    <t>Tozer LLP</t>
  </si>
  <si>
    <t>https://www.tozer-insurance.co.uk/</t>
  </si>
  <si>
    <t>Plurimi Wealth LLP</t>
  </si>
  <si>
    <t>www.plurimi.com</t>
  </si>
  <si>
    <t>Franklin Davies (IFA) Ltd</t>
  </si>
  <si>
    <t>Financial Planning Options Ltd</t>
  </si>
  <si>
    <t>https://www.fpoptions.co.uk/</t>
  </si>
  <si>
    <t>Aspen Financial Services Limited</t>
  </si>
  <si>
    <t>https://www.aspenfs.co.uk/</t>
  </si>
  <si>
    <t>SG Finance Limited</t>
  </si>
  <si>
    <t>https://sgfinance.ifa - web.co.uk/</t>
  </si>
  <si>
    <t>Warwickshire Independent Financial Services Ltd</t>
  </si>
  <si>
    <t>https://www.wifs.co.uk/</t>
  </si>
  <si>
    <t>Bank of China (UK) Ltd</t>
  </si>
  <si>
    <t>A.G.B. Financial Services Limited</t>
  </si>
  <si>
    <t>1 FS Limited</t>
  </si>
  <si>
    <t>https://www.1fsltd.co.uk/</t>
  </si>
  <si>
    <t>Edison Wealth Management Limited</t>
  </si>
  <si>
    <t>www.edisonwm.com</t>
  </si>
  <si>
    <t>Hill Financial Services (UK) Limited</t>
  </si>
  <si>
    <t>https://www.hillfinancialservices.co.uk/</t>
  </si>
  <si>
    <t>Lanner Capital Limited</t>
  </si>
  <si>
    <t>www.lannercapital.co.uk</t>
  </si>
  <si>
    <t>Evelyn Partners Financial Planning Limited</t>
  </si>
  <si>
    <t>https://find-and-update.company-information.service.gov.uk/company/00607039/filing-history</t>
  </si>
  <si>
    <t>The Wealth Management Group LLP</t>
  </si>
  <si>
    <t>https://www.wmgcares.com/</t>
  </si>
  <si>
    <t>Wealth Solutions Ltd</t>
  </si>
  <si>
    <t>Independent Financial Consultants Limited</t>
  </si>
  <si>
    <t>WEALTHWIDE LIMITED</t>
  </si>
  <si>
    <t>www.wealthwide.co.uk</t>
  </si>
  <si>
    <t>Connor Broadley Ltd</t>
  </si>
  <si>
    <t>www.connorbroadley.co.uk</t>
  </si>
  <si>
    <t>Hargreaves &amp; Jones Limited</t>
  </si>
  <si>
    <t>Hall Wealth LLP</t>
  </si>
  <si>
    <t>Clarke and Partners LLP</t>
  </si>
  <si>
    <t>https://www.ifacp.co.uk/</t>
  </si>
  <si>
    <t>Medical &amp; Financial Ltd</t>
  </si>
  <si>
    <t>https://www.medicalandfinancial.com/</t>
  </si>
  <si>
    <t>Concept Financial Planning Ltd</t>
  </si>
  <si>
    <t>https://www.conceptfp.com/</t>
  </si>
  <si>
    <t>MCB Financial Planning Limited</t>
  </si>
  <si>
    <t>https://www.mcbfinancial.co.uk/</t>
  </si>
  <si>
    <t>DBL Asset Management LLP</t>
  </si>
  <si>
    <t>https://www.dbl-am.com/</t>
  </si>
  <si>
    <t>Lincoln Financial Services Ltd</t>
  </si>
  <si>
    <t>https://www.lincolnfinancialservices.co.uk/</t>
  </si>
  <si>
    <t>Hallmark Financial Planning Limited</t>
  </si>
  <si>
    <t>Boulton Financial Services Ltd</t>
  </si>
  <si>
    <t>http://boultonfinancial. ifa-web.co.uk/</t>
  </si>
  <si>
    <t>Protect And Invest Ltd</t>
  </si>
  <si>
    <t>https://www.protect-invest.co.uk/</t>
  </si>
  <si>
    <t>Ravenstone Financial Ltd</t>
  </si>
  <si>
    <t>https://www.ravenstone.uk.com/</t>
  </si>
  <si>
    <t>James Patrick Kehoe</t>
  </si>
  <si>
    <t>Via Wealth Limited</t>
  </si>
  <si>
    <t>www.viawealth.co.uk</t>
  </si>
  <si>
    <t>Henson Crisp Ltd</t>
  </si>
  <si>
    <t>https://www.hensoncrisp.com/</t>
  </si>
  <si>
    <t>Lyon &amp; Co LLP</t>
  </si>
  <si>
    <t>https://www.financialadvisercheshire.co.uk/</t>
  </si>
  <si>
    <t>Hughes Firman Ovel Asset Management Ltd</t>
  </si>
  <si>
    <t>TD Financial Ltd</t>
  </si>
  <si>
    <t>www.tdfinancial.co.uk</t>
  </si>
  <si>
    <t>Consilium Asset Management Limited</t>
  </si>
  <si>
    <t>https://consilium-ifa.co.uk</t>
  </si>
  <si>
    <t>Sterling Independent Advisers LLP</t>
  </si>
  <si>
    <t>https://www.sterling-ind.com/</t>
  </si>
  <si>
    <t>Invest Southwest Ltd</t>
  </si>
  <si>
    <t>https://www.investsouthwest.co.uk/</t>
  </si>
  <si>
    <t>Mark Bex</t>
  </si>
  <si>
    <t>https://www.mrbgroup.co.uk/</t>
  </si>
  <si>
    <t>Fargrove Financial Solutions Limited</t>
  </si>
  <si>
    <t>QED Wealth Management Ltd</t>
  </si>
  <si>
    <t>https://www.qedwm.com/</t>
  </si>
  <si>
    <t>McHardy Private Wealth Ltd</t>
  </si>
  <si>
    <t>https://www.mchardyprivatewealth.co.uk/</t>
  </si>
  <si>
    <t>Phillip Bates &amp; Co Financial Services Limited</t>
  </si>
  <si>
    <t>https://www.pbatesfs.co.uk/</t>
  </si>
  <si>
    <t>Strategic Financial Planning (SFP) Ltd</t>
  </si>
  <si>
    <t>New Vision Wealth Strategies Limited</t>
  </si>
  <si>
    <t>https://www.newvision-ifa.co.uk/</t>
  </si>
  <si>
    <t>William Gow</t>
  </si>
  <si>
    <t>Dart Capital Limited</t>
  </si>
  <si>
    <t>Under Evelyn</t>
  </si>
  <si>
    <t>https://find-and-update.company-information.service.gov.uk/company/02146006/filing-history</t>
  </si>
  <si>
    <t>Apollo Pension &amp; Investment Advisers</t>
  </si>
  <si>
    <t>https://www.apolloifa.co.uk/</t>
  </si>
  <si>
    <t>Palm Financial Care Limited</t>
  </si>
  <si>
    <t>https://www.palmfc.com/</t>
  </si>
  <si>
    <t>Fairway Financial Consultancy</t>
  </si>
  <si>
    <t>Hathaway &amp; Cope (Life &amp; Pensions) Ltd</t>
  </si>
  <si>
    <t>Stuart Mulligan Ltd</t>
  </si>
  <si>
    <t>https://www.smifs.org.uk/</t>
  </si>
  <si>
    <t>Simon Carter</t>
  </si>
  <si>
    <t>Marks Baughan Securities UK, LLP</t>
  </si>
  <si>
    <t>www.marksbaughan.com</t>
  </si>
  <si>
    <t>LGT Wealth Management UK LLP</t>
  </si>
  <si>
    <t>www.lgtwm.com</t>
  </si>
  <si>
    <t>Withybrook Financial Consultants Ltd</t>
  </si>
  <si>
    <t>Evelyn Partners Discretionary Investment Management Limited</t>
  </si>
  <si>
    <t>https://find-and-update.company-information.service.gov.uk/company/02519968/filing-history</t>
  </si>
  <si>
    <t>Core Financial Services Ltd</t>
  </si>
  <si>
    <t>Hedley &amp; Company Stockbrokers Limited</t>
  </si>
  <si>
    <t>IPS Capital LLP</t>
  </si>
  <si>
    <t>www.ipscap.com</t>
  </si>
  <si>
    <t>LIFT-Financial Ltd</t>
  </si>
  <si>
    <t>www.lift-financial.com</t>
  </si>
  <si>
    <t>Confiar Finance Ltd</t>
  </si>
  <si>
    <t>https://www.confiarfinance.co.uk/</t>
  </si>
  <si>
    <t>Signet Financial Services (London) Limited</t>
  </si>
  <si>
    <t>www.signetfinancialservices.co.uk</t>
  </si>
  <si>
    <t>Partneriaeth Seiont Partnership LLP</t>
  </si>
  <si>
    <t>Clearwater Wealth Management LLP</t>
  </si>
  <si>
    <t>https://www.clearwaterwealth.co.uk/</t>
  </si>
  <si>
    <t>Simpson Financial Services Ltd</t>
  </si>
  <si>
    <t>https://www.simpsonfs.co.uk/</t>
  </si>
  <si>
    <t>Lansdowne Woodward Financial Services Limited</t>
  </si>
  <si>
    <t>Quantum Actuarial LLP</t>
  </si>
  <si>
    <t>www.quantumadvisory.co.uk</t>
  </si>
  <si>
    <t>Grosvenor Wealth Management Limited</t>
  </si>
  <si>
    <t>https://www.grosvenorwealthmanagement.co.uk/</t>
  </si>
  <si>
    <t>Davenport Financial Management Ltd</t>
  </si>
  <si>
    <t>https://www.davenportfinancial.co.uk/</t>
  </si>
  <si>
    <t>A.J.Hutton Ltd</t>
  </si>
  <si>
    <t>Aquarius Wealth Management Limited</t>
  </si>
  <si>
    <t>Niche Independent Financial Advisers Limited</t>
  </si>
  <si>
    <t>Lincolnshire Independent Financial Advisers Ltd</t>
  </si>
  <si>
    <t>https://www.lincolnshireifa.co.uk/</t>
  </si>
  <si>
    <t>Lakenwest Ltd</t>
  </si>
  <si>
    <t>https://www.atmorchardinvestments.co.uk/</t>
  </si>
  <si>
    <t>Simon John Honey</t>
  </si>
  <si>
    <t>CPR Financial LLP</t>
  </si>
  <si>
    <t>https://www.cprfinancial.co.uk/</t>
  </si>
  <si>
    <t>Chancery Investment Management Ltd</t>
  </si>
  <si>
    <t>RE Hutt Financial Services Limited</t>
  </si>
  <si>
    <t>https://www.financialadviceleamington.co.uk/</t>
  </si>
  <si>
    <t>Liberty Partnership Limited</t>
  </si>
  <si>
    <t>https://www.liberty-partnership.co.uk/</t>
  </si>
  <si>
    <t>Condy Mathias Financial Planners Limited</t>
  </si>
  <si>
    <t>www.cmcfp.co.uk</t>
  </si>
  <si>
    <t>Hawksmoor Investment Management Ltd</t>
  </si>
  <si>
    <t>www.hawksmoorim.co.uk</t>
  </si>
  <si>
    <t>Cilbenrick Ltd</t>
  </si>
  <si>
    <t>www.cilbenrick.co.uk</t>
  </si>
  <si>
    <t>Brooks Wealth Management LLP</t>
  </si>
  <si>
    <t>www.brookswm.co.uk</t>
  </si>
  <si>
    <t>Andrew Hill Ltd</t>
  </si>
  <si>
    <t>https://www.andrew-hill-ltd.co.uk/</t>
  </si>
  <si>
    <t>Rosedale Financial Management</t>
  </si>
  <si>
    <t>Ruth Whitehead Associates</t>
  </si>
  <si>
    <t>rwafinance.co.uk</t>
  </si>
  <si>
    <t>Matrix Independent Limited</t>
  </si>
  <si>
    <t>CRS Consultants Ltd</t>
  </si>
  <si>
    <t>https://www.crs-consultants.com/</t>
  </si>
  <si>
    <t>Equity And General Financial Services Limited</t>
  </si>
  <si>
    <t>www.eandgfs.com</t>
  </si>
  <si>
    <t>Sun Global Investments Limited</t>
  </si>
  <si>
    <t>https://www.sunglobal.co.uk/</t>
  </si>
  <si>
    <t>Yorkshire Independent Financial Advisers Limited</t>
  </si>
  <si>
    <t>https://yifal.co.uk/</t>
  </si>
  <si>
    <t>Lincoln International LLP</t>
  </si>
  <si>
    <t>www.lincolninternational.com</t>
  </si>
  <si>
    <t>Fortic Financial Services Ltd</t>
  </si>
  <si>
    <t>Cavendish Corporate Finance LLP</t>
  </si>
  <si>
    <t>Cheshire Wealth Management Ltd</t>
  </si>
  <si>
    <t>www.cheshirewealth. investments</t>
  </si>
  <si>
    <t>Gent &amp; Craig Insurances Ltd</t>
  </si>
  <si>
    <t>Evelyn Partners Investment Management Services Limited</t>
  </si>
  <si>
    <t>Taylor Hartley Limited</t>
  </si>
  <si>
    <t>http://www.taylorhartley.com/</t>
  </si>
  <si>
    <t>Independent Financial Advisory Service Limited</t>
  </si>
  <si>
    <t>www.ifasgroup.co.uk</t>
  </si>
  <si>
    <t>MIO Partners (UK) Limited</t>
  </si>
  <si>
    <t>www.miopartners.com</t>
  </si>
  <si>
    <t>Jordan Financial Management Ltd</t>
  </si>
  <si>
    <t>www.jordanfm.co.uk</t>
  </si>
  <si>
    <t>Thomas Penn Partnership Ltd</t>
  </si>
  <si>
    <t>YVONNE GOODWIN WEALTH MANAGEMENT LIMITED</t>
  </si>
  <si>
    <t>www.yvonnegoodwin.co.uk</t>
  </si>
  <si>
    <t>Accendo Markets Limited</t>
  </si>
  <si>
    <t>https://www.accendomarkets.com/</t>
  </si>
  <si>
    <t>Perspective (HNH) Limited</t>
  </si>
  <si>
    <t>https://www.pfgl.co.uk/hnh</t>
  </si>
  <si>
    <t>Brown Advisory Limited</t>
  </si>
  <si>
    <t>www.brownadvisory.com</t>
  </si>
  <si>
    <t>Gail Renshaw Independent Financial Adviser</t>
  </si>
  <si>
    <t>Iona Beesly Associates Limited</t>
  </si>
  <si>
    <t>Halstead Independent Financial Management Limited</t>
  </si>
  <si>
    <t>www.mkcwealth.com</t>
  </si>
  <si>
    <t>Four Seasons Financial Planning Ltd</t>
  </si>
  <si>
    <t>https://www.fourseasonsfp.co.uk/</t>
  </si>
  <si>
    <t>Mary Henderson</t>
  </si>
  <si>
    <t>Wirral Financial Services Ltd</t>
  </si>
  <si>
    <t>https://www.wirralfs.co.uk/</t>
  </si>
  <si>
    <t>JW Finance Ltd</t>
  </si>
  <si>
    <t>www.jwfinance.co.uk</t>
  </si>
  <si>
    <t>Partners Capital LLP</t>
  </si>
  <si>
    <t>https://partners - cap.com/</t>
  </si>
  <si>
    <t>Aspire Mortgages &amp; Financial Services Ltd</t>
  </si>
  <si>
    <t>https://www.aspiremortgagesfinancialservices.com/</t>
  </si>
  <si>
    <t>Central Markets Investment Management Limited</t>
  </si>
  <si>
    <t>HPZ.3 Limited</t>
  </si>
  <si>
    <t>https://www.hpz3.co.uk/</t>
  </si>
  <si>
    <t>Equity For Growth (Securities) Limited</t>
  </si>
  <si>
    <t>http://www.equityforgrowth.com</t>
  </si>
  <si>
    <t>Fairstone Financial Management Limited</t>
  </si>
  <si>
    <t>Millennium Rose Associates Ltd</t>
  </si>
  <si>
    <t>Clark &amp; John Financial Services Ltd</t>
  </si>
  <si>
    <t>www.candjfsl.co.uk</t>
  </si>
  <si>
    <t>Midas Financial Planning Services Ltd</t>
  </si>
  <si>
    <t>Meet the Team - Midas Financial Planning</t>
  </si>
  <si>
    <t>K F Harty Financial Management Ltd</t>
  </si>
  <si>
    <t>kfharty.com</t>
  </si>
  <si>
    <t>Hanover Wealth Management Limited</t>
  </si>
  <si>
    <t>www.hanoverwm.co.uk</t>
  </si>
  <si>
    <t>BPH Wealth Management LLP</t>
  </si>
  <si>
    <t>Warwick Financial Solutions Limited</t>
  </si>
  <si>
    <t>Forrester-Hyde Limited</t>
  </si>
  <si>
    <t>https://www.forrester-hyde.co.uk/</t>
  </si>
  <si>
    <t>Project Financial Solutions Ltd</t>
  </si>
  <si>
    <t>https://www.project-financial.co.uk/</t>
  </si>
  <si>
    <t>Excaliber Associates Ltd</t>
  </si>
  <si>
    <t>www.excaliber-ifa.co.uk</t>
  </si>
  <si>
    <t>Ucapital Asset Management LLP</t>
  </si>
  <si>
    <t>https://ucapital - am.com</t>
  </si>
  <si>
    <t>Operii Financial Planning LLP</t>
  </si>
  <si>
    <t>operii.co.uk</t>
  </si>
  <si>
    <t>Harrold Financial Planning Limited</t>
  </si>
  <si>
    <t>www.hfp.co.uk</t>
  </si>
  <si>
    <t>Evelyn Partners Financial Services Limited</t>
  </si>
  <si>
    <t>https://find-and-update.company-information.service.gov.uk/company/03133226/filing-history</t>
  </si>
  <si>
    <t>Elliot Fletcher Limited</t>
  </si>
  <si>
    <t>www.elliotfletcher.com</t>
  </si>
  <si>
    <t>Proactive Financial Management Ltd</t>
  </si>
  <si>
    <t>https://www.profmltd.co.uk/</t>
  </si>
  <si>
    <t>Evelyn Partners Asset Management Limited</t>
  </si>
  <si>
    <t>usa.evelyn.com</t>
  </si>
  <si>
    <t>Investment management arm also housing financial advisers</t>
  </si>
  <si>
    <t>SMB Wealth Management Ltd</t>
  </si>
  <si>
    <t>https://www.smbwealth.co.uk/</t>
  </si>
  <si>
    <t>Chevening Financial Ltd</t>
  </si>
  <si>
    <t>https://www.cheveningfinancial.com/</t>
  </si>
  <si>
    <t>Bailey Financial Services (Preston) Ltd</t>
  </si>
  <si>
    <t>www.bailey-fs.co.uk</t>
  </si>
  <si>
    <t>Alantra Corporate Finance LLP</t>
  </si>
  <si>
    <t>https://www.alantra.com/global - presence/united - kingdom - investment - banking/</t>
  </si>
  <si>
    <t>Vision Financial Advisers Ltd</t>
  </si>
  <si>
    <t>Blueberry Financial Ltd</t>
  </si>
  <si>
    <t>https://www.blueberryfinancial.co.uk/</t>
  </si>
  <si>
    <t>Punter Southall Wealth Limited</t>
  </si>
  <si>
    <t>Wingate Wealth Management Ltd</t>
  </si>
  <si>
    <t>https://www.wingatefp.com/</t>
  </si>
  <si>
    <t>Hutchison &amp; White Limited</t>
  </si>
  <si>
    <t>https://hutchisonwhite.co.uk/</t>
  </si>
  <si>
    <t>Milkstone Ltd</t>
  </si>
  <si>
    <t>https://www.milkstone.co.uk/</t>
  </si>
  <si>
    <t>First Service Financial Limited</t>
  </si>
  <si>
    <t>https://www.firstservicefinancial.co.uk/</t>
  </si>
  <si>
    <t>Edward T James &amp; Company Ltd</t>
  </si>
  <si>
    <t>https://www.edwardtjames.co.uk/</t>
  </si>
  <si>
    <t>Herbert Financial Services</t>
  </si>
  <si>
    <t>Pembrokeshire Mortgage Centre Ltd</t>
  </si>
  <si>
    <t>Thomas and Thomas Financial Services Ltd</t>
  </si>
  <si>
    <t>https://www.thomasandthomasfinance.co.uk/</t>
  </si>
  <si>
    <t>London Wealth Management Limited</t>
  </si>
  <si>
    <t>www.londonwm.co.uk</t>
  </si>
  <si>
    <t>Bluestone Independent Financial Advisers Ltd</t>
  </si>
  <si>
    <t>https://www.bluestoneifa.co.uk/</t>
  </si>
  <si>
    <t>Davies Carrington Limited</t>
  </si>
  <si>
    <t>Logical Financial Planning Ltd</t>
  </si>
  <si>
    <t>www.logicalfinancial.co.uk</t>
  </si>
  <si>
    <t>415 LLP</t>
  </si>
  <si>
    <t>Gribben &amp; Watt Financial Planning Limited</t>
  </si>
  <si>
    <t>www.gribbenandwatt.com</t>
  </si>
  <si>
    <t>JFP Financial Services Ltd</t>
  </si>
  <si>
    <t>https://www.jfpfinancialservices.co.uk/</t>
  </si>
  <si>
    <t>Wendover Financial Limited</t>
  </si>
  <si>
    <t>https://www.wendoverfinancial.co.uk/</t>
  </si>
  <si>
    <t>The Taylormade Financial Management LLP</t>
  </si>
  <si>
    <t>https://www.tfmllp.co.uk/</t>
  </si>
  <si>
    <t>Eden Independent Financial Advisers Limited</t>
  </si>
  <si>
    <t>https://www.eden-ifa.com/</t>
  </si>
  <si>
    <t>London Stone Securities Limited</t>
  </si>
  <si>
    <t>Crossbridge Capital LLP</t>
  </si>
  <si>
    <t>https://www.crossbridgecapital.com/</t>
  </si>
  <si>
    <t>Spear Financial Ltd</t>
  </si>
  <si>
    <t>https://www.spearfinancial.co.uk/</t>
  </si>
  <si>
    <t>Sovereign (Financial Services) Limited</t>
  </si>
  <si>
    <t>https://www.sovfs.co.uk/</t>
  </si>
  <si>
    <t>Western Financial Planning Ltd</t>
  </si>
  <si>
    <t>https://www.westernfinancialplanning.co.uk/</t>
  </si>
  <si>
    <t>Financial Planning Solutions Ltd</t>
  </si>
  <si>
    <t>https://www.fpsifa.co.uk/</t>
  </si>
  <si>
    <t>Clifton Compliance Services Ltd</t>
  </si>
  <si>
    <t>www.clifton-asset.co.uk</t>
  </si>
  <si>
    <t>Jason Ball</t>
  </si>
  <si>
    <t>https://www.plan.co.uk/</t>
  </si>
  <si>
    <t>Walford and Phelps</t>
  </si>
  <si>
    <t>https://www.walfordandphelps.co.uk/</t>
  </si>
  <si>
    <t>HSD Independent Financial Advisors Ltd</t>
  </si>
  <si>
    <t>Evelyn Partners Investment Management LLP</t>
  </si>
  <si>
    <t>https://find-and-update.company-information.service.gov.uk/company/OC369632/filing-history</t>
  </si>
  <si>
    <t>Financial Administration Services Limited</t>
  </si>
  <si>
    <t>https://www.fidelity.co.uk/</t>
  </si>
  <si>
    <t>https://www.fidelity.co.uk/media/PI%20UK/pdf/fidelity-wealth-management-tob.pdf</t>
  </si>
  <si>
    <t>Fidelity Select 50 Balanced Fund PI Accumulation Shares Key Statistics | GB00BF8DCB08 | Fidelity</t>
  </si>
  <si>
    <t>FINANCIAL ADMINISTRATION SERVICES LIMITED filing history - Find and update company information - GOV.UK</t>
  </si>
  <si>
    <t>Trafford &amp; Houghton Financial Planning Ltd</t>
  </si>
  <si>
    <t>www.traffordandhoughton.com</t>
  </si>
  <si>
    <t>Carpenter John Financial Services Ltd</t>
  </si>
  <si>
    <t>https://www.carpenterjohn.co.uk/</t>
  </si>
  <si>
    <t>Fairey Associates Ltd</t>
  </si>
  <si>
    <t>www.faireyassociates.co.uk</t>
  </si>
  <si>
    <t>KNG Financial Management LLP</t>
  </si>
  <si>
    <t>https://www.kngfinancial.co.uk/</t>
  </si>
  <si>
    <t>Mr Mark Walker</t>
  </si>
  <si>
    <t>FIL Wealth Management Limited</t>
  </si>
  <si>
    <t>FIL WEALTH MANAGEMENT LIMITED filing history - Find and update company information - GOV.UK</t>
  </si>
  <si>
    <t>Eriswell Capital Management LLP</t>
  </si>
  <si>
    <t>https://www.eriswell.com/</t>
  </si>
  <si>
    <t>Peak Assured Ltd</t>
  </si>
  <si>
    <t>True CFP Limited</t>
  </si>
  <si>
    <t>First Command Europe Ltd</t>
  </si>
  <si>
    <t>City Capital Markets Ltd</t>
  </si>
  <si>
    <t>Hansford Bell Financial Planning Ltd</t>
  </si>
  <si>
    <t>https://www.hansfordbell.co.uk/</t>
  </si>
  <si>
    <t>Molineaux Investment Services LLP</t>
  </si>
  <si>
    <t>Joseph John McKenna</t>
  </si>
  <si>
    <t>https://www.clearfinance.net/</t>
  </si>
  <si>
    <t>Thomas Brannigan</t>
  </si>
  <si>
    <t>www.hanson-ifa.co.uk</t>
  </si>
  <si>
    <t>Premier Pensions and Tax Consultancy Limited</t>
  </si>
  <si>
    <t>https://www.pptconsultancy.co.uk/</t>
  </si>
  <si>
    <t>Olive Wealth Management Ltd</t>
  </si>
  <si>
    <t>https://www.olivewealth.co.uk/</t>
  </si>
  <si>
    <t>Financial Relationships LLP</t>
  </si>
  <si>
    <t>www.financialrelationships.co.uk</t>
  </si>
  <si>
    <t>Hexagon Wealth Limited</t>
  </si>
  <si>
    <t>www.hexagonwealth.co.uk</t>
  </si>
  <si>
    <t>Argyll Advisory LLP</t>
  </si>
  <si>
    <t>www.argyllpartners.co.uk</t>
  </si>
  <si>
    <t>Peter Murray Financial Management Limited</t>
  </si>
  <si>
    <t>Retirement Solutions (UK) Limited</t>
  </si>
  <si>
    <t>https://www.retirementsolutions.co.uk/</t>
  </si>
  <si>
    <t>Collins Sarri Statham Investments Limited</t>
  </si>
  <si>
    <t>www.css - investments.com</t>
  </si>
  <si>
    <t>Gary Bunkell</t>
  </si>
  <si>
    <t>Steven Barton</t>
  </si>
  <si>
    <t>Smart Financial Planning Ltd</t>
  </si>
  <si>
    <t>https://www.smartfinancial.co.uk/</t>
  </si>
  <si>
    <t>Oyster Wealth Management Limited</t>
  </si>
  <si>
    <t>https://www.oysterwealth.co.uk/</t>
  </si>
  <si>
    <t>Joslin Rhodes Lifestyle Financial Planning Limited</t>
  </si>
  <si>
    <t>https://www.joslinrhodes.co.uk/</t>
  </si>
  <si>
    <t>Mr Alan Tarver</t>
  </si>
  <si>
    <t>www.tsprivatecapital.co.uk</t>
  </si>
  <si>
    <t>Astute Financial Management UK Ltd</t>
  </si>
  <si>
    <t>www.cobensgroup.co.uk</t>
  </si>
  <si>
    <t>LR Financial Services Ltd</t>
  </si>
  <si>
    <t>https://www.lrconnections.co.uk/</t>
  </si>
  <si>
    <t>Thinking Finance UK Ltd</t>
  </si>
  <si>
    <t>https://www.thinking-finance.co.uk/</t>
  </si>
  <si>
    <t>Kenneth Brewster</t>
  </si>
  <si>
    <t>https://www.burtonlaw.co.uk/</t>
  </si>
  <si>
    <t>Tandy Financial Services LLP</t>
  </si>
  <si>
    <t>https://www.tandyfinancialservices.co.uk/</t>
  </si>
  <si>
    <t>Fiducia Wealth Management Limited</t>
  </si>
  <si>
    <t>www.fiduciawealth.co.uk</t>
  </si>
  <si>
    <t>https://www.fiduciawealth.co.uk/about/financial-advisor-fees/</t>
  </si>
  <si>
    <t>FIDUCIA WEALTH MANAGEMENT LIMITED filing history - Find and update company information - GOV.UK</t>
  </si>
  <si>
    <t>Monenti Partners Ltd</t>
  </si>
  <si>
    <t>http://www.monentipartners.com/</t>
  </si>
  <si>
    <t>KIRBY THOMAS &amp; CO (IFA) LTD</t>
  </si>
  <si>
    <t>www.kirbyandco.com</t>
  </si>
  <si>
    <t>Knightsbridge Wealth Management (NI) Ltd</t>
  </si>
  <si>
    <t>www.knightsbridgewm.com</t>
  </si>
  <si>
    <t>Lumen Financial Planning Limited</t>
  </si>
  <si>
    <t>https://www.lumenfinancialplanning.com/</t>
  </si>
  <si>
    <t>Clayton Holmes Naisbitt Financial Consultancy LLP</t>
  </si>
  <si>
    <t>www.chnfc.co.uk</t>
  </si>
  <si>
    <t>Philip Harper LLP</t>
  </si>
  <si>
    <t>Hamilton Financial (Scotland) Ltd</t>
  </si>
  <si>
    <t>https://www.hamilton-financial.co.uk/</t>
  </si>
  <si>
    <t>Provisio Limited</t>
  </si>
  <si>
    <t>https://www.provisio.co.uk/</t>
  </si>
  <si>
    <t>Langholm Dalton LLP</t>
  </si>
  <si>
    <t>Medical &amp; Professional Investment LLP</t>
  </si>
  <si>
    <t>IFA Consultants Limited</t>
  </si>
  <si>
    <t>https://www.ifaconsultants.co.uk/</t>
  </si>
  <si>
    <t>Financial Solutions SC Ltd</t>
  </si>
  <si>
    <t>https://www.financialsc.co.uk/</t>
  </si>
  <si>
    <t>D M Cager (Financial Services) ltd</t>
  </si>
  <si>
    <t>https://www.dmcager.com/</t>
  </si>
  <si>
    <t>Paul McAllen &amp; Co Limited</t>
  </si>
  <si>
    <t>https://www.paulmcallen.co.uk/</t>
  </si>
  <si>
    <t>Acorn to Oaks Financial Services Ltd</t>
  </si>
  <si>
    <t>https://www.a2ofs.co.uk/</t>
  </si>
  <si>
    <t>Lifestages Ltd</t>
  </si>
  <si>
    <t>https://www.lifestages.co.uk/</t>
  </si>
  <si>
    <t>Grovelands Financial Planning Ltd</t>
  </si>
  <si>
    <t>Rippon Financial Management Limited</t>
  </si>
  <si>
    <t>https://www.rfmltd.co.uk/</t>
  </si>
  <si>
    <t>PFM Financial Ltd</t>
  </si>
  <si>
    <t>Anthony John Arlott</t>
  </si>
  <si>
    <t>Genesis Wealth Management Limited</t>
  </si>
  <si>
    <t>https://www.generatewealth.co.uk/</t>
  </si>
  <si>
    <t>https://www.generatewealth.co.uk/wp/how-we-charge/</t>
  </si>
  <si>
    <t>GENESIS WEALTH MANAGEMENT LIMITED filing history - Find and update company information - GOV.UK</t>
  </si>
  <si>
    <t>Menzies Wealth Management Ltd</t>
  </si>
  <si>
    <t>www.menzieswm.co.uk</t>
  </si>
  <si>
    <t>Grangewood Financial Management Ltd</t>
  </si>
  <si>
    <t>https://www.gwfm.co.uk/</t>
  </si>
  <si>
    <t>GRANGEWOOD FINANCIAL MANAGEMENT LIMITED filing history - Find and update company information - GOV.UK</t>
  </si>
  <si>
    <t>Sound Financial Advice Ltd</t>
  </si>
  <si>
    <t>https://www.sound-financialadvice.co.uk/</t>
  </si>
  <si>
    <t>Lumley Baxter Asset Management LLP</t>
  </si>
  <si>
    <t>https://www.lumleybaxter.co.uk/</t>
  </si>
  <si>
    <t>Andrew Heptinstall Financial Services LLP</t>
  </si>
  <si>
    <t>https://www.andrewheptinstall-ifa.co.uk/</t>
  </si>
  <si>
    <t>Amarjit Singh Gharial</t>
  </si>
  <si>
    <t>Gallium Fund Solutions Limited</t>
  </si>
  <si>
    <t>https://www.gallium.co.uk/</t>
  </si>
  <si>
    <t>P K Financial Limited</t>
  </si>
  <si>
    <t>https://www.pkpartnership.co.uk/</t>
  </si>
  <si>
    <t>The Financial Planning Corporation LLP</t>
  </si>
  <si>
    <t>James Stratten Financial Planning Limited</t>
  </si>
  <si>
    <t>https://www.financialplanninglimited.co.uk/</t>
  </si>
  <si>
    <t>Anning Financial Management Ltd</t>
  </si>
  <si>
    <t>https://www.anning.co.uk/</t>
  </si>
  <si>
    <t>Vision Independent Financial Planning Ltd</t>
  </si>
  <si>
    <t>https://www.visionifp.co.uk/</t>
  </si>
  <si>
    <t>Acumensa Limited</t>
  </si>
  <si>
    <t>https://www.acumensa-wealth.com/</t>
  </si>
  <si>
    <t>Merit Financial Services Ltd</t>
  </si>
  <si>
    <t>https://www.meritfinancialservices.co.uk/</t>
  </si>
  <si>
    <t>Blue River Wealth Management Ltd</t>
  </si>
  <si>
    <t>https://www.blueriverwealth.com/</t>
  </si>
  <si>
    <t>Independently East Ltd</t>
  </si>
  <si>
    <t>Lomond Financial Management Group Ltd</t>
  </si>
  <si>
    <t>https://www.lomondwealth.com/</t>
  </si>
  <si>
    <t>Key 2 Financial Solutions Ltd</t>
  </si>
  <si>
    <t>https://www.key2financialsolutions.co.uk/</t>
  </si>
  <si>
    <t>PLS Financial Services Ltd</t>
  </si>
  <si>
    <t>https://www.plsfinancial.co.uk/</t>
  </si>
  <si>
    <t>Cormorant Partnership LLP</t>
  </si>
  <si>
    <t>cormorantpartners.co.uk</t>
  </si>
  <si>
    <t>Dolphin Wealth Management Ltd</t>
  </si>
  <si>
    <t>https://www.dolphinwealthmanagement.co.uk/</t>
  </si>
  <si>
    <t>Horton Kirby Financial Services Ltd</t>
  </si>
  <si>
    <t>Albert E Sharp LLP</t>
  </si>
  <si>
    <t>https://www.albertesharp.com/</t>
  </si>
  <si>
    <t>RMB Financial Management (UK) Ltd</t>
  </si>
  <si>
    <t>https://www.rmbfm.co.uk/</t>
  </si>
  <si>
    <t>Financial Solutions (Cheshire) Limited</t>
  </si>
  <si>
    <t>Brilliance Financial Planning Ltd</t>
  </si>
  <si>
    <t>https://www.brilliancefp.com/</t>
  </si>
  <si>
    <t>Dickson Financial Services Ltd</t>
  </si>
  <si>
    <t>Vintage Asset Management Ltd</t>
  </si>
  <si>
    <t>www.vintageassetmanagement.co.uk</t>
  </si>
  <si>
    <t>Carpenter Box Wealth Management LLP</t>
  </si>
  <si>
    <t>Heath Crawford Financial Services LLP</t>
  </si>
  <si>
    <t>https://www.heathcrawfordfs.co.uk/</t>
  </si>
  <si>
    <t>MASECO LLP</t>
  </si>
  <si>
    <t>www.masecoprivatewealth.com</t>
  </si>
  <si>
    <t>Allenby Capital Limited</t>
  </si>
  <si>
    <t>www.allenbycapital.com</t>
  </si>
  <si>
    <t>MCM Bespoke Investment Services Limited</t>
  </si>
  <si>
    <t>http://www.mcm-bespoke.com</t>
  </si>
  <si>
    <t>Financially Prudent (Independent Financial Advisors) Limited</t>
  </si>
  <si>
    <t>Talbot Capital Ltd</t>
  </si>
  <si>
    <t>www.talbotcapital.co.uk</t>
  </si>
  <si>
    <t>Independent Wealth Management (UK) LLP</t>
  </si>
  <si>
    <t>Money Advice &amp; Planning Ltd</t>
  </si>
  <si>
    <t>Feast Noble &amp; Company LLP</t>
  </si>
  <si>
    <t>https://www.feastnoble.com/</t>
  </si>
  <si>
    <t>Premier Financial Planning Ltd</t>
  </si>
  <si>
    <t>https://www.pfp-ltd.com/</t>
  </si>
  <si>
    <t>HB Dobbin Financial Planning Ltd</t>
  </si>
  <si>
    <t>https://www.hbdobbin.com/</t>
  </si>
  <si>
    <t>https://www.hbdobbin.com/about-us/our-fees/</t>
  </si>
  <si>
    <t>HB DOBBIN FINANCIAL PLANNING LIMITED filing history - Find and update company information - GOV.UK</t>
  </si>
  <si>
    <t>CheckRisk LLP</t>
  </si>
  <si>
    <t>Fernedene Financial Planning Ltd</t>
  </si>
  <si>
    <t>www.fernedene.com</t>
  </si>
  <si>
    <t>NFS Limited</t>
  </si>
  <si>
    <t>Milton Independent Financial Advisers Ltd</t>
  </si>
  <si>
    <t>https://www.milton-ifa.co.uk/</t>
  </si>
  <si>
    <t>Grindley Potter Limited</t>
  </si>
  <si>
    <t>https://www.grindleypotter.co.uk/</t>
  </si>
  <si>
    <t>Islandbridge Capital Ltd</t>
  </si>
  <si>
    <t>https://www.ib - capital.com/</t>
  </si>
  <si>
    <t>Vale Independent Financial Advisers Limited</t>
  </si>
  <si>
    <t>https://www.valeifa.com/</t>
  </si>
  <si>
    <t>Ashleigh Court Private Client Wealth Management Ltd</t>
  </si>
  <si>
    <t>https://www.ashleighcourt.com/</t>
  </si>
  <si>
    <t>Alexander Cameron Ltd</t>
  </si>
  <si>
    <t>https://www.alexandercameron.co.uk/</t>
  </si>
  <si>
    <t>AVN Wealth Managers LLP</t>
  </si>
  <si>
    <t>www.avnwealthmanagers.co.uk</t>
  </si>
  <si>
    <t>Walden Capital Limited</t>
  </si>
  <si>
    <t>https://www.waldencapital.co.uk/</t>
  </si>
  <si>
    <t>Shorestone Financial LLP</t>
  </si>
  <si>
    <t>https://www.shorestone.co.uk/</t>
  </si>
  <si>
    <t>LFP Financial Planning &amp; Wealth Management Limited</t>
  </si>
  <si>
    <t>Shaun Carr Financial Services Limited</t>
  </si>
  <si>
    <t>Stonewater Wealth Management Ltd</t>
  </si>
  <si>
    <t>https://www.stonewaterwm.com/</t>
  </si>
  <si>
    <t>Oakwood Asset Management LLP</t>
  </si>
  <si>
    <t>https://www.oakwoodassetmanagement.co.uk/</t>
  </si>
  <si>
    <t>Bright Investments Pensions and Savings Ltd</t>
  </si>
  <si>
    <t>www.brightinvestments.co.uk</t>
  </si>
  <si>
    <t>Ayres Punchard Investment Management Ltd</t>
  </si>
  <si>
    <t>Integrated Financial Solutions Ltd</t>
  </si>
  <si>
    <t>https://www.integratedfs.co.uk/</t>
  </si>
  <si>
    <t>Keightley Pattison Financial Management Limited</t>
  </si>
  <si>
    <t>https://www.keightleypattisonifa.co.uk/</t>
  </si>
  <si>
    <t>Guardian Stockbrokers Ltd</t>
  </si>
  <si>
    <t>www.guardianstockbrokers.com</t>
  </si>
  <si>
    <t>Â£85,000</t>
  </si>
  <si>
    <t>Oracle Financial Planning Ltd</t>
  </si>
  <si>
    <t>Midland Financial Solutions Ltd</t>
  </si>
  <si>
    <t>www.midlandfinancialsolutions.co.uk</t>
  </si>
  <si>
    <t>Pinnacle Financial Planning Ltd</t>
  </si>
  <si>
    <t>https://www.pinnaclefp.co.uk/</t>
  </si>
  <si>
    <t>Campbell Mackie Limited</t>
  </si>
  <si>
    <t>https://www.campbellmackie.co.uk/</t>
  </si>
  <si>
    <t>Advance Wealth Limited</t>
  </si>
  <si>
    <t>https://www.advancewealth.co.uk/</t>
  </si>
  <si>
    <t>Moorlands Financial Services Ltd</t>
  </si>
  <si>
    <t>https://www.moorlandsfinancial.co.uk/</t>
  </si>
  <si>
    <t>Pensions and Annuities Ltd</t>
  </si>
  <si>
    <t>https://www.pensionsandannuities.co.uk/</t>
  </si>
  <si>
    <t>Barnett Waddingham LLP</t>
  </si>
  <si>
    <t>www.barnett - waddingham.co.uk</t>
  </si>
  <si>
    <t>Louise Atkinson</t>
  </si>
  <si>
    <t>Adanac Financial Services Ltd</t>
  </si>
  <si>
    <t>https://www.adanac.biz/</t>
  </si>
  <si>
    <t>Aspin Corporate Services Limited</t>
  </si>
  <si>
    <t>www.aspinplan.com</t>
  </si>
  <si>
    <t>B Independent Financial Services Ltd</t>
  </si>
  <si>
    <t>Founding Asset Management Limited</t>
  </si>
  <si>
    <t>LK Asset Management LLP</t>
  </si>
  <si>
    <t>P N Dales Ltd</t>
  </si>
  <si>
    <t>https://www.pndales.co.uk/</t>
  </si>
  <si>
    <t>https://www.pndales.co.uk/wp-content/uploads/2015/05/First-Time-Buyer-Guide.pdf</t>
  </si>
  <si>
    <t>Timothy Hugh Morland</t>
  </si>
  <si>
    <t>https://www.morlandpotter.co.uk/</t>
  </si>
  <si>
    <t>Tideway Investment Partners LLP</t>
  </si>
  <si>
    <t>https://www.tidewayinvestment.co.uk/</t>
  </si>
  <si>
    <t>https://tidewaywealth.co.uk/wp-content/uploads/2026/01/20260109-Third-Party-Fees-Guide.pdf</t>
  </si>
  <si>
    <t>AGILITY Financial Solutions Ltd</t>
  </si>
  <si>
    <t>https://www.agilityfinancial.co.uk/</t>
  </si>
  <si>
    <t>The Acorn Partnership IFA LLP</t>
  </si>
  <si>
    <t>Stephen Trowbridge</t>
  </si>
  <si>
    <t>https://www.stephentrowbridge.ifa-web.co.uk/</t>
  </si>
  <si>
    <t>Elite-Wealth Management UK Ltd</t>
  </si>
  <si>
    <t>D2 Financial Solutions (UK) Ltd</t>
  </si>
  <si>
    <t>https://www.d2financialsolutions.com/</t>
  </si>
  <si>
    <t>Angell Mallinder Ltd</t>
  </si>
  <si>
    <t>https://www.angellmallinder.co.uk/</t>
  </si>
  <si>
    <t>Caleb Roberts Financial Management Ltd</t>
  </si>
  <si>
    <t>https://www.calebfinancial.co.uk/</t>
  </si>
  <si>
    <t>Attivo Financial Limited</t>
  </si>
  <si>
    <t>Wilson Edwards LLP</t>
  </si>
  <si>
    <t>2020 Financial LTD</t>
  </si>
  <si>
    <t>http://www. 2020 financial.co.uk</t>
  </si>
  <si>
    <t>J M Taylor Financial Services Limited</t>
  </si>
  <si>
    <t>www.jmtaylor-ifa.co.uk</t>
  </si>
  <si>
    <t>The Mortgage and Protection Partnership Ltd</t>
  </si>
  <si>
    <t>www.heathcotefp.co.uk</t>
  </si>
  <si>
    <t>https://www.heathcotefp.co.uk/our-fees/</t>
  </si>
  <si>
    <t>https://find-and-update.company-information.service.gov.uk/company/08734287/filing-history</t>
  </si>
  <si>
    <t>Imperial Finance 23 Ltd</t>
  </si>
  <si>
    <t>George Ide LLP</t>
  </si>
  <si>
    <t>https://www.georgeide.co.uk/</t>
  </si>
  <si>
    <t>SWC Independent Ltd</t>
  </si>
  <si>
    <t>www.swcindependent.co.uk</t>
  </si>
  <si>
    <t>Strategic Vision Wealth Ltd</t>
  </si>
  <si>
    <t>https://www.svwm.co.uk/</t>
  </si>
  <si>
    <t>Dante Partners LLP</t>
  </si>
  <si>
    <t>The TJM Partnership Limited</t>
  </si>
  <si>
    <t>Homer &amp; Co LLP</t>
  </si>
  <si>
    <t>https://www.homer-co.co.uk/</t>
  </si>
  <si>
    <t>Generation Financial Services Ltd</t>
  </si>
  <si>
    <t>www.generationfs.co.uk</t>
  </si>
  <si>
    <t>Winchester Investment Solutions Ltd</t>
  </si>
  <si>
    <t>https://www.wisifa.co.uk/</t>
  </si>
  <si>
    <t>FBS-IFA LLP</t>
  </si>
  <si>
    <t>www.fbs - ifa.com</t>
  </si>
  <si>
    <t>The Henley Life &amp; Pensions Consultancy</t>
  </si>
  <si>
    <t>https://www.henleylifeandpensions.com/</t>
  </si>
  <si>
    <t>Removed as ongoing is not detailed even while they have one</t>
  </si>
  <si>
    <t>https://www.henleylifeandpensions.com/cost-of-advice</t>
  </si>
  <si>
    <t>Using last account from 2013 now a sole trader and does not file accounts anymore</t>
  </si>
  <si>
    <t>No ongoing</t>
  </si>
  <si>
    <t>Mulberry Wealth Management Limited</t>
  </si>
  <si>
    <t>bdhSterling Limited</t>
  </si>
  <si>
    <t>https://www.bdhsterling.com/</t>
  </si>
  <si>
    <t>Redmayne-Bentley LLP</t>
  </si>
  <si>
    <t>www.redmayne.co.uk</t>
  </si>
  <si>
    <t>First 4 Financial Planning Ltd</t>
  </si>
  <si>
    <t>Lakewood Financial Services Ltd</t>
  </si>
  <si>
    <t>Carr &amp; Associates LLP</t>
  </si>
  <si>
    <t>Hardman &amp; Hamilton Financial Services Limited</t>
  </si>
  <si>
    <t>https://www.hardmanhamilton.tppowered.com/</t>
  </si>
  <si>
    <t>HCF Partnership Ltd</t>
  </si>
  <si>
    <t>Marchwood IFA Ltd</t>
  </si>
  <si>
    <t>https://www.marchwoodifa.co.uk/</t>
  </si>
  <si>
    <t>Renaissance IFA LLP</t>
  </si>
  <si>
    <t>www.renaissanceifa.co.uk</t>
  </si>
  <si>
    <t>Fox Whittle Financial Management Ltd</t>
  </si>
  <si>
    <t>Wilcocks &amp; Associates Ltd</t>
  </si>
  <si>
    <t>www.wilcocksandwilcocks.co.uk</t>
  </si>
  <si>
    <t>Bob Farrington Ltd</t>
  </si>
  <si>
    <t>http://bobfarrington. ifa-web.co.uk/</t>
  </si>
  <si>
    <t>Morton Hill Ltd</t>
  </si>
  <si>
    <t>https://www.tmfg.co.uk/</t>
  </si>
  <si>
    <t>S&amp;T Asset Management LLP</t>
  </si>
  <si>
    <t>Sancto Merricks Financial Planning Ltd</t>
  </si>
  <si>
    <t>https://www.sanctomerricks.co.uk/</t>
  </si>
  <si>
    <t>Greg Power Lifetime Financial Planning</t>
  </si>
  <si>
    <t>Investment Risk Management Ltd</t>
  </si>
  <si>
    <t>Adler Financial Planning Ltd</t>
  </si>
  <si>
    <t>www.adlerfp.co.uk</t>
  </si>
  <si>
    <t>R M Harris</t>
  </si>
  <si>
    <t>Gordian Financial Services Limited</t>
  </si>
  <si>
    <t>www.gordianifa.co.uk</t>
  </si>
  <si>
    <t>Keystone Financial Ltd</t>
  </si>
  <si>
    <t>https://www.keystoneltd.co.uk/</t>
  </si>
  <si>
    <t>Ian Buckley</t>
  </si>
  <si>
    <t>Bourne Independent Financial Advisers Ltd</t>
  </si>
  <si>
    <t>https://www.bourneifa.co.uk/</t>
  </si>
  <si>
    <t>Sirius Money Management Ltd</t>
  </si>
  <si>
    <t>www.siriusmoney.co.uk</t>
  </si>
  <si>
    <t>Paul Jones</t>
  </si>
  <si>
    <t>www.integral-ifa.co.uk</t>
  </si>
  <si>
    <t>Quartet Capital Partners LLP</t>
  </si>
  <si>
    <t>https://www.quartet-im.com/</t>
  </si>
  <si>
    <t>Rogate Capital Limited</t>
  </si>
  <si>
    <t>www.rocap.co.uk</t>
  </si>
  <si>
    <t>Online Mortgages UK Ltd</t>
  </si>
  <si>
    <t>https://www.kffinancial.co.uk/</t>
  </si>
  <si>
    <t>ASPECT FINANCIAL SOLUTIONS LTD</t>
  </si>
  <si>
    <t>https://www.aspect-financial.com/</t>
  </si>
  <si>
    <t>Financial Dimensions UK Ltd</t>
  </si>
  <si>
    <t>https://www.financialdimensions.co.uk/</t>
  </si>
  <si>
    <t>Jackson Jeffrey Financial Services Limited</t>
  </si>
  <si>
    <t>https://www.jjfsltd.com/</t>
  </si>
  <si>
    <t>Face to Face Financial Planning Limited</t>
  </si>
  <si>
    <t>Gerald David Hussey</t>
  </si>
  <si>
    <t>Cade &amp; Co LLP</t>
  </si>
  <si>
    <t>www.cadeandco.co.uk</t>
  </si>
  <si>
    <t>Barker Sutcliffe and Associates Ltd</t>
  </si>
  <si>
    <t>https://www.barkersutcliffe.co.uk/</t>
  </si>
  <si>
    <t>Financial Aims Limited</t>
  </si>
  <si>
    <t>https://www.financial-aims.com/</t>
  </si>
  <si>
    <t>Stephen Walters Financial Planning Ltd</t>
  </si>
  <si>
    <t>www.dexterityifa.com</t>
  </si>
  <si>
    <t>Abbey Financial Services (N.I.) Ltd</t>
  </si>
  <si>
    <t>https://www.abbeyfinancialservicesni.com/</t>
  </si>
  <si>
    <t>Belbury Financial Planning Ltd</t>
  </si>
  <si>
    <t>Fidra Wealth Management Ltd</t>
  </si>
  <si>
    <t>Apogee Wealth Management Limited</t>
  </si>
  <si>
    <t>https://www.apogeewealth.co.uk/</t>
  </si>
  <si>
    <t>Mowatt Financial Planning Ltd</t>
  </si>
  <si>
    <t>www.mowattfp.co.uk</t>
  </si>
  <si>
    <t>David Hester Financial Services Limited</t>
  </si>
  <si>
    <t>https://www.davidhesterwealthmanagement.co.uk/</t>
  </si>
  <si>
    <t>Rosemount Asset Management Ltd</t>
  </si>
  <si>
    <t>Stephen Holmes</t>
  </si>
  <si>
    <t>https://www.fairtrade-ifa.co.uk/</t>
  </si>
  <si>
    <t>Penda Financial Management Ltd</t>
  </si>
  <si>
    <t>Oakbank Financial Services Ltd</t>
  </si>
  <si>
    <t>https://www.oakbankfs.com/</t>
  </si>
  <si>
    <t>Wellway Wealth Management LLP</t>
  </si>
  <si>
    <t>Hume Capital Securities plc</t>
  </si>
  <si>
    <t>Chamberlain Berry LLP</t>
  </si>
  <si>
    <t>MB Capital Limited</t>
  </si>
  <si>
    <t>www.mbcapital.co.uk</t>
  </si>
  <si>
    <t>Investment &amp; Retirement Solutions Ltd</t>
  </si>
  <si>
    <t>The Moneytree Corporation Limited</t>
  </si>
  <si>
    <t>https://www.savvyfp.co.uk/</t>
  </si>
  <si>
    <t>Thomson Ferrie LLP</t>
  </si>
  <si>
    <t>www.thomsonferrie.co.uk</t>
  </si>
  <si>
    <t>My Financial Planner Limited</t>
  </si>
  <si>
    <t>https://www.mfpwealthmanagement.co.uk/</t>
  </si>
  <si>
    <t>James Young Associates Ltd</t>
  </si>
  <si>
    <t>https://www.jyagroup.co.uk/</t>
  </si>
  <si>
    <t>Portcullis Financial Planning Limited</t>
  </si>
  <si>
    <t>https://www.pfpadviser.co.uk/</t>
  </si>
  <si>
    <t>Simon McGregor</t>
  </si>
  <si>
    <t>David Allen Financial Services (Dalston) Limited</t>
  </si>
  <si>
    <t>Tweed Financial Services Ltd</t>
  </si>
  <si>
    <t>Meridian Capital (GB) Ltd</t>
  </si>
  <si>
    <t>https://www.meridianc.com/</t>
  </si>
  <si>
    <t>Goldsmith Financial Solutions</t>
  </si>
  <si>
    <t>https://www.goldsmithinvest.co.uk/</t>
  </si>
  <si>
    <t>Advanced Asset Consultants Ltd</t>
  </si>
  <si>
    <t>https://www.advancedasset.co.uk/</t>
  </si>
  <si>
    <t>KW Investment Management Limited</t>
  </si>
  <si>
    <t>Mandan Financial Management</t>
  </si>
  <si>
    <t>ASC Financial Solutions Ltd</t>
  </si>
  <si>
    <t>www.ascfinancialsolutions.co.uk</t>
  </si>
  <si>
    <t>Regan Financial Ltd</t>
  </si>
  <si>
    <t>Clarke Fencott LLP</t>
  </si>
  <si>
    <t>www.clarkefencott.co.uk</t>
  </si>
  <si>
    <t>AGL Wealth Management Ltd</t>
  </si>
  <si>
    <t>https://www.aglwealth.com/</t>
  </si>
  <si>
    <t>Phil Hughes Financial Services Ltd</t>
  </si>
  <si>
    <t>Money Matters Financial Solutions Ltd</t>
  </si>
  <si>
    <t>Priscum Limited</t>
  </si>
  <si>
    <t>https://www.priscum.com/</t>
  </si>
  <si>
    <t>Best 4 Advice Ltd</t>
  </si>
  <si>
    <t>https://www.best4advice.com/</t>
  </si>
  <si>
    <t>Binary Capital Limited</t>
  </si>
  <si>
    <t>binarycapital.co.uk</t>
  </si>
  <si>
    <t>A.R.D. Consultancy Limited</t>
  </si>
  <si>
    <t>https://www.ardconsultancy.co.uk/</t>
  </si>
  <si>
    <t>Andrew Hartop Financial Planning Ltd</t>
  </si>
  <si>
    <t>Apex CB Financial Planning Ltd</t>
  </si>
  <si>
    <t>https://www.apexcb.com/</t>
  </si>
  <si>
    <t>Broad Wealth Management Ltd</t>
  </si>
  <si>
    <t>Yours Financially Ltd</t>
  </si>
  <si>
    <t>www.yoursfinancially.co.uk</t>
  </si>
  <si>
    <t>Heritable Limited</t>
  </si>
  <si>
    <t>https://www.heritableltd.co.uk/wp-content/uploads/2024/11/Heritable-Client-Agreement-Investments-and-Pensions-V2.pdf</t>
  </si>
  <si>
    <t>HERITABLE LIMITED filing history - Find and update company information - GOV.UK</t>
  </si>
  <si>
    <t>Thompson Financial Consulting Ltd</t>
  </si>
  <si>
    <t>www.thompsonfc.com</t>
  </si>
  <si>
    <t>Anderson Financial Limited</t>
  </si>
  <si>
    <t>Obsidian Financial Limited</t>
  </si>
  <si>
    <t>How we are paid | Obsidian | Financial Advisers | Staffordshire</t>
  </si>
  <si>
    <t>Baker Gladstone &amp; York Ltd</t>
  </si>
  <si>
    <t>https://www.bgyifa.com/</t>
  </si>
  <si>
    <t>Kubera Wealth Ltd</t>
  </si>
  <si>
    <t>https://www.kuberawealth.co.uk/</t>
  </si>
  <si>
    <t>Tisco Financial Planning Ltd</t>
  </si>
  <si>
    <t>https://www.tisco.co.uk/</t>
  </si>
  <si>
    <t>Strategic Retirement Solutions Ltd</t>
  </si>
  <si>
    <t>https://www.srsifa.co.uk/</t>
  </si>
  <si>
    <t>HFMC Wealth Management Ltd</t>
  </si>
  <si>
    <t>https://www.hfmcwealth.com/</t>
  </si>
  <si>
    <t>https://www.hfmcwealth.com/wp-content/uploads/2025/02/HFMC-Important-Information-2025.pdf</t>
  </si>
  <si>
    <t>Centurion Wealth Management Limited</t>
  </si>
  <si>
    <t>https://www.centurioncfp.co.uk/</t>
  </si>
  <si>
    <t>Weston-Cummins Limited</t>
  </si>
  <si>
    <t>Find Peace of Mind Ltd</t>
  </si>
  <si>
    <t>https://www.findpeaceofmind.co.uk/</t>
  </si>
  <si>
    <t>Platinum Financial Services Ltd</t>
  </si>
  <si>
    <t>https://www.platinumfsl.com/</t>
  </si>
  <si>
    <t>Pryor Portfolio Management Limited</t>
  </si>
  <si>
    <t>https://www.ppmfinancialplanning.com/</t>
  </si>
  <si>
    <t>Simply Ethical Financial Services Ltd</t>
  </si>
  <si>
    <t>https://www.simplyethical.com/</t>
  </si>
  <si>
    <t>Glynneath Financial Services Limited</t>
  </si>
  <si>
    <t>https://www.glynneathfinancialservices.co.uk/</t>
  </si>
  <si>
    <t>Border Finance Ltd</t>
  </si>
  <si>
    <t>https://www.borderfinance.co.uk/</t>
  </si>
  <si>
    <t>Carrmichaels Ltd</t>
  </si>
  <si>
    <t>Elm Tree Financial Services Limited</t>
  </si>
  <si>
    <t>https://www.elmtreeifa.co.uk/</t>
  </si>
  <si>
    <t>Simple Solutions Financial Management Ltd</t>
  </si>
  <si>
    <t>Longbon &amp; Co Ltd</t>
  </si>
  <si>
    <t>https://www.longbon.com/</t>
  </si>
  <si>
    <t>Forgeron Financial Planning Ltd</t>
  </si>
  <si>
    <t>CJT Financial Planning Ltd</t>
  </si>
  <si>
    <t>www.cjt.uk.com</t>
  </si>
  <si>
    <t>Black Dog Financial Services Ltd</t>
  </si>
  <si>
    <t>Carnwyllon Wealth Management Ltd</t>
  </si>
  <si>
    <t>Choice Independent Financial Services Ltd</t>
  </si>
  <si>
    <t>D S Financial Limited</t>
  </si>
  <si>
    <t>Florins Pensions &amp; Investments Ltd</t>
  </si>
  <si>
    <t>www.florins.co.uk</t>
  </si>
  <si>
    <t>ARBION LIMITED</t>
  </si>
  <si>
    <t>www.arbion.com</t>
  </si>
  <si>
    <t>Kim Bayliss Wealth Management Limited</t>
  </si>
  <si>
    <t>https://www.kbwm.co.uk/</t>
  </si>
  <si>
    <t>Hazelton Mountford Jefferies Limited</t>
  </si>
  <si>
    <t>https://www.hmjfinancialservices.co.uk/</t>
  </si>
  <si>
    <t>LMJ Financial Management Ltd</t>
  </si>
  <si>
    <t>https://www.lmjfm.co.uk/</t>
  </si>
  <si>
    <t>James Hambro &amp; Partners LLP</t>
  </si>
  <si>
    <t>www.jameshambro.com</t>
  </si>
  <si>
    <t>Wealth Management Experts Ltd</t>
  </si>
  <si>
    <t>Shipman Financial Planning Ltd</t>
  </si>
  <si>
    <t>www.shipmanfp.co.uk</t>
  </si>
  <si>
    <t>Martyn Quantick</t>
  </si>
  <si>
    <t>https://quantickfinancialservices.com/</t>
  </si>
  <si>
    <t>Time Financial Management Ltd</t>
  </si>
  <si>
    <t>https://www.timefinancialmanagement.co.uk/</t>
  </si>
  <si>
    <t>J M Wakeling Independent Financial Advisers Ltd</t>
  </si>
  <si>
    <t>https://www.jmwifa.co.uk/</t>
  </si>
  <si>
    <t>HFMC Wealth Limited</t>
  </si>
  <si>
    <t>www.hfmcwealth.com</t>
  </si>
  <si>
    <t>Select Full accounts made up to April 2024</t>
  </si>
  <si>
    <t>Goodmans Financial Planning Ltd</t>
  </si>
  <si>
    <t>www.goodmansfp.com</t>
  </si>
  <si>
    <t>Achieve Financial Planning Ltd</t>
  </si>
  <si>
    <t>https://www.achievefp.com/</t>
  </si>
  <si>
    <t>Rice Whatmough Crozier LLP</t>
  </si>
  <si>
    <t>https://www.ricewhatmoughcrozier.co.uk/</t>
  </si>
  <si>
    <t>Donre Advisory Limited</t>
  </si>
  <si>
    <t>Bridgegate Financial Solutions Limited</t>
  </si>
  <si>
    <t>Tayside Investments Ltd</t>
  </si>
  <si>
    <t>Bluetrust Limited</t>
  </si>
  <si>
    <t>https://www.bluetrust.co.uk/</t>
  </si>
  <si>
    <t>Shailesh Poptani</t>
  </si>
  <si>
    <t>Glebe Portman Ltd</t>
  </si>
  <si>
    <t>www.glebeportman.com</t>
  </si>
  <si>
    <t>ALTYX FINANCIAL PLANNING Ltd</t>
  </si>
  <si>
    <t>altyxfp.com</t>
  </si>
  <si>
    <t>Eastwood Financial Solutions Ltd</t>
  </si>
  <si>
    <t>https://www.eastwood-ifa.co.uk/</t>
  </si>
  <si>
    <t>Bentley Grove Financial Solutions LLP</t>
  </si>
  <si>
    <t>https://www.bentleygrove.co.uk/</t>
  </si>
  <si>
    <t>IUR Capital Ltd</t>
  </si>
  <si>
    <t>www.iurcapital.com</t>
  </si>
  <si>
    <t>Park Hall Financial Services Limited</t>
  </si>
  <si>
    <t>https://www.parkhall.co.uk/</t>
  </si>
  <si>
    <t>Chiltern Consultancy Limited</t>
  </si>
  <si>
    <t>https://www.chilternconsultancyltd.com/</t>
  </si>
  <si>
    <t>CBH Wealth UK Limited</t>
  </si>
  <si>
    <t>www.cbhbank.com/uk</t>
  </si>
  <si>
    <t>Financial Solutions NI LLP</t>
  </si>
  <si>
    <t>https://www.financialsolutionsni.com/</t>
  </si>
  <si>
    <t>Emirates NBD Bank (P.J.S.C)</t>
  </si>
  <si>
    <t>www.emiratesnbd.co.uk</t>
  </si>
  <si>
    <t>Chrystal Capital Partners LLP</t>
  </si>
  <si>
    <t>www.chrystalcapital.com</t>
  </si>
  <si>
    <t>Kingsfleet Wealth Limited</t>
  </si>
  <si>
    <t>kingsfleetwealth.co.uk</t>
  </si>
  <si>
    <t>Belisarius Wealth Management Limited</t>
  </si>
  <si>
    <t>www.belisariuswm.co.uk</t>
  </si>
  <si>
    <t>Paul Walsh Financial Services Ltd</t>
  </si>
  <si>
    <t>HFMC Wealth Partners LLP</t>
  </si>
  <si>
    <t>Aspinalls Family Office LLP</t>
  </si>
  <si>
    <t>Yew Tree Financial Planning Ltd</t>
  </si>
  <si>
    <t>www.yewtreefp.co.uk</t>
  </si>
  <si>
    <t>Charles Dickson Financial Planning LLP</t>
  </si>
  <si>
    <t>https://www.cdfp-ifa.co.uk/</t>
  </si>
  <si>
    <t>Futura Wealth Management Ltd</t>
  </si>
  <si>
    <t>https://www.futurafs.com/</t>
  </si>
  <si>
    <t>Financial Tracking &amp; Advice Limited</t>
  </si>
  <si>
    <t>Woolley &amp; Harris Independent Financial Advisers Limited</t>
  </si>
  <si>
    <t>Doubletree Financial Services Ltd</t>
  </si>
  <si>
    <t>Coates &amp; Co Financial Planning Ltd</t>
  </si>
  <si>
    <t>Affinity Wealth Management (NW) Ltd</t>
  </si>
  <si>
    <t>Sandycross Wealth Management LLP</t>
  </si>
  <si>
    <t>https://www.sandycrosswealth.co.uk/</t>
  </si>
  <si>
    <t>Greshams Independent Financial Advisors Limited</t>
  </si>
  <si>
    <t>Tamsel (UK) Limited</t>
  </si>
  <si>
    <t>Altior Vita LLP</t>
  </si>
  <si>
    <t>www.altiorvita.com</t>
  </si>
  <si>
    <t>Abacus Assurance Financial Services Ltd</t>
  </si>
  <si>
    <t>https://www.abacusassurance.co.uk/</t>
  </si>
  <si>
    <t>Austin-Chapel Independent Financial Advisers LLP</t>
  </si>
  <si>
    <t>https://www.austinchapel.co.uk/</t>
  </si>
  <si>
    <t>G &amp; S Investment &amp; Mortgages Ltd</t>
  </si>
  <si>
    <t>N W B Consultants Limited</t>
  </si>
  <si>
    <t>Ashberg Limited</t>
  </si>
  <si>
    <t>www.ashbergmfo.com</t>
  </si>
  <si>
    <t>St George's Financial Services Ltd</t>
  </si>
  <si>
    <t>https://www.stgeorgesfs.co.uk/</t>
  </si>
  <si>
    <t>Cresswell Cadenhead &amp; Co Limited</t>
  </si>
  <si>
    <t>https://www.cc-wm.co.uk/</t>
  </si>
  <si>
    <t>West Wake Price LLP</t>
  </si>
  <si>
    <t>www.westwakeprice.co.uk</t>
  </si>
  <si>
    <t>Wealthwise Corporate Financial Management Ltd</t>
  </si>
  <si>
    <t>https://www.wealthwise.co.uk/</t>
  </si>
  <si>
    <t>Prosperity Medical Financial Services LLP</t>
  </si>
  <si>
    <t>https://www.prosperitymedical.co.uk/</t>
  </si>
  <si>
    <t>S. P. Angel Corporate Finance LLP</t>
  </si>
  <si>
    <t>www.spangel.co.uk</t>
  </si>
  <si>
    <t>Taurus Global Financial Advisers Ltd</t>
  </si>
  <si>
    <t>R&amp;S Associates Financial Planning Limited</t>
  </si>
  <si>
    <t>Financial Professionals (NI) Ltd</t>
  </si>
  <si>
    <t>https://www.fpni.co.uk/</t>
  </si>
  <si>
    <t>Verso Investment Management LLP</t>
  </si>
  <si>
    <t>http://www.versoim.com/</t>
  </si>
  <si>
    <t>Ten Wealth Management Limited</t>
  </si>
  <si>
    <t>www.tenwealth.co.uk</t>
  </si>
  <si>
    <t>44 Financial Limited</t>
  </si>
  <si>
    <t>https://www.44financial.co.uk/</t>
  </si>
  <si>
    <t>Barker Maule Limited</t>
  </si>
  <si>
    <t>https://www.barkermaule.co.uk/</t>
  </si>
  <si>
    <t>Paton Wealth Management Limited</t>
  </si>
  <si>
    <t>https://www.patonwealthmanagement.co.uk/</t>
  </si>
  <si>
    <t>Kate Philip</t>
  </si>
  <si>
    <t>GA Hicks Associates Ltd</t>
  </si>
  <si>
    <t>https://www.gahicksassociates.co.uk/</t>
  </si>
  <si>
    <t>AMG Wealth Solutions LLP</t>
  </si>
  <si>
    <t>www.amgwealthsolutions.co.uk</t>
  </si>
  <si>
    <t>Greenwood Financial Planning LLP</t>
  </si>
  <si>
    <t>https://www.greenwoodfinancialplanning.co.uk/</t>
  </si>
  <si>
    <t>Travis Yates Limited</t>
  </si>
  <si>
    <t>https://www.travisyates.com/</t>
  </si>
  <si>
    <t>Perspective (North) Limited</t>
  </si>
  <si>
    <t>http://www.pfgl.co.uk/north</t>
  </si>
  <si>
    <t>Lindley Financial Management Ltd</t>
  </si>
  <si>
    <t>https://www.lindleyfinancial.co.uk/</t>
  </si>
  <si>
    <t>Chatfield Private Client Ltd</t>
  </si>
  <si>
    <t>www.chatfieldprivateclient.com</t>
  </si>
  <si>
    <t>Secure Asset Funds Europe Ltd</t>
  </si>
  <si>
    <t>Langton Capital Ltd</t>
  </si>
  <si>
    <t>www.langtoncapital.co.uk</t>
  </si>
  <si>
    <t>ASFC LLP</t>
  </si>
  <si>
    <t>www.atlanticswissprivateclients.com</t>
  </si>
  <si>
    <t>Independent Financial Services 4 You Ltd</t>
  </si>
  <si>
    <t>NFP Benefits Consultants Limited</t>
  </si>
  <si>
    <t>nfp.co.uk</t>
  </si>
  <si>
    <t>Mark Brookes IFA</t>
  </si>
  <si>
    <t>Centurion Financial Planning Limited</t>
  </si>
  <si>
    <t>https://www.centurionfp.co.uk/</t>
  </si>
  <si>
    <t>AFL Wealth Management Ltd</t>
  </si>
  <si>
    <t>Clarion Wealth Planning Limited</t>
  </si>
  <si>
    <t>https://www.clarionwealth.co.uk/</t>
  </si>
  <si>
    <t>The Aspire Partnership LLP</t>
  </si>
  <si>
    <t>www.aspirellp.co.uk</t>
  </si>
  <si>
    <t>The Tavistock Partnership Limited</t>
  </si>
  <si>
    <t>Estate and Property Ltd</t>
  </si>
  <si>
    <t>John Morrison</t>
  </si>
  <si>
    <t>Highwood Financial Services</t>
  </si>
  <si>
    <t>https://www.highwood.co.uk/</t>
  </si>
  <si>
    <t>min 350k investable hence 1% of 350k for fee</t>
  </si>
  <si>
    <t>https://www.highwood.co.uk/fees/</t>
  </si>
  <si>
    <t>HIGHWOOD FINANCIAL SERVICES LIMITED filing history - Find and update company information - GOV.UK</t>
  </si>
  <si>
    <t>Alpha Wealth Ltd</t>
  </si>
  <si>
    <t>https://www.alphaifa.com/</t>
  </si>
  <si>
    <t>Chase Asset Management Ltd</t>
  </si>
  <si>
    <t>https://www.chaseam.co.uk/</t>
  </si>
  <si>
    <t>Griersons Financial Ltd</t>
  </si>
  <si>
    <t>Integrity Pensions &amp; Investments Ltd</t>
  </si>
  <si>
    <t>https://www.integritypi.co.uk/</t>
  </si>
  <si>
    <t>Peter Donnelly</t>
  </si>
  <si>
    <t>Nicholas Corfield</t>
  </si>
  <si>
    <t>https://www.impactfinancialplanning.co.uk/</t>
  </si>
  <si>
    <t>Simon Hannam Ltd</t>
  </si>
  <si>
    <t>Milburn Davies Partnership Limited</t>
  </si>
  <si>
    <t>www.milburndavies.co.uk</t>
  </si>
  <si>
    <t>Hargreaves Lansdown Advisory Services Limited</t>
  </si>
  <si>
    <t>www.hl.co.uk/financial-advice</t>
  </si>
  <si>
    <t>They don't manufacture they have a large panel of product</t>
  </si>
  <si>
    <t>https://www.hl.co.uk/financial-advice</t>
  </si>
  <si>
    <t>HL Balanced Managed (Class A) Accumulation Fund Price &amp; Information</t>
  </si>
  <si>
    <t>HARGREAVES LANSDOWN ADVISORY SERVICES LIMITED filing history - Find and update company information - GOV.UK</t>
  </si>
  <si>
    <t>Bell Financial Planning Limited</t>
  </si>
  <si>
    <t>https://www.bellfinancialplanning.co.uk/</t>
  </si>
  <si>
    <t>Holden &amp; Co</t>
  </si>
  <si>
    <t>https://www.holden-partners.co.uk/</t>
  </si>
  <si>
    <t>Ongoing advice included in fee</t>
  </si>
  <si>
    <t>https://www.holden-partners.co.uk/fees/</t>
  </si>
  <si>
    <t>select 2024 total exemption full accounts</t>
  </si>
  <si>
    <t>Connectus Wealth Limited</t>
  </si>
  <si>
    <t>https://www.tridentfp.co.uk/</t>
  </si>
  <si>
    <t>Montpellier Asset Management Ltd</t>
  </si>
  <si>
    <t>www.montpellierasset.com</t>
  </si>
  <si>
    <t>Scott Financial Planning Limited</t>
  </si>
  <si>
    <t>https://www.scottfinancial.co.uk/</t>
  </si>
  <si>
    <t>McLaren Capital Limited</t>
  </si>
  <si>
    <t>https://www.mclarencapital.co.uk/</t>
  </si>
  <si>
    <t>Shape Pensions &amp; Advisory Services Ltd</t>
  </si>
  <si>
    <t>https://www.shapepensions.co.uk/</t>
  </si>
  <si>
    <t>Trevor William Kettle</t>
  </si>
  <si>
    <t>Medical Assurance Bureau (Midlands) Ltd</t>
  </si>
  <si>
    <t>https://www.medicalassurancebureau.co.uk/</t>
  </si>
  <si>
    <t>Freeman Financial Services Limited</t>
  </si>
  <si>
    <t>https://www.pinnacle-wealth.co.uk/</t>
  </si>
  <si>
    <t>Morgan Wealth Management Limited</t>
  </si>
  <si>
    <t>Peter R.T Holden &amp; Partners LLP</t>
  </si>
  <si>
    <t>www.holden - partners.co.uk</t>
  </si>
  <si>
    <t>PETER R.T. HOLDEN &amp; PARTNERS LLP filing history - Find and update company information - GOV.UK</t>
  </si>
  <si>
    <t>D B Financial Management Limited</t>
  </si>
  <si>
    <t>https://www.bridgeifa.com/</t>
  </si>
  <si>
    <t>Clark Boyle Limited</t>
  </si>
  <si>
    <t>PX Wealth Limited</t>
  </si>
  <si>
    <t>www.px - wealth.com</t>
  </si>
  <si>
    <t>Census Wealth Management Limited</t>
  </si>
  <si>
    <t>www.censuswm.co.uk</t>
  </si>
  <si>
    <t>Independent Benefit Consultancy Limited</t>
  </si>
  <si>
    <t>McCoubrey Investment Management Limited</t>
  </si>
  <si>
    <t>Finsgate LLP</t>
  </si>
  <si>
    <t>https://www.finsgate.com/</t>
  </si>
  <si>
    <t>Kilgour Wealth Management Limited</t>
  </si>
  <si>
    <t>David Hopkinson IFA Limited</t>
  </si>
  <si>
    <t>Nelsons Solicitors Limited</t>
  </si>
  <si>
    <t>www.nelsonslaw.co.uk</t>
  </si>
  <si>
    <t>Gill Financial Services Limited</t>
  </si>
  <si>
    <t>https://www.gfsmontrose.com/</t>
  </si>
  <si>
    <t>D G Financial Services Limited</t>
  </si>
  <si>
    <t>https://www.dgfs.biz/</t>
  </si>
  <si>
    <t>Antrams Financial Services LLP</t>
  </si>
  <si>
    <t>Green Financial Advice Limited</t>
  </si>
  <si>
    <t>https://www.iangreen.com/</t>
  </si>
  <si>
    <t>SYLVA FINANCIAL PLANNING LIMITED</t>
  </si>
  <si>
    <t>www.sylvafinancialplanning.com</t>
  </si>
  <si>
    <t>Independent Financial Advice Bureau Limited</t>
  </si>
  <si>
    <t>ABN AMRO Bank NV</t>
  </si>
  <si>
    <t>https://www.abnamro.com/en/home</t>
  </si>
  <si>
    <t>Inspired Financial Solutions Limited</t>
  </si>
  <si>
    <t>inspiredfs.co.uk</t>
  </si>
  <si>
    <t>Martyn Barnes</t>
  </si>
  <si>
    <t>www.bramptonindependent.co.uk</t>
  </si>
  <si>
    <t>Peter Riley IFA Limited</t>
  </si>
  <si>
    <t>Compass Financial Management LLP</t>
  </si>
  <si>
    <t>Digby Holman</t>
  </si>
  <si>
    <t>Independent Advice Limited</t>
  </si>
  <si>
    <t>Paul Tillcock Financial Solutions Limited</t>
  </si>
  <si>
    <t>https://www.ptfs.tppowered.com/</t>
  </si>
  <si>
    <t>Clear Sky Financial Consulting Ltd</t>
  </si>
  <si>
    <t>MacArthur Denton Asset Management Limited</t>
  </si>
  <si>
    <t>https://www.macarthurdenton.com/</t>
  </si>
  <si>
    <t>Washington Square Ltd</t>
  </si>
  <si>
    <t>www.washington-square.co.uk</t>
  </si>
  <si>
    <t>Jeremy Naylor</t>
  </si>
  <si>
    <t>Step-By-Step Financial Planners Limited</t>
  </si>
  <si>
    <t>https://www.sbsfp.co.uk/</t>
  </si>
  <si>
    <t>ABM Financial Management Limited</t>
  </si>
  <si>
    <t>BEST Wealth Management Ltd</t>
  </si>
  <si>
    <t>ISACO Limited</t>
  </si>
  <si>
    <t>https://www.isaco.co.uk/</t>
  </si>
  <si>
    <t>Rapport Financial Planning Ltd</t>
  </si>
  <si>
    <t>https://www.rapportfp.co.uk/</t>
  </si>
  <si>
    <t>MICHAEL BARNES FINANCIAL SERVICES LTD</t>
  </si>
  <si>
    <t>https://www.mvb.tppowered.com/</t>
  </si>
  <si>
    <t>JPRS (South West) Limited</t>
  </si>
  <si>
    <t>https://www.loughtons.co.uk/</t>
  </si>
  <si>
    <t>Howard Wealth Management Limited</t>
  </si>
  <si>
    <t>https://www.howardwealth.com/</t>
  </si>
  <si>
    <t>Investax Limited</t>
  </si>
  <si>
    <t>https://www.investaxlimited.co.uk/</t>
  </si>
  <si>
    <t>https://www.investaxlimited.co.uk/our-fees/</t>
  </si>
  <si>
    <t>INVESTAX LIMITED filing history - Find and update company information - GOV.UK</t>
  </si>
  <si>
    <t>Synergy Wealth Management Ltd</t>
  </si>
  <si>
    <t>synergy. tppowered.com</t>
  </si>
  <si>
    <t>Investing Ethically Ltd</t>
  </si>
  <si>
    <t>www.investing-ethically.co.uk</t>
  </si>
  <si>
    <t>https://www.investing-ethically.co.uk/new-wordpress/wp-content/uploads/2024/01/investing-ethically-client-fee-agreement-v11-march-2023-st0072.pdf</t>
  </si>
  <si>
    <t>INVESTING ETHICALLY LTD filing history - Find and update company information - GOV.UK</t>
  </si>
  <si>
    <t>Hanson Asset Management Limited</t>
  </si>
  <si>
    <t>www.hansonam.com</t>
  </si>
  <si>
    <t>Ford IFA Limited</t>
  </si>
  <si>
    <t>www.fordharrisonifa.co.uk</t>
  </si>
  <si>
    <t>Brendan Miskella Ltd</t>
  </si>
  <si>
    <t>GoddardFry Wealth Management Limited</t>
  </si>
  <si>
    <t>https://www.goddardfry.co.uk/</t>
  </si>
  <si>
    <t>James Cunningham</t>
  </si>
  <si>
    <t>Premier Financial Group Limited</t>
  </si>
  <si>
    <t>www.premierfinancialgroup.co.uk</t>
  </si>
  <si>
    <t>Perspective (Gould Financial Planning) Limited</t>
  </si>
  <si>
    <t>www.pfgl.co.uk/gould</t>
  </si>
  <si>
    <t>W1 Financial Services Limited</t>
  </si>
  <si>
    <t>www.w 1 finance.com</t>
  </si>
  <si>
    <t>Thomas Whiting Limited</t>
  </si>
  <si>
    <t>Quigley &amp; Partners Limited</t>
  </si>
  <si>
    <t>4wealth Ltd</t>
  </si>
  <si>
    <t>Malcolm Aplin</t>
  </si>
  <si>
    <t>Isis Financial Planners Limited</t>
  </si>
  <si>
    <t>https://www.isisfp.co.uk/</t>
  </si>
  <si>
    <t>https://www.isisfp.co.uk/fees/</t>
  </si>
  <si>
    <t>ISIS FINANCIAL PLANNERS LIMITED filing history - Find and update company information - GOV.UK</t>
  </si>
  <si>
    <t>Enterprise Financial Services UK Limited</t>
  </si>
  <si>
    <t>https://www.efsuk.co.uk/</t>
  </si>
  <si>
    <t>Ifamax Limited</t>
  </si>
  <si>
    <t>www.ifamax.com</t>
  </si>
  <si>
    <t>Beacon Wealth Management Limited</t>
  </si>
  <si>
    <t>https://www.beaconwm.co.uk/</t>
  </si>
  <si>
    <t>ILM Financial Limited</t>
  </si>
  <si>
    <t>https://www.ilmfinancial.co.uk/</t>
  </si>
  <si>
    <t>THROGMORTON FINANCIAL ADVICE LIMITED</t>
  </si>
  <si>
    <t>Town &amp; Country Financial Planning Limited</t>
  </si>
  <si>
    <t>https://www.tandc.org.uk/</t>
  </si>
  <si>
    <t>Peter Reilly</t>
  </si>
  <si>
    <t>Evans Falco LLP</t>
  </si>
  <si>
    <t>AM Financial Planning Limited</t>
  </si>
  <si>
    <t>John Kirkpatrick</t>
  </si>
  <si>
    <t>David Munro Financial Services Limited</t>
  </si>
  <si>
    <t>Headley Financial Services Limited</t>
  </si>
  <si>
    <t>https://www.headleyfs.com/</t>
  </si>
  <si>
    <t>KD Wright Financial Services Limited</t>
  </si>
  <si>
    <t>https://www.kdw.co.uk/</t>
  </si>
  <si>
    <t>https://www.kdw.co.uk/assets/downloads/client-agreement-2023.pdf</t>
  </si>
  <si>
    <t>KD WRIGHT FINANCIAL SERVICES LIMITED filing history - Find and update company information - GOV.UK</t>
  </si>
  <si>
    <t>Stewart Wealth Management Ltd</t>
  </si>
  <si>
    <t>www.swm-ltd.co.uk</t>
  </si>
  <si>
    <t>Absolute Return Investment Advisers (ARIA) Limited</t>
  </si>
  <si>
    <t>https://www.ariaprivateclients.com/</t>
  </si>
  <si>
    <t>Vanguard Asset Management, Ltd</t>
  </si>
  <si>
    <t>www.vanguardinvestor.co.uk</t>
  </si>
  <si>
    <t>Financial Therapeutics UK Ltd</t>
  </si>
  <si>
    <t>https://www.financialtherapeutics.co.uk/</t>
  </si>
  <si>
    <t>Selwyn Goldberg</t>
  </si>
  <si>
    <t>Michael Hancock</t>
  </si>
  <si>
    <t>Always Independent Financial Solutions Ltd</t>
  </si>
  <si>
    <t>https://www.alwaysindependent.co.uk/</t>
  </si>
  <si>
    <t>Jigsaw Corporate Financial Management Limited</t>
  </si>
  <si>
    <t>www.jigsaw-cfm.co.uk</t>
  </si>
  <si>
    <t>MN Consultancy Ltd</t>
  </si>
  <si>
    <t>https://www.mnconsultancyltd.co.uk/</t>
  </si>
  <si>
    <t>Slater Financial Limited</t>
  </si>
  <si>
    <t>https://www.slaterfinancial.co.uk/</t>
  </si>
  <si>
    <t>Keyte Limited</t>
  </si>
  <si>
    <t>https://www.keyte.co/</t>
  </si>
  <si>
    <t>https://www.keyte.co/services/fees-and-charges</t>
  </si>
  <si>
    <t>KEYTE LIMITED filing history - Find and update company information - GOV.UK</t>
  </si>
  <si>
    <t>Herbert &amp; Webster Ltd</t>
  </si>
  <si>
    <t>https://www.herbertandwebster.co.uk/</t>
  </si>
  <si>
    <t>Christopher Mordecai</t>
  </si>
  <si>
    <t>Wiser Wealth Limited</t>
  </si>
  <si>
    <t>https://www.wiser-wealth.com/</t>
  </si>
  <si>
    <t>P J Mortgages (UK) Limited</t>
  </si>
  <si>
    <t>Heaton Financial Independent Financial Advisers Limited</t>
  </si>
  <si>
    <t>www.heatonfinancial.co.uk</t>
  </si>
  <si>
    <t>Grosvenor Birch Limited</t>
  </si>
  <si>
    <t>MJC Financial Planning Limited</t>
  </si>
  <si>
    <t>M Hunter &amp; Co Limited</t>
  </si>
  <si>
    <t>Christopher Charles Financial Services Limited</t>
  </si>
  <si>
    <t>www.christophercharles.com</t>
  </si>
  <si>
    <t>Elite Financial Consulting Ltd</t>
  </si>
  <si>
    <t>www.elitefinancialconsulting.co.uk</t>
  </si>
  <si>
    <t>IJS Financial Solutions Limited</t>
  </si>
  <si>
    <t>Phillips Financial Planning Ltd</t>
  </si>
  <si>
    <t>https://www.phillipsfp.co.uk/</t>
  </si>
  <si>
    <t>Waverton Wealth Planning LLP</t>
  </si>
  <si>
    <t>Russell &amp; Co Financial Advisers LLP</t>
  </si>
  <si>
    <t>Geoff Rowland</t>
  </si>
  <si>
    <t>https://www.rowlandindependent.co.uk/</t>
  </si>
  <si>
    <t>La Bourse Limited</t>
  </si>
  <si>
    <t>www.labourse.co.uk</t>
  </si>
  <si>
    <t>Initial fee tiered, 1.5% on 50k and 1% on top 50k</t>
  </si>
  <si>
    <t>https://www.labourse.co.uk/client-agreement/</t>
  </si>
  <si>
    <t>LA BOURSE LIMITED filing history - Find and update company information - GOV.UK</t>
  </si>
  <si>
    <t>Holbein Partners LLP</t>
  </si>
  <si>
    <t>www.holbeinpartners.com</t>
  </si>
  <si>
    <t>OPUS Independent Financial Planning Limited</t>
  </si>
  <si>
    <t>www.opus-ifp.com</t>
  </si>
  <si>
    <t>Janus Financial Consultancy Limited</t>
  </si>
  <si>
    <t>https://www.janusconsultancy.com/</t>
  </si>
  <si>
    <t>Evolve Wealth Limited</t>
  </si>
  <si>
    <t>https://www.evolvewealth.co.uk/</t>
  </si>
  <si>
    <t>Caple Banks Limited</t>
  </si>
  <si>
    <t>https://www.caplebanks.co.uk/</t>
  </si>
  <si>
    <t>LFP Limited</t>
  </si>
  <si>
    <t>www.lfpassetmanagement.com</t>
  </si>
  <si>
    <t>https://www.lfpassetmanagement.com/lfp-asset-management-fee-structure/</t>
  </si>
  <si>
    <t>LFP LIMITED filing history - Find and update company information - GOV.UK</t>
  </si>
  <si>
    <t>Ayrin Financial Management</t>
  </si>
  <si>
    <t>Chamberlain Wealth Management Limited</t>
  </si>
  <si>
    <t>https://www.thechamberlaingroup.com/</t>
  </si>
  <si>
    <t>Thomas Fear &amp; Co Limited</t>
  </si>
  <si>
    <t>www.thomasfear.co.uk</t>
  </si>
  <si>
    <t>KM Financial Solutions LLP</t>
  </si>
  <si>
    <t>Pennymatters Limited</t>
  </si>
  <si>
    <t>https://www.pennymatters.co.uk/</t>
  </si>
  <si>
    <t>J H Lowson &amp; Company Limited</t>
  </si>
  <si>
    <t>https://www.lowco.uk/</t>
  </si>
  <si>
    <t>Per hour charge</t>
  </si>
  <si>
    <t>https://www.lowco.uk/wp-content/uploads/2017/11/LOWCO-TERMS-CONDITIONS.pdf</t>
  </si>
  <si>
    <t>J H LOWSON &amp; COMPANY LIMITED filing history - Find and update company information - GOV.UK</t>
  </si>
  <si>
    <t>Philip James Financial Services Ltd.</t>
  </si>
  <si>
    <t>Anderson Financial Planning Limited</t>
  </si>
  <si>
    <t>Sandringham Financial Partners Limited</t>
  </si>
  <si>
    <t>www.mandg.com/wealth/advice</t>
  </si>
  <si>
    <t>Part of M&amp;G/ no ongoing mentioned</t>
  </si>
  <si>
    <t>https://www.mandg.com/wealth/advice/our-services/costs-and-charges</t>
  </si>
  <si>
    <t>M&amp;G WEALTH SOLUTIONS LIMITED filing history - Find and update company information - GOV.UK</t>
  </si>
  <si>
    <t>Astute Private Wealth Limited</t>
  </si>
  <si>
    <t>https://www.astuteprivatewealth.co.uk/</t>
  </si>
  <si>
    <t>Kirk Rice LLP</t>
  </si>
  <si>
    <t>https://www.kirkrice.co.uk/</t>
  </si>
  <si>
    <t>James &amp; James Financial Advisers Limited</t>
  </si>
  <si>
    <t>https://www.jandjadvisers.co.uk/</t>
  </si>
  <si>
    <t>Glamorgan 1:1 Financial Limited</t>
  </si>
  <si>
    <t>https://www.glamorgan121.com/</t>
  </si>
  <si>
    <t>Lifeplan Financial Management Limited</t>
  </si>
  <si>
    <t>https://www.lifeplanfm.co.uk/</t>
  </si>
  <si>
    <t>FB Wealth Management Ltd</t>
  </si>
  <si>
    <t>https://www.fbwealth.co.uk/</t>
  </si>
  <si>
    <t>Gibson Financial Planning Ltd</t>
  </si>
  <si>
    <t>https://www.gibsonfp.com/</t>
  </si>
  <si>
    <t>AW Financial Management LLP</t>
  </si>
  <si>
    <t>https://www.awfm.co.uk/</t>
  </si>
  <si>
    <t>Legacy / CKS</t>
  </si>
  <si>
    <t>https://www.legacycks.com/</t>
  </si>
  <si>
    <t>Roberts Boyt Limited</t>
  </si>
  <si>
    <t>Black Label Financial Ltd</t>
  </si>
  <si>
    <t>Storrar Crane Ltd</t>
  </si>
  <si>
    <t>Bruce Bennett</t>
  </si>
  <si>
    <t>Lancett &amp; Co Limited</t>
  </si>
  <si>
    <t>https://www.lancettifa.co.uk/</t>
  </si>
  <si>
    <t>Kenyon Clarke Financial Services Ltd</t>
  </si>
  <si>
    <t>https://www.kenyonclarke.co.uk/</t>
  </si>
  <si>
    <t>Russell Gibson Financial Management Limited</t>
  </si>
  <si>
    <t>www.russellgibson.co.uk</t>
  </si>
  <si>
    <t>ERG Financial Planning Limited</t>
  </si>
  <si>
    <t>http://ergfinancialplanning.com/</t>
  </si>
  <si>
    <t>Theo Filippeos</t>
  </si>
  <si>
    <t>M&amp;G Wealth Advice Limited</t>
  </si>
  <si>
    <t>Piggybank UK Limited</t>
  </si>
  <si>
    <t>https://www.cia-online.net/</t>
  </si>
  <si>
    <t>Magenta Financial Services Limited</t>
  </si>
  <si>
    <t>www.magentafinancialservicesltd.co.uk</t>
  </si>
  <si>
    <t>Brunsdon Financial Services Limited</t>
  </si>
  <si>
    <t>https://www.brunsdonfinancial.co.uk/</t>
  </si>
  <si>
    <t>Core Independent Financial Planning Limited</t>
  </si>
  <si>
    <t>Quantock Analytical Ltd</t>
  </si>
  <si>
    <t>https://www.quantockanalytical.co.uk/</t>
  </si>
  <si>
    <t>Smith Square Partners LLP</t>
  </si>
  <si>
    <t>www.smithsquarepartners.com</t>
  </si>
  <si>
    <t>London &amp; Eastern LLP</t>
  </si>
  <si>
    <t>https://pelicantrading.io/</t>
  </si>
  <si>
    <t>RMP Financial LLP</t>
  </si>
  <si>
    <t>https://www.rmpfinancial.co.uk/</t>
  </si>
  <si>
    <t>Perceptive Planning Limited</t>
  </si>
  <si>
    <t>https://www.perceptiveplanning.co.uk/</t>
  </si>
  <si>
    <t>McLean Financial Planning</t>
  </si>
  <si>
    <t>Mr Stephen Alan Clarke</t>
  </si>
  <si>
    <t>Philip J Milton &amp; Company Plc</t>
  </si>
  <si>
    <t>https://www.miltonpj.net/</t>
  </si>
  <si>
    <t xml:space="preserve">No ongoing as investment will be discretionary </t>
  </si>
  <si>
    <t>https://www.miltonpj.net/our-charges/</t>
  </si>
  <si>
    <t>Balanced Portfolio.pdf</t>
  </si>
  <si>
    <t>PHILIP J MILTON &amp; COMPANY PLC filing history - Find and update company information - GOV.UK</t>
  </si>
  <si>
    <t>Patrick O'Neill</t>
  </si>
  <si>
    <t>Rosemount Financial Solutions (IFA) Limited</t>
  </si>
  <si>
    <t>Attain Wealth Management Limited</t>
  </si>
  <si>
    <t>https://www.attainwealthmanagement.co.uk/</t>
  </si>
  <si>
    <t>Taylormade Financial Planning LLP</t>
  </si>
  <si>
    <t>Wealthmasters Financial Management Ltd</t>
  </si>
  <si>
    <t>www.begbies-traynor.com</t>
  </si>
  <si>
    <t>Legacy Financial Solutions Limited</t>
  </si>
  <si>
    <t>https://www.legacyfinancialsolutions.co.uk/</t>
  </si>
  <si>
    <t>Ian Jeffrey Levey</t>
  </si>
  <si>
    <t>www.salusfs.co.uk</t>
  </si>
  <si>
    <t>Churchgate Accountants Limited</t>
  </si>
  <si>
    <t>https://www.churchgates.co.uk/</t>
  </si>
  <si>
    <t>Carbon Financial Partners Ltd</t>
  </si>
  <si>
    <t>https://www.carbonfinancial.co.uk/</t>
  </si>
  <si>
    <t>Practical Financial Planning Ltd</t>
  </si>
  <si>
    <t>Financial Design (Independent Financial Advisors) Ltd</t>
  </si>
  <si>
    <t>https://www.financial-design.co.uk/</t>
  </si>
  <si>
    <t>AURA HEXAA LLP</t>
  </si>
  <si>
    <t>www.aurahexaa.com</t>
  </si>
  <si>
    <t>Rutherford Asset Management Ltd</t>
  </si>
  <si>
    <t>www.rutherfordassetmanagement.co.uk</t>
  </si>
  <si>
    <t>Sirius Financial Planning Limited</t>
  </si>
  <si>
    <t>Siriusfp.co.uk</t>
  </si>
  <si>
    <t>Blue Circle Wealth Management Ltd</t>
  </si>
  <si>
    <t>EGR WEALTH LIMITED</t>
  </si>
  <si>
    <t>www.egrwealth.com</t>
  </si>
  <si>
    <t>The Bobby Dhanjal Practice Ltd</t>
  </si>
  <si>
    <t>www.bdwm.co.uk</t>
  </si>
  <si>
    <t>ML Financial Associates Limited</t>
  </si>
  <si>
    <t>https://www.mlfinancialassociates.co.uk/</t>
  </si>
  <si>
    <t>https://www.mlfinancialassociates.co.uk/wp-content/uploads/2024/01/MLFA-Glossary-Of-Terms-Website-June-2023-v3.pdf</t>
  </si>
  <si>
    <t>St Martin's Partners LLP</t>
  </si>
  <si>
    <t>https://www.smpartners.co.uk/</t>
  </si>
  <si>
    <t>Steven Wombwell</t>
  </si>
  <si>
    <t>MONEY@IFA LIMITED</t>
  </si>
  <si>
    <t>Shard Capital Partners LLP</t>
  </si>
  <si>
    <t>www.shardcapital.com</t>
  </si>
  <si>
    <t>Kvika Securities Ltd</t>
  </si>
  <si>
    <t>www.kvika.co.uk</t>
  </si>
  <si>
    <t>EQ Investors Limited</t>
  </si>
  <si>
    <t>www.eqinvestors.co.uk</t>
  </si>
  <si>
    <t>Rowena Chowdrey</t>
  </si>
  <si>
    <t>https://www.financialmoves.org</t>
  </si>
  <si>
    <t>Mr Peter Evans</t>
  </si>
  <si>
    <t>https://www.peakfinancialplanning.co.uk/</t>
  </si>
  <si>
    <t>SCHOFIELD MONEY LIMITED</t>
  </si>
  <si>
    <t>www.schofield. money</t>
  </si>
  <si>
    <t>Hayward Manning Limited</t>
  </si>
  <si>
    <t>https://www.haywardmanning.com/</t>
  </si>
  <si>
    <t>Rosemount Independent Financial Advisers Limited</t>
  </si>
  <si>
    <t>https://www.rosemount-ifa.co.uk/</t>
  </si>
  <si>
    <t>Clarendon Financial Planning Ltd</t>
  </si>
  <si>
    <t>https://www.clarendonfp.co.uk/</t>
  </si>
  <si>
    <t>Priority Financial Planning Limited</t>
  </si>
  <si>
    <t>https://www.priorityfinancial.co.uk/</t>
  </si>
  <si>
    <t>Brian Mellor Financial Services Limited</t>
  </si>
  <si>
    <t>https://www.brianmellorfs.co.uk/</t>
  </si>
  <si>
    <t>Clearview Independent Financial Advisers Ltd</t>
  </si>
  <si>
    <t>Harris Williams &amp; Co. Ltd</t>
  </si>
  <si>
    <t>www.harriswilliams.com</t>
  </si>
  <si>
    <t>Clifton Wealth Partnership Ltd</t>
  </si>
  <si>
    <t>www.cliftonwealthpartnership.co.uk</t>
  </si>
  <si>
    <t>MMG Financial Management Limited</t>
  </si>
  <si>
    <t>www.mmgfm.co.uk</t>
  </si>
  <si>
    <t>Panthera Private Office LLP</t>
  </si>
  <si>
    <t>www.panthera.co.uk</t>
  </si>
  <si>
    <t>Plutus Wealth Management LLP</t>
  </si>
  <si>
    <t>www.plutuswealth.com</t>
  </si>
  <si>
    <t>David Charles Hesketh</t>
  </si>
  <si>
    <t>Farrell Financial Planning Limited</t>
  </si>
  <si>
    <t>https://www.ffpgroup.co.uk/</t>
  </si>
  <si>
    <t>Lifestyle (Glamorgan) Limited</t>
  </si>
  <si>
    <t>Mainestream Financial Services Ltd</t>
  </si>
  <si>
    <t>nortonconnor.uk</t>
  </si>
  <si>
    <t>AlTi Wealth Management (UK) Limited</t>
  </si>
  <si>
    <t>https://alti - global.com/</t>
  </si>
  <si>
    <t>Edward Chappell Financial Services Ltd</t>
  </si>
  <si>
    <t>https://www.edwardchappell.co.uk/</t>
  </si>
  <si>
    <t>Armstrong Watson Financial Planning Limited</t>
  </si>
  <si>
    <t>https://www.armstrongwatson.co.uk/</t>
  </si>
  <si>
    <t>Meaning Financial Limited</t>
  </si>
  <si>
    <t>Investment &amp; Financial Solutions Partnership LLP</t>
  </si>
  <si>
    <t>https://www.ifsp-llp.co.uk/</t>
  </si>
  <si>
    <t>Financial Aspirations Lifestyle Planning Limited</t>
  </si>
  <si>
    <t>https://www.financialaspirations.com/</t>
  </si>
  <si>
    <t>O'Connor and Co (Financial Services) Limited</t>
  </si>
  <si>
    <t>www.oconnorfs.co.uk</t>
  </si>
  <si>
    <t>Lord Clarke Limited</t>
  </si>
  <si>
    <t>OANDA Europe Limited</t>
  </si>
  <si>
    <t>www.oanda.com</t>
  </si>
  <si>
    <t>INTERESTME FINANCIAL PLANNING LIMITED</t>
  </si>
  <si>
    <t>http://www.interestme.co.uk/</t>
  </si>
  <si>
    <t>County Associates (UK) LLP</t>
  </si>
  <si>
    <t>https://www.countyassociates.co.uk/</t>
  </si>
  <si>
    <t>Able Money Limited</t>
  </si>
  <si>
    <t>https://www.ablemoney.biz/</t>
  </si>
  <si>
    <t>Encompass Financial Services Limited</t>
  </si>
  <si>
    <t>https://www.encompass-fs.co.uk/</t>
  </si>
  <si>
    <t>Approachable Finance Limited</t>
  </si>
  <si>
    <t>https://www.approachablefinance.co.uk/</t>
  </si>
  <si>
    <t>Moscrops Financial Planning (Bury) LLP</t>
  </si>
  <si>
    <t>https://www.moscropsfp.co.uk/</t>
  </si>
  <si>
    <t>YOU Asset Management Limited</t>
  </si>
  <si>
    <t>www.YOU - Asset.co.uk</t>
  </si>
  <si>
    <t>Partnership Financial Planning Limited</t>
  </si>
  <si>
    <t>www.partnershipfp.co.uk</t>
  </si>
  <si>
    <t>Ashcombe Advisers LLP</t>
  </si>
  <si>
    <t>www.ashcombeadvisers.co.uk</t>
  </si>
  <si>
    <t>Arian Financial Planning Ltd</t>
  </si>
  <si>
    <t>https://www.arianfp.co.uk/</t>
  </si>
  <si>
    <t>Mark Horner</t>
  </si>
  <si>
    <t>Nicholas Plumb</t>
  </si>
  <si>
    <t>www.plumbfs.co.uk</t>
  </si>
  <si>
    <t>APC Financial Solutions and Consultancy Services Limited</t>
  </si>
  <si>
    <t>https://www.apcfinancial.co.uk/</t>
  </si>
  <si>
    <t>Downing LLP</t>
  </si>
  <si>
    <t>www.downing.co.uk</t>
  </si>
  <si>
    <t>Wilson Chambers Limited</t>
  </si>
  <si>
    <t>Mr Paul O'Brien</t>
  </si>
  <si>
    <t>https://www.tru-ifa.co.uk/</t>
  </si>
  <si>
    <t>Alpha Investments and Financial Planning Ltd</t>
  </si>
  <si>
    <t>Kamal Uddin</t>
  </si>
  <si>
    <t>Informed Independent Financial Advisers Ltd</t>
  </si>
  <si>
    <t>https://www.informedifa.co.uk/</t>
  </si>
  <si>
    <t>Capital Tower Limited</t>
  </si>
  <si>
    <t>www.capitaltower.co.uk</t>
  </si>
  <si>
    <t>Barnes &amp; Sherwood Professional Advisers Limited</t>
  </si>
  <si>
    <t>www.barnsher.co.uk</t>
  </si>
  <si>
    <t>Spencer Gardner Dickins Financial Services Ltd</t>
  </si>
  <si>
    <t>Jenkins Financial Advisers Limited</t>
  </si>
  <si>
    <t>https://www.jenkinsfinancial.co.uk/</t>
  </si>
  <si>
    <t>W.G. STEWART FINANCIAL PLANNING LTD.</t>
  </si>
  <si>
    <t>National Westminster Bank Plc</t>
  </si>
  <si>
    <t>RBS, NatWest and Coutts all one company</t>
  </si>
  <si>
    <t>https://www.natwest.com/investments/five-ready-made-funds.html</t>
  </si>
  <si>
    <t>https://www.rbs.co.uk/content/dam/royal_bank_of_scotland/personal/current-accounts/documents/PersonalXandXPrivateXCurrentXAccountXTerms.pdf</t>
  </si>
  <si>
    <t>https://find-and-update.company-information.service.gov.uk/company/00929027/filing-history</t>
  </si>
  <si>
    <t>Lloyd &amp; Co Financial Planning Ltd</t>
  </si>
  <si>
    <t>https://www.lloydfp.co.uk/</t>
  </si>
  <si>
    <t>S W Financial Management Limited</t>
  </si>
  <si>
    <t>https://www.sw-fm.co.uk/</t>
  </si>
  <si>
    <t>Rockingham Financial Services Ltd</t>
  </si>
  <si>
    <t>Ian St John Hendry</t>
  </si>
  <si>
    <t>https://www.professional-partners.co.uk/</t>
  </si>
  <si>
    <t>Taylor Watson Financial Management Ltd</t>
  </si>
  <si>
    <t>https://www.taylorwatsonfm.com/</t>
  </si>
  <si>
    <t>Sapia Partners LLP</t>
  </si>
  <si>
    <t>https://iqeq.com/sapia/</t>
  </si>
  <si>
    <t>CDC Wealth Management Limited</t>
  </si>
  <si>
    <t>https://www.cdcwm.com/</t>
  </si>
  <si>
    <t>Ken Nairn Limited</t>
  </si>
  <si>
    <t>https://www.kennairn.co.uk/</t>
  </si>
  <si>
    <t>Stephen McDine Limited</t>
  </si>
  <si>
    <t>Vision Independent Financial Advisors Limited</t>
  </si>
  <si>
    <t>https://www.visionifas.co.uk/</t>
  </si>
  <si>
    <t>Finance Shop Ltd</t>
  </si>
  <si>
    <t>www.financeshopgroup.com</t>
  </si>
  <si>
    <t>Open Door IFA Limited</t>
  </si>
  <si>
    <t>Newton Smith Ltd</t>
  </si>
  <si>
    <t>Paul Whitehead</t>
  </si>
  <si>
    <t>https://www.pwfinancialservices.co.uk/</t>
  </si>
  <si>
    <t>Paul Simons</t>
  </si>
  <si>
    <t>Moneyology Limited</t>
  </si>
  <si>
    <t>https://www.moneyology.co.uk/</t>
  </si>
  <si>
    <t>Saxo Capital Markets UK Limited</t>
  </si>
  <si>
    <t>https://www.home.saxo/en - gb/</t>
  </si>
  <si>
    <t>Simon Strapp</t>
  </si>
  <si>
    <t>Ascot Wealth Management Limited</t>
  </si>
  <si>
    <t>https://www.ascotwm.com/</t>
  </si>
  <si>
    <t>Coutts &amp; Company</t>
  </si>
  <si>
    <t>www.coutts.com</t>
  </si>
  <si>
    <t>Using NatWest/RBS Premier rate as these all same firm</t>
  </si>
  <si>
    <t>https://find-and-update.company-information.service.gov.uk/company/00036695/filing-history</t>
  </si>
  <si>
    <t>Mark J Morsley &amp; Associates Limited</t>
  </si>
  <si>
    <t>https://www.markjmorsley.com/</t>
  </si>
  <si>
    <t>Shacklocks LLP</t>
  </si>
  <si>
    <t>https://www.shacklocks.co.uk/</t>
  </si>
  <si>
    <t>Ethical Futures LLP</t>
  </si>
  <si>
    <t>https://www.ethicalfutures.co.uk/</t>
  </si>
  <si>
    <t>NK Financial Management Limited</t>
  </si>
  <si>
    <t>https://www.nkfm.co.uk/</t>
  </si>
  <si>
    <t>Hicks &amp; McNish LLP</t>
  </si>
  <si>
    <t>https://www.hicksandmcnish.org/</t>
  </si>
  <si>
    <t>Dolfin Financial (UK) Ltd</t>
  </si>
  <si>
    <t>Parkway Financial Planning Ltd</t>
  </si>
  <si>
    <t>www.parkwayfp.co.uk</t>
  </si>
  <si>
    <t>Anderson Strathern Asset Management Limited</t>
  </si>
  <si>
    <t>https://www.andersonstrathernam.co.uk/</t>
  </si>
  <si>
    <t>Entente Partners Ltd</t>
  </si>
  <si>
    <t>www.ententepartners.com</t>
  </si>
  <si>
    <t>Bolsover Render Financial Planning Ltd</t>
  </si>
  <si>
    <t>https://www.bolsover-render.co.uk/</t>
  </si>
  <si>
    <t>I Planning Wealth Management Ltd</t>
  </si>
  <si>
    <t>https://www.i-planning.co.uk/</t>
  </si>
  <si>
    <t>Patrick McGee Limited</t>
  </si>
  <si>
    <t>www.jamesphillips.co.uk</t>
  </si>
  <si>
    <t>Providential Finance Limited</t>
  </si>
  <si>
    <t>https://www.hgfinancialplanning.co.uk/</t>
  </si>
  <si>
    <t>Belyn Financial Services Ltd</t>
  </si>
  <si>
    <t>https://www.belyn.co.uk/</t>
  </si>
  <si>
    <t>Gemini Financial Planning Ltd</t>
  </si>
  <si>
    <t>www.geminifinancialplanning.co.uk</t>
  </si>
  <si>
    <t>Paul Williams Financial Services Ltd</t>
  </si>
  <si>
    <t>Clarke Robinson &amp; Co Ltd</t>
  </si>
  <si>
    <t>www.clarkerobinson.co.uk</t>
  </si>
  <si>
    <t>Mark J Rees LLP</t>
  </si>
  <si>
    <t>www.mjrwm.co.uk</t>
  </si>
  <si>
    <t>Financial Planning Associates LLP</t>
  </si>
  <si>
    <t>https://www.fpa-advice.co.uk/</t>
  </si>
  <si>
    <t>The Royal Bank of Scotland Plc</t>
  </si>
  <si>
    <t>https://www.rbs.co.uk/</t>
  </si>
  <si>
    <t>Fund cost includes 0.15% platform fee</t>
  </si>
  <si>
    <t>https://www.natwest.com/premier-banking/financial-advice/investment-advice.html</t>
  </si>
  <si>
    <t>THE ROYAL BANK OF SCOTLAND PUBLIC LIMITED COMPANY filing history - Find and update company information - GOV.UK</t>
  </si>
  <si>
    <t>Weybrook Financial Management Limited</t>
  </si>
  <si>
    <t>https://www.weybrook.co.uk/</t>
  </si>
  <si>
    <t>Elysium Corporate Finance Limited</t>
  </si>
  <si>
    <t>http://www.elysiumcf.co.uk/</t>
  </si>
  <si>
    <t>Harding Financial Limited</t>
  </si>
  <si>
    <t>https://www.hardingfinancial.co.uk/</t>
  </si>
  <si>
    <t>Enlightened Finance Limited</t>
  </si>
  <si>
    <t>DJWM Limited</t>
  </si>
  <si>
    <t>www.invfit.co.uk</t>
  </si>
  <si>
    <t>Interactive Wealth Management Limited</t>
  </si>
  <si>
    <t>https://www.interactivewealth.co.uk/</t>
  </si>
  <si>
    <t>4 Shires Asset Management Ltd</t>
  </si>
  <si>
    <t>https://www.4-shires.com/</t>
  </si>
  <si>
    <t>Auker Rhodes Financial Planning LLP</t>
  </si>
  <si>
    <t>Michael John Knott</t>
  </si>
  <si>
    <t>Michelle Procter Limited</t>
  </si>
  <si>
    <t>https://www.michelleprocter.com/</t>
  </si>
  <si>
    <t>Colin Of Mar</t>
  </si>
  <si>
    <t>Clear Vision Financial Planning Limited</t>
  </si>
  <si>
    <t>https://www.clearvisionfp.co.uk/</t>
  </si>
  <si>
    <t>Next Chapter Financial Planning Limited</t>
  </si>
  <si>
    <t>https://www.nextchapterfp.co.uk/</t>
  </si>
  <si>
    <t>https://www.nextchapterfp.co.uk/https://www.nextchapterfp.co.uk/</t>
  </si>
  <si>
    <t>NEXT CHAPTER FINANCIAL PLANNING LIMITED filing history - Find and update company information - GOV.UK</t>
  </si>
  <si>
    <t>Morris Financial Planning Limited</t>
  </si>
  <si>
    <t>www.morrisfp.co.uk</t>
  </si>
  <si>
    <t>Vedanta Hedging Ltd</t>
  </si>
  <si>
    <t>www.vedantahedging.com</t>
  </si>
  <si>
    <t>Christian Jones Financial Services Ltd</t>
  </si>
  <si>
    <t>www.christianjonesfinancialservices.co.uk</t>
  </si>
  <si>
    <t>Stonehage Fleming Wealth Planning Ltd</t>
  </si>
  <si>
    <t>Infinity Financial Planning Limited</t>
  </si>
  <si>
    <t>https://www.infinityfp.co.uk/</t>
  </si>
  <si>
    <t>Sanderson Financial Planning Limited</t>
  </si>
  <si>
    <t>https://www.sandersonfp.co.uk/</t>
  </si>
  <si>
    <t>Invest India Limited</t>
  </si>
  <si>
    <t>Kingfisher Independent Financial Planning LLP</t>
  </si>
  <si>
    <t>https://www.kingfisherifa.co.uk/</t>
  </si>
  <si>
    <t>Pioneer Wealth Management Limited</t>
  </si>
  <si>
    <t>Pro-Sport 1 Limited</t>
  </si>
  <si>
    <t>https://www.pro-sport1.co.uk/</t>
  </si>
  <si>
    <t>Mark Tennant</t>
  </si>
  <si>
    <t>www.harveyspencer.co.uk</t>
  </si>
  <si>
    <t>BSK Financial Planning Limited</t>
  </si>
  <si>
    <t>www.bskfp.co.uk</t>
  </si>
  <si>
    <t>https://richmondwealth.co.uk/wp-content/uploads/2019/01/Adventurous-KIID.pdf</t>
  </si>
  <si>
    <t>The Finance Lab Ltd</t>
  </si>
  <si>
    <t>www.financelab.co.uk</t>
  </si>
  <si>
    <t>Mark Smith Wealth Management Ltd</t>
  </si>
  <si>
    <t>TWP Wealth Limited</t>
  </si>
  <si>
    <t>https://www.twpwealth.com/</t>
  </si>
  <si>
    <t>ARNOLD &amp; CO LTD</t>
  </si>
  <si>
    <t>https://www.arnoldifa.com/</t>
  </si>
  <si>
    <t>Coloma Wealth Management LLP</t>
  </si>
  <si>
    <t>www.coloma - wealth.com</t>
  </si>
  <si>
    <t>Integrated Wealth Management Ltd</t>
  </si>
  <si>
    <t>https://www.iwm-group.com/</t>
  </si>
  <si>
    <t>Compass Independent Financial Services Ltd</t>
  </si>
  <si>
    <t>www.compass-ifs.co.uk</t>
  </si>
  <si>
    <t>Knight James Associates Ltd</t>
  </si>
  <si>
    <t>Brian Collingwood</t>
  </si>
  <si>
    <t>Park View Financial Services Limited</t>
  </si>
  <si>
    <t>www.parkviewfs.com</t>
  </si>
  <si>
    <t>Northwood Financial Consultants Limited</t>
  </si>
  <si>
    <t>https://www.bg-lawyers.co.uk/</t>
  </si>
  <si>
    <t>Wealth of Advice Ltd</t>
  </si>
  <si>
    <t>https://www.wealthofadvice.co.uk/</t>
  </si>
  <si>
    <t>SLG Financial Solutions Limited</t>
  </si>
  <si>
    <t>https://www.slgfinancialsolutions.co.uk/</t>
  </si>
  <si>
    <t>Chris Leach &amp; Associates Ltd</t>
  </si>
  <si>
    <t>www.ngmtaxlaw.co.uk</t>
  </si>
  <si>
    <t>Finli (Thames Valley) Ltd</t>
  </si>
  <si>
    <t>https://www.finli.co.uk/thamesvalley</t>
  </si>
  <si>
    <t>Barretts Financial Solutions Limited</t>
  </si>
  <si>
    <t>https://www.unbiasedifa.co.uk/</t>
  </si>
  <si>
    <t>Thomson Gray Wealth Management Limited</t>
  </si>
  <si>
    <t>www.thomsongray.co.uk</t>
  </si>
  <si>
    <t>Allotts Financial Services Limited</t>
  </si>
  <si>
    <t>Daedalus Partners LLP</t>
  </si>
  <si>
    <t>www.growthdeck.com</t>
  </si>
  <si>
    <t>Michael Fox</t>
  </si>
  <si>
    <t>https://www.foxfinancialmanagement.co.uk/</t>
  </si>
  <si>
    <t>Oxford Investment Opportunity Network Limited</t>
  </si>
  <si>
    <t>K &amp; S Financial Management Limited</t>
  </si>
  <si>
    <t>Gildencrest Capital Limited</t>
  </si>
  <si>
    <t>www.gildencrestcapital.co.uk</t>
  </si>
  <si>
    <t>Wheble Financial Services Limited</t>
  </si>
  <si>
    <t>https://www.wheblefs.co.uk/</t>
  </si>
  <si>
    <t>Plain English Finance Limited</t>
  </si>
  <si>
    <t>www.plainenglishfinance.co.uk</t>
  </si>
  <si>
    <t>Oval Financial Management Ltd</t>
  </si>
  <si>
    <t>https://www.ovalfinancialmanagement.co.uk/</t>
  </si>
  <si>
    <t>SRG Financial Management Ltd</t>
  </si>
  <si>
    <t>https://www.srgfinancial.com/</t>
  </si>
  <si>
    <t>Vizion Wealth LLP</t>
  </si>
  <si>
    <t>www.vizionwealth.co.uk</t>
  </si>
  <si>
    <t>Estate Financial Planning Limited</t>
  </si>
  <si>
    <t>https://www.estatefinancialplanning.org/</t>
  </si>
  <si>
    <t>GDA Financial Partners LLP</t>
  </si>
  <si>
    <t>https://www.gdafinancialpartners.com/</t>
  </si>
  <si>
    <t>336 Financial Management Limited</t>
  </si>
  <si>
    <t>https://www.336fm.co.uk/</t>
  </si>
  <si>
    <t>Sheldon Flanders Financial Services Ltd</t>
  </si>
  <si>
    <t>www.sheldonflandersfinancialservices.co.uk</t>
  </si>
  <si>
    <t>Blue Spire Financial Planning Limited</t>
  </si>
  <si>
    <t>Fleet Street Financial Limited</t>
  </si>
  <si>
    <t>Www.FSWealth.co.uk</t>
  </si>
  <si>
    <t>BeaconIFA Limited</t>
  </si>
  <si>
    <t>https://www.beaconifa.co.uk/</t>
  </si>
  <si>
    <t>Premier Practice Limited</t>
  </si>
  <si>
    <t>https://www.pfepwealth.com/</t>
  </si>
  <si>
    <t>Carrington Investment Consultants Limited</t>
  </si>
  <si>
    <t>www.carringtonwm.co.uk</t>
  </si>
  <si>
    <t>Ink Financial Management Limited</t>
  </si>
  <si>
    <t>inkfinancial.co.uk</t>
  </si>
  <si>
    <t>The Financial Partnership Advisers Ltd</t>
  </si>
  <si>
    <t>https://www.financial-partnership.co.uk/</t>
  </si>
  <si>
    <t>Focus Investment Planning Limited</t>
  </si>
  <si>
    <t>https://www.davinakirbysolicitors.co.uk/</t>
  </si>
  <si>
    <t>E C Financial Services Limited</t>
  </si>
  <si>
    <t>https://www.ecfsltd.co.uk/</t>
  </si>
  <si>
    <t>Vesta Wealth Limited</t>
  </si>
  <si>
    <t>https://www.vestawealth.co.uk/</t>
  </si>
  <si>
    <t>NFU Mutual Select Investments Limited</t>
  </si>
  <si>
    <t>https://www.nfumutual.co.uk/globalassets/projects/direct-online/financial-planning-terms-of-business.pdf</t>
  </si>
  <si>
    <t>NFU MUTUAL SELECT INVESTMENTS LIMITED filing history - Find and update company information - GOV.UK</t>
  </si>
  <si>
    <t>Absolute Financial Services LLP</t>
  </si>
  <si>
    <t>Simon Karande Ltd</t>
  </si>
  <si>
    <t>https://www.karande.co.uk/</t>
  </si>
  <si>
    <t>Singer Capital Markets Advisory LLP</t>
  </si>
  <si>
    <t>http://www.SingerCM.com/</t>
  </si>
  <si>
    <t>Riverside Financial Planning Limited</t>
  </si>
  <si>
    <t>Julian Oates</t>
  </si>
  <si>
    <t>www.oatesfp.co.uk</t>
  </si>
  <si>
    <t>November March Limited</t>
  </si>
  <si>
    <t>https://www.molyneuxfp.co.uk/</t>
  </si>
  <si>
    <t>MIller Knight Limited</t>
  </si>
  <si>
    <t>DHM Wynchwood LLP</t>
  </si>
  <si>
    <t>https://www.wynchwood.com/</t>
  </si>
  <si>
    <t>Hale Wealth Management Limited</t>
  </si>
  <si>
    <t>www.halewm.co.uk</t>
  </si>
  <si>
    <t>ADMS Asset Management Limited</t>
  </si>
  <si>
    <t>https://www.tbassetmanagement.co.uk/</t>
  </si>
  <si>
    <t>Arnold Stansby &amp; Co. Limited</t>
  </si>
  <si>
    <t>https://www.coynelearmonth.co.uk/</t>
  </si>
  <si>
    <t>Partridge Financial Limited</t>
  </si>
  <si>
    <t>https://www.partridgefinancial.co.uk/</t>
  </si>
  <si>
    <t>Wells Financial Limited</t>
  </si>
  <si>
    <t>https://www.wellsfinancial.co.uk/</t>
  </si>
  <si>
    <t>Argyll &amp; Bute Consultants Limited</t>
  </si>
  <si>
    <t>https://www.a-bconsultants.co.uk/</t>
  </si>
  <si>
    <t>Macmillan Financial Planning Limited</t>
  </si>
  <si>
    <t>https://www.macfp.co.uk/</t>
  </si>
  <si>
    <t>Keyline Financial Solutions Limited</t>
  </si>
  <si>
    <t>https://www.keylinefs.com/</t>
  </si>
  <si>
    <t>MOYES Financial Planning Limited</t>
  </si>
  <si>
    <t>www.moyes. investments</t>
  </si>
  <si>
    <t>The Clifton Business Consultancy Ltd</t>
  </si>
  <si>
    <t>www.cliftonbc.co.uk</t>
  </si>
  <si>
    <t>CFP Management Limited</t>
  </si>
  <si>
    <t>https://www.cfpml.com/</t>
  </si>
  <si>
    <t>Hawker and Palmer Wealth Management Limited</t>
  </si>
  <si>
    <t>www.hawkerandpalmer.com</t>
  </si>
  <si>
    <t>Bentley Reid &amp; Co (UK) Limited</t>
  </si>
  <si>
    <t>www.bentleyreid.com</t>
  </si>
  <si>
    <t>Simply 1 Financial Services Limited</t>
  </si>
  <si>
    <t>Proposito Financial Planning Limited</t>
  </si>
  <si>
    <t>Rockpool Investments LLP</t>
  </si>
  <si>
    <t>www.rockpool.uk.com</t>
  </si>
  <si>
    <t>Kingswood Wealth Management Ltd</t>
  </si>
  <si>
    <t>https://www.kingswoodwealth.com/</t>
  </si>
  <si>
    <t>Whitchurch IFA Limited</t>
  </si>
  <si>
    <t>www.whitchurchifa.co.uk</t>
  </si>
  <si>
    <t>More Than Mortgages Limited</t>
  </si>
  <si>
    <t>https://www.morethanmortgages.co.uk/</t>
  </si>
  <si>
    <t>Warr &amp; Co Independent Financial Advisers Limited</t>
  </si>
  <si>
    <t>Church Financial Services Limited</t>
  </si>
  <si>
    <t>https://www.churchfinancialservices.co.uk/</t>
  </si>
  <si>
    <t>Purple Patch Independent Financial Planning Limited</t>
  </si>
  <si>
    <t>https://www.purplepatch-ifa.co.uk/</t>
  </si>
  <si>
    <t>SKF Trading Ltd</t>
  </si>
  <si>
    <t>www.skfinancial.net</t>
  </si>
  <si>
    <t>Forward Plan IFA Limited</t>
  </si>
  <si>
    <t>https://www.forward-plan.co.uk/</t>
  </si>
  <si>
    <t>Alan McKelvey</t>
  </si>
  <si>
    <t>Charnwood Financial Planning LLP</t>
  </si>
  <si>
    <t>JPM Asset Management Limited</t>
  </si>
  <si>
    <t>https://www.jpmasset.co.uk/</t>
  </si>
  <si>
    <t>https://www.personalinvesting.jpmorgan.com/legal/schedule-of-fees-and-charges</t>
  </si>
  <si>
    <t>JPM Multi-Asset Cautious Fund C - Net Accumulation</t>
  </si>
  <si>
    <t>https://find-and-update.company-information.service.gov.uk/company/07503666/filing-history</t>
  </si>
  <si>
    <t>Wealth Aspirations LLP</t>
  </si>
  <si>
    <t>Employee Benefits Partnership Limited</t>
  </si>
  <si>
    <t>https://www.ebplimited.com/</t>
  </si>
  <si>
    <t>Nutmeg Saving and Investment Limited</t>
  </si>
  <si>
    <t>https://www.personalinvesting.jpmorgan.com</t>
  </si>
  <si>
    <t>Nutmeg is also under JPM offering a lower level service. Core/standard service fee selected</t>
  </si>
  <si>
    <t>Related firms</t>
  </si>
  <si>
    <t>Thornton Financial Services Ltd</t>
  </si>
  <si>
    <t>Millcroft Wealth Management Limited</t>
  </si>
  <si>
    <t>https://www.millcroftwm.co.uk/</t>
  </si>
  <si>
    <t>Holder &amp; Combes Limited</t>
  </si>
  <si>
    <t>www.holderandcombes.co.uk</t>
  </si>
  <si>
    <t>J.P. Morgan SE</t>
  </si>
  <si>
    <t>Signpost Financial Planning Ltd</t>
  </si>
  <si>
    <t>Browning Financial Ltd</t>
  </si>
  <si>
    <t>https://www.browningfinancial.co.uk/</t>
  </si>
  <si>
    <t>Urquhart Asset Management Limited</t>
  </si>
  <si>
    <t>https://www.urquhartasset.com/</t>
  </si>
  <si>
    <t>IpsoFacto Investor.Com Limited</t>
  </si>
  <si>
    <t>Harrington &amp; Horne Financial Services Ltd</t>
  </si>
  <si>
    <t>www.harringtonandhorne.co.uk</t>
  </si>
  <si>
    <t>Clarity Wealth Management LLP</t>
  </si>
  <si>
    <t>https://www.claritywm.co.uk/</t>
  </si>
  <si>
    <t>Severn Financial Services Limited</t>
  </si>
  <si>
    <t>https://www.severn-financial.co.uk/</t>
  </si>
  <si>
    <t>GP3 Financial Solutions Ltd</t>
  </si>
  <si>
    <t>www.gp 3 fs.com</t>
  </si>
  <si>
    <t>Macsen Wealth Management Ltd</t>
  </si>
  <si>
    <t>Positive Wealth Creation Ltd</t>
  </si>
  <si>
    <t>https://www.pwcltd.co.uk/</t>
  </si>
  <si>
    <t>https://www.pwcltd.co.uk/wp-content/uploads/2023/10/Client-Agreement-CDR-July-2023-1-8.pdf</t>
  </si>
  <si>
    <t>POSITIVE WEALTH CREATION LTD filing history - Find and update company information - GOV.UK</t>
  </si>
  <si>
    <t>Vertis Private Wealth Management Limited</t>
  </si>
  <si>
    <t>https://www.vpwm.co.uk/</t>
  </si>
  <si>
    <t>Mitchell Harper Limited</t>
  </si>
  <si>
    <t>www.mitchellharper.co.uk</t>
  </si>
  <si>
    <t>Oakhurst Financial Management Limited</t>
  </si>
  <si>
    <t>Light Cason Associates Limited</t>
  </si>
  <si>
    <t>https://www.lightcason.co.uk/</t>
  </si>
  <si>
    <t>Sterling (Porthmadog) Cyf</t>
  </si>
  <si>
    <t>Scottsdale IFA LLP</t>
  </si>
  <si>
    <t>www.scottsdaleifa.co.uk</t>
  </si>
  <si>
    <t>Granite Financial Services (UK) Limited</t>
  </si>
  <si>
    <t>www.mindingyourcash.co.uk</t>
  </si>
  <si>
    <t>MML Financial Associates Ltd</t>
  </si>
  <si>
    <t>https://www.mmlfinancial.co.uk/</t>
  </si>
  <si>
    <t>Futurity Financial Services Limited</t>
  </si>
  <si>
    <t>https://www.futurity-fs.com/</t>
  </si>
  <si>
    <t>Quilter Financial Planning Solutions Limited</t>
  </si>
  <si>
    <t>www.quilter.com</t>
  </si>
  <si>
    <t>https://find-and-update.company-information.service.gov.uk/company/03276760/filing-history</t>
  </si>
  <si>
    <t>Know Your Number Limited</t>
  </si>
  <si>
    <t>Lighthouse Advisory Services Limited</t>
  </si>
  <si>
    <t>https://www.quilter.com/</t>
  </si>
  <si>
    <t>Censored for failings in DB pension transfers</t>
  </si>
  <si>
    <t>https://find-and-update.company-information.service.gov.uk/company/04086645/filing-history</t>
  </si>
  <si>
    <t>Dukes Independent Financial Advisers Ltd</t>
  </si>
  <si>
    <t>https://www.dukesifa.co.uk/</t>
  </si>
  <si>
    <t>Quantfury Trading UK Limited</t>
  </si>
  <si>
    <t>https://quantfury.co.uk/</t>
  </si>
  <si>
    <t>Geraint Rees</t>
  </si>
  <si>
    <t>Pioneer Financial Services Ltd</t>
  </si>
  <si>
    <t>Robert Baldwin</t>
  </si>
  <si>
    <t>www.orbitfc. trustedadviser. info</t>
  </si>
  <si>
    <t>Haldon Financial Limited</t>
  </si>
  <si>
    <t>https://www.haldonfinancial.co.uk/</t>
  </si>
  <si>
    <t>Kevin Barnes</t>
  </si>
  <si>
    <t>https://www.kevinbarnesfp.com/</t>
  </si>
  <si>
    <t>Robert Anthony Ridout</t>
  </si>
  <si>
    <t>https://www.harpendenifa.com/</t>
  </si>
  <si>
    <t>Aqua Wealth Management Limited</t>
  </si>
  <si>
    <t>Quilter Wealth Ltd</t>
  </si>
  <si>
    <t>QUILTER WEALTH LIMITED filing history - Find and update company information - GOV.UK</t>
  </si>
  <si>
    <t>ProAct Financial (Bolton) Ltd</t>
  </si>
  <si>
    <t>Hinchliffe, Watts &amp; Wyatt Ltd</t>
  </si>
  <si>
    <t>www.hwwltd.co.uk</t>
  </si>
  <si>
    <t>Atlanticomnium (UK) Limited</t>
  </si>
  <si>
    <t>https://atlanti.ch/</t>
  </si>
  <si>
    <t>Bell Wealth Management Ltd</t>
  </si>
  <si>
    <t>Asset Match Limited</t>
  </si>
  <si>
    <t>Adroit Financial Planning Limited</t>
  </si>
  <si>
    <t>www.adroitfp.co.uk</t>
  </si>
  <si>
    <t>GSS Financial Planning Limited</t>
  </si>
  <si>
    <t>https://www.browncliftsanger.co.uk/</t>
  </si>
  <si>
    <t>MBH Wealth Management Ltd</t>
  </si>
  <si>
    <t>Kalkine Limited</t>
  </si>
  <si>
    <t>https://www.kalkine.co.uk/</t>
  </si>
  <si>
    <t>CPN Investment Management LLP</t>
  </si>
  <si>
    <t>https://www.cpngroup.co.uk/</t>
  </si>
  <si>
    <t>Ferguson Law Financial Services Ltd</t>
  </si>
  <si>
    <t>www.fergusonlaw.co.uk</t>
  </si>
  <si>
    <t>Gilbert Stephens Financial Services Ltd</t>
  </si>
  <si>
    <t>www.gilbertstephensfs.co.uk</t>
  </si>
  <si>
    <t>SHK Finance Ltd</t>
  </si>
  <si>
    <t>My Pension Expert Limited</t>
  </si>
  <si>
    <t>https://www.mypensionexpert.com/</t>
  </si>
  <si>
    <t>Quilter Financial Services Ltd</t>
  </si>
  <si>
    <t>QUILTER FINANCIAL SERVICES LIMITED filing history - Find and update company information - GOV.UK</t>
  </si>
  <si>
    <t>Premier Commercial Wealth Management Ltd</t>
  </si>
  <si>
    <t>premiercommercialwealth.com</t>
  </si>
  <si>
    <t>Bluebridge Financial Planners Ltd</t>
  </si>
  <si>
    <t>Quilter Financial Limited</t>
  </si>
  <si>
    <t>Platform fee added to investment fee</t>
  </si>
  <si>
    <t>https://find-and-update.company-information.service.gov.uk/company/06784783/filing-history</t>
  </si>
  <si>
    <t>Neil Paterson</t>
  </si>
  <si>
    <t>RA Elmes Limited</t>
  </si>
  <si>
    <t>www.raelmes.co.uk</t>
  </si>
  <si>
    <t>https://www.raelmes.co.uk/_files/ugd/ea90fb_e4d0c1f07d4a4734bc61e18543520469.pdf</t>
  </si>
  <si>
    <t>RA ELMES LIMITED filing history - Find and update company information - GOV.UK</t>
  </si>
  <si>
    <t>Bateman Jarvis Limited</t>
  </si>
  <si>
    <t>RDS Financial Consultants Limited</t>
  </si>
  <si>
    <t>https://www.rdsfinancial.co.uk/</t>
  </si>
  <si>
    <t>https://www.rdsfinancial.co.uk/sites/rdsfinancial/files/2023-08/RDS-Terms-May-23.pdf</t>
  </si>
  <si>
    <t>RDS FINANCIAL CONSULTANTS LIMITED filing history - Find and update company information - GOV.UK</t>
  </si>
  <si>
    <t>PSP Wealth Management Ltd</t>
  </si>
  <si>
    <t>https://www.pspwm.co.uk/</t>
  </si>
  <si>
    <t>DP Advisory Limited</t>
  </si>
  <si>
    <t>The Money Map (Financial Navigation) LLP</t>
  </si>
  <si>
    <t>www.themoneymap.co.uk</t>
  </si>
  <si>
    <t>Richardsons Financial Services Limited</t>
  </si>
  <si>
    <t>https://www.richardsons-fs.co.uk/</t>
  </si>
  <si>
    <t xml:space="preserve">The ongoing might be higher as they have indicated ongoing for over 100k investment </t>
  </si>
  <si>
    <t>https://www.richardsons-fs.co.uk/wp-content/uploads/2024/08/Retail-Client-Agreement-Jul-25-with-RFS-declaration.pdf</t>
  </si>
  <si>
    <t>RICHARDSONS FINANCIAL SERVICES LIMITED filing history - Find and update company information - GOV.UK</t>
  </si>
  <si>
    <t>Portal Financial Planning Limited</t>
  </si>
  <si>
    <t>https://www.portalfp.co.uk/</t>
  </si>
  <si>
    <t>Pluto Wealth Limited</t>
  </si>
  <si>
    <t>https://www.plutowealth.co.uk/</t>
  </si>
  <si>
    <t>Sharon Deangelis</t>
  </si>
  <si>
    <t>Rosan Helmsley Limited</t>
  </si>
  <si>
    <t>https://www.rosan-ifa.com/</t>
  </si>
  <si>
    <t>https://www.rosan-ifa.com/wp-content/uploads/2025/04/Client-Agreement-2025.pdf</t>
  </si>
  <si>
    <t>ROSAN HELMSLEY LIMITED filing history - Find and update company information - GOV.UK</t>
  </si>
  <si>
    <t>Burlaw Ltd</t>
  </si>
  <si>
    <t>AlTi RE Limited</t>
  </si>
  <si>
    <t>Bowden Financial Management Ltd</t>
  </si>
  <si>
    <t>https://www.bowdenfinancial.com/</t>
  </si>
  <si>
    <t>Robert Coventry</t>
  </si>
  <si>
    <t>https://www.robcovetry.tppowered.com/</t>
  </si>
  <si>
    <t>Tier One Capital Ltd</t>
  </si>
  <si>
    <t>www.tieronecapital.co.uk</t>
  </si>
  <si>
    <t>Parkstone Financial Planning Limited</t>
  </si>
  <si>
    <t>Sublime Business Financial Advisers Ltd</t>
  </si>
  <si>
    <t>Smythe House Limited</t>
  </si>
  <si>
    <t>www.smythehouse.co.uk</t>
  </si>
  <si>
    <t>Mountstone Partners Limited</t>
  </si>
  <si>
    <t>www.mountstonepartners.com</t>
  </si>
  <si>
    <t>Salisbury Financial Services Limited</t>
  </si>
  <si>
    <t>https://www.salisbury.co.uk/</t>
  </si>
  <si>
    <t>Initial 3172.50 + 0.5&amp; implementation</t>
  </si>
  <si>
    <t>https://www.salisbury.co.uk/terms-resources/</t>
  </si>
  <si>
    <t>SALISBURY FINANCIAL SERVICES LIMITED filing history - Find and update company information - GOV.UK</t>
  </si>
  <si>
    <t>Beaufort Financial Planning Ltd</t>
  </si>
  <si>
    <t>https://www.beaufortfinancial.co.uk/</t>
  </si>
  <si>
    <t>Taylor Money Limited</t>
  </si>
  <si>
    <t>https://www.taylormoney.com/</t>
  </si>
  <si>
    <t>Brighton Financial Ltd</t>
  </si>
  <si>
    <t>https://www.brightonfinancial.co.uk/</t>
  </si>
  <si>
    <t>Clive Ingram</t>
  </si>
  <si>
    <t>Santander UK Plc</t>
  </si>
  <si>
    <t>www.santander.co.uk</t>
  </si>
  <si>
    <t>https://www.santander.co.uk/personal/savings-and-investments/investments/fees-charges-and-key-documents</t>
  </si>
  <si>
    <t>https://www.santanderassetmanagement.co.uk/tools#/fund-centre</t>
  </si>
  <si>
    <t>SANTANDER UK PLC filing history - Find and update company information - GOV.UK</t>
  </si>
  <si>
    <t>London Wall Partners LLP</t>
  </si>
  <si>
    <t>www.londonwallpartners.com</t>
  </si>
  <si>
    <t>Seneca Partners Limited</t>
  </si>
  <si>
    <t>https://www.senecapartners.co.uk/</t>
  </si>
  <si>
    <t>ASC Financial Advisers Limited</t>
  </si>
  <si>
    <t>ascfinancialadvisers.co.uk</t>
  </si>
  <si>
    <t>DML Financial Planning Limited</t>
  </si>
  <si>
    <t>https://www.dmlfp.com/</t>
  </si>
  <si>
    <t>Andrew James</t>
  </si>
  <si>
    <t>Sheraton Financial Planning Ltd</t>
  </si>
  <si>
    <t>https://www.sheratonfp.co.uk/</t>
  </si>
  <si>
    <t>IEP Financial Limited</t>
  </si>
  <si>
    <t>https://www.iepfinancial.co.uk/</t>
  </si>
  <si>
    <t>Seed Financial Planning Limited</t>
  </si>
  <si>
    <t>https://www.seedfp.co.uk/</t>
  </si>
  <si>
    <t>SEED FINANCIAL PLANNING LIMITED filing history - Find and update company information - GOV.UK</t>
  </si>
  <si>
    <t>Clarion Investment Management Limited</t>
  </si>
  <si>
    <t>A Finance Limited</t>
  </si>
  <si>
    <t>https://www.afinance.co.uk/</t>
  </si>
  <si>
    <t>Quadrillion Wealth Management Limited</t>
  </si>
  <si>
    <t>https://www.quadrillion-wml.co.uk/</t>
  </si>
  <si>
    <t>AK Advisory Limited</t>
  </si>
  <si>
    <t>Santorini Financial Planning Limited</t>
  </si>
  <si>
    <t>https://www.santorinifinancialplanning.co.uk/</t>
  </si>
  <si>
    <t>Square Mile Asset Management Limited</t>
  </si>
  <si>
    <t>www.sm - asset.com</t>
  </si>
  <si>
    <t>Firmus Financial Services Limited</t>
  </si>
  <si>
    <t>https://www.firmusfs.co.uk/</t>
  </si>
  <si>
    <t>LGT Wealth Management US Limited</t>
  </si>
  <si>
    <t>www.lgtwm - us.com</t>
  </si>
  <si>
    <t>Solutions Wealth Management Limited</t>
  </si>
  <si>
    <t>https://www.swmltd.co.uk/</t>
  </si>
  <si>
    <t>FIM Capital Limited</t>
  </si>
  <si>
    <t>http://www.fimcapital.co. im/</t>
  </si>
  <si>
    <t>Bob Barnett Limited</t>
  </si>
  <si>
    <t>JC Roxburgh (Financial Services) Limited</t>
  </si>
  <si>
    <t>https://www.roxburgh-group.co.uk/</t>
  </si>
  <si>
    <t>AZW Consulting Ltd</t>
  </si>
  <si>
    <t>MerrixGrogan LLP</t>
  </si>
  <si>
    <t>www.merrixgrogan.com</t>
  </si>
  <si>
    <t>Astute Financial Solutions LLP</t>
  </si>
  <si>
    <t>IQ Financial Advice Ltd</t>
  </si>
  <si>
    <t>https://www.iq-fa.co.uk/</t>
  </si>
  <si>
    <t>Hoxton Wealth (UK) Ltd</t>
  </si>
  <si>
    <t>Nationwide Independent Consultants Ltd</t>
  </si>
  <si>
    <t>https://www.nationwideindependentconsultants.co.uk/</t>
  </si>
  <si>
    <t>Phoenix Financial Services (UK) Ltd</t>
  </si>
  <si>
    <t>Montgomery Charles Financial Management Ltd</t>
  </si>
  <si>
    <t>https://www.montgomerycharles.co.uk/</t>
  </si>
  <si>
    <t>Henri James Wealth Ltd</t>
  </si>
  <si>
    <t>http://henrijameswealth.com/</t>
  </si>
  <si>
    <t>Tradeslide Trading Tech Limited</t>
  </si>
  <si>
    <t>www.darwinex.com</t>
  </si>
  <si>
    <t>DACO Associates Limited</t>
  </si>
  <si>
    <t>https://www.masonsifa.co.uk/</t>
  </si>
  <si>
    <t>Absolute Wealth Management Ltd</t>
  </si>
  <si>
    <t>www.absolutewm.co.uk</t>
  </si>
  <si>
    <t>Hawsons Wealth Management Limited</t>
  </si>
  <si>
    <t>https://www.hawsons.co.uk/financial-advice/</t>
  </si>
  <si>
    <t>Finli (FLP) Ltd</t>
  </si>
  <si>
    <t>360 Financial Management Limited</t>
  </si>
  <si>
    <t>https://www.360fm.co.uk/</t>
  </si>
  <si>
    <t>Investwise Asset Management Ltd</t>
  </si>
  <si>
    <t>https://www.investwisegroup.com/</t>
  </si>
  <si>
    <t>CMS Wealth Ltd</t>
  </si>
  <si>
    <t>www.cmswealth.co.uk</t>
  </si>
  <si>
    <t>Annandale Financial Services LLP</t>
  </si>
  <si>
    <t>https://www.annandalefinancial.co.uk/</t>
  </si>
  <si>
    <t>Invicta Financial Services Ltd</t>
  </si>
  <si>
    <t>https://www.invicta-group.co.uk/</t>
  </si>
  <si>
    <t>QED Financial Associates Ltd</t>
  </si>
  <si>
    <t>www.qedifa.co.uk</t>
  </si>
  <si>
    <t>Langham Associates Limited</t>
  </si>
  <si>
    <t>www.langham-associates.co.uk</t>
  </si>
  <si>
    <t>Genesis Financial Planning Limited</t>
  </si>
  <si>
    <t>Inspire Financial Planning Limited</t>
  </si>
  <si>
    <t>ESJ Financial Planning LLP</t>
  </si>
  <si>
    <t>https://www.esjfinancial.co.uk/</t>
  </si>
  <si>
    <t>Milo Financial Limited</t>
  </si>
  <si>
    <t>https://www.milo-ifa.co.uk/</t>
  </si>
  <si>
    <t>JPA Financial Services Ltd</t>
  </si>
  <si>
    <t>https://www.jpafinancialservicesltd.co.uk/</t>
  </si>
  <si>
    <t>Fresh Perspective Financial Planning Ltd</t>
  </si>
  <si>
    <t>https://www.fp-fp.co.uk/</t>
  </si>
  <si>
    <t>CIB Financial Management Limited</t>
  </si>
  <si>
    <t>Calcluth and Sangster Limited</t>
  </si>
  <si>
    <t>https://www.calcuthandsangsterfs.co.uk/</t>
  </si>
  <si>
    <t>Kingdom Investments Management Limited</t>
  </si>
  <si>
    <t>https://www.kims-ltd.co.uk/</t>
  </si>
  <si>
    <t>St Andrew's Square Asset Management Limited</t>
  </si>
  <si>
    <t>FSJC Ltd</t>
  </si>
  <si>
    <t>https://www.isaacswealthandbenefits.co.uk/</t>
  </si>
  <si>
    <t>Focus Financial Planning Ltd</t>
  </si>
  <si>
    <t>https://www.focusfp.co.uk/</t>
  </si>
  <si>
    <t>PL Financial Solutions Limited</t>
  </si>
  <si>
    <t>Premier Investment Management Services Limited</t>
  </si>
  <si>
    <t>https://www.pims-uk.com/</t>
  </si>
  <si>
    <t>Prosper Financial Solutions Ltd</t>
  </si>
  <si>
    <t>https://www.prosperfinancialsolutions.com/</t>
  </si>
  <si>
    <t>Chancery Wall Financial Services Ltd</t>
  </si>
  <si>
    <t>Broadstone Corporate Benefits Limited</t>
  </si>
  <si>
    <t>Skipton Building Society</t>
  </si>
  <si>
    <t>https://www.skipton.co.uk/</t>
  </si>
  <si>
    <t>https://www.skipton.co.uk/financial-advice/financial-advice-at-skipton</t>
  </si>
  <si>
    <t>Annual Financial Report - 07:00:06 18 Feb 2026 - SG52 News article | London Stock Exchange</t>
  </si>
  <si>
    <t>Sutherland IFA Limited</t>
  </si>
  <si>
    <t>https://www.sutherlandifa.com/</t>
  </si>
  <si>
    <t>Sedulo Wealth Management Limited</t>
  </si>
  <si>
    <t>https://www.sedulowealth.co.uk/</t>
  </si>
  <si>
    <t>Ryedale Asset Management Ltd</t>
  </si>
  <si>
    <t>NDMC Associates Limited</t>
  </si>
  <si>
    <t>Lifetime Financial Solutions (Yorkshire) Limited</t>
  </si>
  <si>
    <t>https://www.lifetimefs.co.uk/</t>
  </si>
  <si>
    <t>Add Wealth Management Ltd</t>
  </si>
  <si>
    <t>https://www.addwealth.co.uk/</t>
  </si>
  <si>
    <t>Jacobs and Harris Limited</t>
  </si>
  <si>
    <t>www.jacobsandharris.co.uk</t>
  </si>
  <si>
    <t>SKYBOUND WEALTH MANAGEMENT LIMITED</t>
  </si>
  <si>
    <t>www.skyboundwealth.co.uk</t>
  </si>
  <si>
    <t>https://www.skyboundwealth.co.uk/advice-fees</t>
  </si>
  <si>
    <t>SKYBOUND WEALTH MANAGEMENT LIMITED filing history - Find and update company information - GOV.UK</t>
  </si>
  <si>
    <t>RHA Financial Management LLP</t>
  </si>
  <si>
    <t>Britannic Place Financial Management Limited</t>
  </si>
  <si>
    <t>https://www.britannicplace.co.uk/</t>
  </si>
  <si>
    <t>Â£2,500</t>
  </si>
  <si>
    <t>Â£500,000</t>
  </si>
  <si>
    <t>Complete Money Care Ltd</t>
  </si>
  <si>
    <t>https://www.completemoneycare.co.uk/</t>
  </si>
  <si>
    <t>Financial Webb Ltd</t>
  </si>
  <si>
    <t>Sorbus Partners LLP</t>
  </si>
  <si>
    <t>https://www.sorbus.com/</t>
  </si>
  <si>
    <t>Black &amp; White Financial Planning Ltd</t>
  </si>
  <si>
    <t>Barwells Independent Financial Management Limited</t>
  </si>
  <si>
    <t>https://www.barwells-wealth.co.uk/</t>
  </si>
  <si>
    <t>Tier One Capital Wealth Management Limited</t>
  </si>
  <si>
    <t>C J Hannan Ltd</t>
  </si>
  <si>
    <t>www.cjhannan. biz</t>
  </si>
  <si>
    <t>Derivatives Value Advisors Limited</t>
  </si>
  <si>
    <t>https://www.derivativesvalue.co.uk/</t>
  </si>
  <si>
    <t>Robson Lister Limited</t>
  </si>
  <si>
    <t>www.robsonlister.com</t>
  </si>
  <si>
    <t>Stepping Stones Wealth Management Ltd</t>
  </si>
  <si>
    <t>Prestige Specialist Independent Financial Advice Limited</t>
  </si>
  <si>
    <t>https://www.prestige-ifa.co.uk/</t>
  </si>
  <si>
    <t>Gatehouse-IFA Ltd</t>
  </si>
  <si>
    <t>https://www.southdevonfinancialplanning.co.uk/</t>
  </si>
  <si>
    <t>GATEHOUSE-IFA LTD filing history - Find and update company information - GOV.UK</t>
  </si>
  <si>
    <t>Dune Financial Planning Limited</t>
  </si>
  <si>
    <t>https://www.dunefinancial.co.uk/</t>
  </si>
  <si>
    <t>Independent One-2-One Ltd</t>
  </si>
  <si>
    <t>https://www.independent121.co.uk/</t>
  </si>
  <si>
    <t>NTM Financial Services Ltd</t>
  </si>
  <si>
    <t>www.ntmfs.co.uk</t>
  </si>
  <si>
    <t>Ardmore Financial Planning Limited</t>
  </si>
  <si>
    <t>https://www.ardmorefinancial.co.uk/</t>
  </si>
  <si>
    <t>Gideon Kasler and Associates LLP</t>
  </si>
  <si>
    <t>https://www.gideonkasler.com/</t>
  </si>
  <si>
    <t>Reed Financial Planning Ltd</t>
  </si>
  <si>
    <t>https://www.reedfinancialplanning.co.uk/</t>
  </si>
  <si>
    <t>Sunil Shah</t>
  </si>
  <si>
    <t>Moss And Roberts (Wealth Management) Ltd</t>
  </si>
  <si>
    <t>www.mossandroberts.com</t>
  </si>
  <si>
    <t>David Melville</t>
  </si>
  <si>
    <t>https://www.melvilleifa.co.uk/</t>
  </si>
  <si>
    <t>Warren Financial Planning Ltd</t>
  </si>
  <si>
    <t>Investment Partnership LLP</t>
  </si>
  <si>
    <t>William White</t>
  </si>
  <si>
    <t>https://www.billwhiteifa.co.uk/</t>
  </si>
  <si>
    <t>S.N.R. Brunt Partnership</t>
  </si>
  <si>
    <t>https://www.snrbruntpartnership.co.uk/</t>
  </si>
  <si>
    <t>Creative Benefit Wealth Management Limited</t>
  </si>
  <si>
    <t>https://www.creativewm.co.uk/</t>
  </si>
  <si>
    <t>Monetary Solutions Limited</t>
  </si>
  <si>
    <t>https://www.monsols.co.uk/</t>
  </si>
  <si>
    <t>Affinity Financial Planning Ltd</t>
  </si>
  <si>
    <t>https://www.affinityfp.com/</t>
  </si>
  <si>
    <t>4ways Financial Solutions LLP</t>
  </si>
  <si>
    <t>https://www.4waysfinancialsolutions.co.uk/</t>
  </si>
  <si>
    <t>Schroder &amp; Co Ltd</t>
  </si>
  <si>
    <t>http://www.cazenovecapital.com/</t>
  </si>
  <si>
    <t>Using the calculation tool on Schroders page</t>
  </si>
  <si>
    <t>https://www.spw.com/our-fees/</t>
  </si>
  <si>
    <t>FS-GB00BJRSQM30.pdf</t>
  </si>
  <si>
    <t>https://find-and-update.company-information.service.gov.uk/company/02280926/filing-history</t>
  </si>
  <si>
    <t>Progressive Financial Solutions Ltd</t>
  </si>
  <si>
    <t>https://www.pfsolutions.co.uk/</t>
  </si>
  <si>
    <t>Whitley Asset Management Ltd</t>
  </si>
  <si>
    <t>www.whitleyasset.com</t>
  </si>
  <si>
    <t>SCOTTISH WIDOWS SCHRODER PERSONAL WEALTH LIMITED filing history - Find and update company information - GOV.UK</t>
  </si>
  <si>
    <t>Fiscale Financial Services Limited</t>
  </si>
  <si>
    <t>DIS Independent Financial Planning Limited</t>
  </si>
  <si>
    <t>Kapwealth Limited</t>
  </si>
  <si>
    <t>Puma Investment Management Limited</t>
  </si>
  <si>
    <t>www.pumainvestments.co.uk</t>
  </si>
  <si>
    <t>Michael Gillbanks</t>
  </si>
  <si>
    <t>Chrysalis Financial Planning Ltd</t>
  </si>
  <si>
    <t>https://www.chrysalisfp.com/</t>
  </si>
  <si>
    <t>Blick Rothenberg Audit LLP</t>
  </si>
  <si>
    <t>www.blickrothenberg.com</t>
  </si>
  <si>
    <t>Schroder Wealth Management (US) Limited</t>
  </si>
  <si>
    <t>https://www.schroders.com/en/us/wealth - management/</t>
  </si>
  <si>
    <t>US business</t>
  </si>
  <si>
    <t>https://find-and-update.company-information.service.gov.uk/company/11722983/filing-history</t>
  </si>
  <si>
    <t>Cardens Limited</t>
  </si>
  <si>
    <t>MAPS Wealth Management Ltd</t>
  </si>
  <si>
    <t>https://www.mapswealth.co.uk/</t>
  </si>
  <si>
    <t>Bird Stewart Financial Services Limited</t>
  </si>
  <si>
    <t>https://www.birdstewart.co.uk/</t>
  </si>
  <si>
    <t>One-To-One Advisers Limited</t>
  </si>
  <si>
    <t>Pension Savings Investment Annuity Mortgage LLP</t>
  </si>
  <si>
    <t>Star Financial Solutions Limited</t>
  </si>
  <si>
    <t>Seventy Two Wealth Ltd</t>
  </si>
  <si>
    <t>www. 72 wealth.co.uk</t>
  </si>
  <si>
    <t>Hubert Child Limited</t>
  </si>
  <si>
    <t>https://www.hubertchild.co.uk/</t>
  </si>
  <si>
    <t>HC WEALTH MANAGEMENT LIMITED</t>
  </si>
  <si>
    <t>https://www.hcwm.co.uk/</t>
  </si>
  <si>
    <t>Nestor Financial Group Limited</t>
  </si>
  <si>
    <t>https://www.chasedevere.co.uk/</t>
  </si>
  <si>
    <t>Bamford Wealth Management Ltd</t>
  </si>
  <si>
    <t>Medical Investment and Advisory Services LLP</t>
  </si>
  <si>
    <t>https://www.medinvest.co.uk/</t>
  </si>
  <si>
    <t>Harold Stephens Ltd</t>
  </si>
  <si>
    <t>www.haroldstephens.co.uk</t>
  </si>
  <si>
    <t>HOBART CAPITAL MARKETS LLP</t>
  </si>
  <si>
    <t>www.hobartcapital.com</t>
  </si>
  <si>
    <t>GBIM Limited</t>
  </si>
  <si>
    <t>https://www.gbim.co.uk/</t>
  </si>
  <si>
    <t>Myers Financial Management Limited</t>
  </si>
  <si>
    <t>https://www.myers-group.co.uk/</t>
  </si>
  <si>
    <t>Seabrook Clark Ltd</t>
  </si>
  <si>
    <t>www.seabrookclark.co.uk</t>
  </si>
  <si>
    <t>Lang Financial Scotland Limited</t>
  </si>
  <si>
    <t>https://www.langfinancial.co.uk/</t>
  </si>
  <si>
    <t>Vintage Wealth Management Limited</t>
  </si>
  <si>
    <t>www.vintagewealth.co.uk</t>
  </si>
  <si>
    <t>Flowers McEwan Limited</t>
  </si>
  <si>
    <t>Cooper Assurance Services LLP</t>
  </si>
  <si>
    <t>https://www.cooperassurance.co.uk/</t>
  </si>
  <si>
    <t>Corhammock Ltd</t>
  </si>
  <si>
    <t>https://www.sloanandco.com/</t>
  </si>
  <si>
    <t>Complete Wealth Management Limited</t>
  </si>
  <si>
    <t>www.cwman.co.uk</t>
  </si>
  <si>
    <t>Otter Financial Services Limited</t>
  </si>
  <si>
    <t>https://www.otterfinancial.co.uk/</t>
  </si>
  <si>
    <t>Palm Financial Management Ltd</t>
  </si>
  <si>
    <t>www.palmfinancial.co.uk</t>
  </si>
  <si>
    <t>Hartey Wealth Management Ltd</t>
  </si>
  <si>
    <t>https://www.harteywm.co.uk/</t>
  </si>
  <si>
    <t>Westbury Asset Management Ltd</t>
  </si>
  <si>
    <t>Rockwood Financial Solutions Ltd</t>
  </si>
  <si>
    <t>https://www.rockwoodfs.co.uk/</t>
  </si>
  <si>
    <t>Willson Grange Limited</t>
  </si>
  <si>
    <t>https://www.wgcfp.co.uk/</t>
  </si>
  <si>
    <t>Flemmings Financial Planning Limited</t>
  </si>
  <si>
    <t>Belper Independent Financial Solutions Limited</t>
  </si>
  <si>
    <t>https://www.belperifs.co.uk/</t>
  </si>
  <si>
    <t>CG Wealth Planning Limited</t>
  </si>
  <si>
    <t>Sand Financial Planning Limited</t>
  </si>
  <si>
    <t>Uniq Family Wealth Ltd</t>
  </si>
  <si>
    <t>https://www.uniqfamilywealth.co.uk/</t>
  </si>
  <si>
    <t>Herts Financial Services Limited</t>
  </si>
  <si>
    <t>Informed Options Financial Planning Limited</t>
  </si>
  <si>
    <t>WG Partners LLP</t>
  </si>
  <si>
    <t>Buxton Beresford Financial Planning Ltd</t>
  </si>
  <si>
    <t>www.buxtonberesford.co.uk</t>
  </si>
  <si>
    <t>Grange Financial Planning Ltd</t>
  </si>
  <si>
    <t>https://www.grange-ifa.co.uk/</t>
  </si>
  <si>
    <t>QMPF Llp</t>
  </si>
  <si>
    <t>https://www.qmpf.co.uk/</t>
  </si>
  <si>
    <t>Iceni Financial Advisers Limited</t>
  </si>
  <si>
    <t>www.theiceni.co.uk</t>
  </si>
  <si>
    <t>Nexus Wealth Planning Ltd</t>
  </si>
  <si>
    <t>https://www.nexuswp.co.uk/</t>
  </si>
  <si>
    <t>Ramsay Asset Management Limited</t>
  </si>
  <si>
    <t>Cornwall Finance &amp; Investment Services Ltd</t>
  </si>
  <si>
    <t>https://www.cfislive.co.uk/</t>
  </si>
  <si>
    <t>Lee Wealth Management Ltd</t>
  </si>
  <si>
    <t>Profile Financial Solutions Limited</t>
  </si>
  <si>
    <t>https://www.profilepensions.co.uk</t>
  </si>
  <si>
    <t>Tellsons Investors LLP</t>
  </si>
  <si>
    <t>www.tellsons.co.uk</t>
  </si>
  <si>
    <t>Female Financial Management Limited</t>
  </si>
  <si>
    <t>Wealth Wizards Benefits Limited</t>
  </si>
  <si>
    <t>https://www.wealthwizards.com/</t>
  </si>
  <si>
    <t>Womble Bond Dickinson Wealth Limited</t>
  </si>
  <si>
    <t>www.womblebonddickinsonwealth.com</t>
  </si>
  <si>
    <t>Galleon Wealth Management Limited</t>
  </si>
  <si>
    <t>www.galleonwealth.co.uk</t>
  </si>
  <si>
    <t>College Street Insurance Advisers</t>
  </si>
  <si>
    <t>Timeline Wealth Management Ltd</t>
  </si>
  <si>
    <t>https://www.timelinewealth.com/</t>
  </si>
  <si>
    <t>Milford James Ltd</t>
  </si>
  <si>
    <t>https://www.milfordjames.co.uk/</t>
  </si>
  <si>
    <t>Fenchurch Advisory Partners LLP</t>
  </si>
  <si>
    <t>www.fenchurchadvisory.com</t>
  </si>
  <si>
    <t>Portillion Capital Ltd</t>
  </si>
  <si>
    <t>Ineo (UK) Limited</t>
  </si>
  <si>
    <t>https://www.cre8wm.co.uk/</t>
  </si>
  <si>
    <t>Think Smart Finance Limited</t>
  </si>
  <si>
    <t>www.thinksmart - finance.com</t>
  </si>
  <si>
    <t>Robinson &amp; Co Financial Services Limited</t>
  </si>
  <si>
    <t>https://www.robinsonco.co.uk/</t>
  </si>
  <si>
    <t>Hampstead Wealth Management Ltd</t>
  </si>
  <si>
    <t>www.hampsteadwealth.co.uk</t>
  </si>
  <si>
    <t>Evolution FS Ltd</t>
  </si>
  <si>
    <t>www.evolutionfs.co.uk</t>
  </si>
  <si>
    <t>CS Financial Management Limited</t>
  </si>
  <si>
    <t>https://www.csfin.co.uk/</t>
  </si>
  <si>
    <t>Lombard Odier (Europe) S.A.</t>
  </si>
  <si>
    <t>https://www.lombardodier.com</t>
  </si>
  <si>
    <t>QHFS Limited</t>
  </si>
  <si>
    <t>https://www.qhfs.co.uk/</t>
  </si>
  <si>
    <t>PP Wealth Limited</t>
  </si>
  <si>
    <t>https://www.pp-wealth.com/</t>
  </si>
  <si>
    <t>GHC Wealth Management Limited</t>
  </si>
  <si>
    <t>Mark Cooke</t>
  </si>
  <si>
    <t>Kingdom Financial Services Limited</t>
  </si>
  <si>
    <t>https://www.kingdomfs.com/</t>
  </si>
  <si>
    <t>Paul Rice Investment Planning Limited</t>
  </si>
  <si>
    <t>Jack Lawrence Insurance &amp; Financial Services</t>
  </si>
  <si>
    <t>Peter Wyper</t>
  </si>
  <si>
    <t>Money Matters 2u UK Limited</t>
  </si>
  <si>
    <t>Scottish Widows Schroder Personal Wealth Limited</t>
  </si>
  <si>
    <t>www.spw.com</t>
  </si>
  <si>
    <t>There is  a calculation tool on the page for fees</t>
  </si>
  <si>
    <t>Integrity Wealth Solutions Limited</t>
  </si>
  <si>
    <t>Thank you for visiting the Integrity Wealth Management website | Brooks Macdonald</t>
  </si>
  <si>
    <t>Lamont Pridmore Asset and Wealth Management Limited</t>
  </si>
  <si>
    <t>https://www.lamontpridmorewealth.co.uk/</t>
  </si>
  <si>
    <t>Acumen Independent Financial Planning Limited</t>
  </si>
  <si>
    <t>Glennan Wealth Management Ltd</t>
  </si>
  <si>
    <t>www.gwmfinancial.co.uk</t>
  </si>
  <si>
    <t>The Langridge Partnership LLP</t>
  </si>
  <si>
    <t>www.langridge-ifa.com</t>
  </si>
  <si>
    <t>Sterling North Limited</t>
  </si>
  <si>
    <t>AML Associates Financial Services Ltd</t>
  </si>
  <si>
    <t>James Robertson</t>
  </si>
  <si>
    <t>Metis Wealth Ltd</t>
  </si>
  <si>
    <t>https://www.metiswealth.co.uk/</t>
  </si>
  <si>
    <t>Informed Wealth Strategies Ltd</t>
  </si>
  <si>
    <t>Simpson Kelly Associates Ltd</t>
  </si>
  <si>
    <t>Platinum Gain Ltd</t>
  </si>
  <si>
    <t>www.platinumgain.com</t>
  </si>
  <si>
    <t>Cedar Wealth Management Limited</t>
  </si>
  <si>
    <t>Sovereign Money Matters Ltd</t>
  </si>
  <si>
    <t>JMC Financial Services Limited</t>
  </si>
  <si>
    <t>https://www.jmcfs.com/</t>
  </si>
  <si>
    <t>Chris Gooding (IFA) Ltd</t>
  </si>
  <si>
    <t>Richmond Wealth LLP</t>
  </si>
  <si>
    <t>www.richmondwealth.co.uk</t>
  </si>
  <si>
    <t>McDevitt Consulting Limited</t>
  </si>
  <si>
    <t>LIFA (UK) Limited</t>
  </si>
  <si>
    <t>Terry King Financial Services Limited</t>
  </si>
  <si>
    <t>Ian Harrison Independent Financial Services Limited</t>
  </si>
  <si>
    <t>https://www.ianharrison-ifa.co.uk/</t>
  </si>
  <si>
    <t>Philippa Gee Wealth Management Limited</t>
  </si>
  <si>
    <t>https://www.philippagee.co.uk/</t>
  </si>
  <si>
    <t>Meridian Wealth Management Limited</t>
  </si>
  <si>
    <t>https://www.meridianwealth.co.uk/</t>
  </si>
  <si>
    <t>CW Capital Management (UK) Limited</t>
  </si>
  <si>
    <t>www.cwcapital.co.uk</t>
  </si>
  <si>
    <t>Culverhouse Financial Planning Ltd</t>
  </si>
  <si>
    <t>https://www.culverhouse-fp.co.uk/</t>
  </si>
  <si>
    <t>JH Family Office Ltd</t>
  </si>
  <si>
    <t>PFPNI LTD</t>
  </si>
  <si>
    <t>Lindsay Lockett Financial Guidance Ltd</t>
  </si>
  <si>
    <t>https://www.lindsaylockett.co.uk/</t>
  </si>
  <si>
    <t>City Investment and Insurance Services Ltd</t>
  </si>
  <si>
    <t>www.cityinvest.co.uk</t>
  </si>
  <si>
    <t>Continuum Wealth Limited</t>
  </si>
  <si>
    <t>www.continuumwealth.co.uk</t>
  </si>
  <si>
    <t>Maidenhead Independent Limited</t>
  </si>
  <si>
    <t>Loveday &amp; Partners Limited</t>
  </si>
  <si>
    <t>www.lovedayandpartners.com</t>
  </si>
  <si>
    <t>Brimmond Financial Management Ltd</t>
  </si>
  <si>
    <t>https://www.brimmond.co.uk/</t>
  </si>
  <si>
    <t>Associated Legal &amp; Financial Limited</t>
  </si>
  <si>
    <t>https://www.alaf.biz/</t>
  </si>
  <si>
    <t>Seven Financial UK Limited</t>
  </si>
  <si>
    <t>www. 7 fg.co.uk</t>
  </si>
  <si>
    <t>Key Wealth Management Limited</t>
  </si>
  <si>
    <t>https://www.gibbonsandkey.co.uk/</t>
  </si>
  <si>
    <t>Currency Solutions Limited</t>
  </si>
  <si>
    <t>www.currencysolutions.com</t>
  </si>
  <si>
    <t>Mayfield Investment Management Limited</t>
  </si>
  <si>
    <t>https://www.mayfieldim.co.uk/</t>
  </si>
  <si>
    <t>Applewood Independent Limited</t>
  </si>
  <si>
    <t>https://www.afhwm.co.uk/nantwich</t>
  </si>
  <si>
    <t>Comprehensive Financial Planning Limited</t>
  </si>
  <si>
    <t>https://www.comprehensivefinancial.co.uk/</t>
  </si>
  <si>
    <t>CST Wealth Management Limited</t>
  </si>
  <si>
    <t>www.cstwealth.co.uk</t>
  </si>
  <si>
    <t>Campbell &amp; Associates Independent Financial Advice Ltd</t>
  </si>
  <si>
    <t>https://www.campbell-financial.co.uk/</t>
  </si>
  <si>
    <t>Oak Financial Management Limited</t>
  </si>
  <si>
    <t>https://www.oakifa.com/</t>
  </si>
  <si>
    <t>RJM &amp; Associates (Hampton) Limited</t>
  </si>
  <si>
    <t>https://www.davenportthomas.co.uk/</t>
  </si>
  <si>
    <t>Fangdale Financial Ltd</t>
  </si>
  <si>
    <t>AFS Advocate Financial Services Limited</t>
  </si>
  <si>
    <t>Liberty Bishop Financial Services Ltd</t>
  </si>
  <si>
    <t>Sandwell Financial Services Limited</t>
  </si>
  <si>
    <t>Cheltenham Independent Financial Advisers Ltd</t>
  </si>
  <si>
    <t>www.cheltenhamifa.co.uk</t>
  </si>
  <si>
    <t>London International Corporation Limited</t>
  </si>
  <si>
    <t>www.lic.uk.com</t>
  </si>
  <si>
    <t>Debenwood Financial Planning Limited</t>
  </si>
  <si>
    <t>www.debenwood.co.uk</t>
  </si>
  <si>
    <t>Unity Financial Planning Limited</t>
  </si>
  <si>
    <t>Amethyst Financial Planning Limited</t>
  </si>
  <si>
    <t>www.amethystifa.co.uk</t>
  </si>
  <si>
    <t>Montel Investments Limited</t>
  </si>
  <si>
    <t>The Redlake Consultancy Ltd</t>
  </si>
  <si>
    <t>3R Financial Services Ltd</t>
  </si>
  <si>
    <t>https://www.3rfinancialservices.com/</t>
  </si>
  <si>
    <t>Eldercare Solutions Limited</t>
  </si>
  <si>
    <t>Primary Financial Management Limited</t>
  </si>
  <si>
    <t>https://www.primaryfinancial.co.uk/</t>
  </si>
  <si>
    <t>Dalbeath Financial Planning Ltd</t>
  </si>
  <si>
    <t>https://www.dalbeath.co.uk/</t>
  </si>
  <si>
    <t>Gateway Financial Advisers (UK) Ltd</t>
  </si>
  <si>
    <t>www.gfa-advisers.co.uk</t>
  </si>
  <si>
    <t>Green Financial Planning Limited</t>
  </si>
  <si>
    <t>https://www.greenfp.co.uk/</t>
  </si>
  <si>
    <t>Paul Murray Investments Ltd</t>
  </si>
  <si>
    <t>https://www.paulmurrayinvestments.co.uk/</t>
  </si>
  <si>
    <t>The Pension Review Business Limited</t>
  </si>
  <si>
    <t>http://thepensionreviewbusiness.co.uk/</t>
  </si>
  <si>
    <t>Gamble Gaunt &amp; Mole LLP</t>
  </si>
  <si>
    <t>www.ggandm.co.uk</t>
  </si>
  <si>
    <t>SAMGEM Associates Limited</t>
  </si>
  <si>
    <t>MKM Financial Management Ltd</t>
  </si>
  <si>
    <t>https://www.mkmfinancialmanagement.co.uk/</t>
  </si>
  <si>
    <t>Wyatt Morris Golland (F S) Ltd.</t>
  </si>
  <si>
    <t>Cotswold Independent Financial Services Limited</t>
  </si>
  <si>
    <t>https://www.cotswoldifs.co.uk/</t>
  </si>
  <si>
    <t>NovitasFTCL Limited</t>
  </si>
  <si>
    <t>http://www.novitasftcl.com</t>
  </si>
  <si>
    <t>Futura Investments Limited</t>
  </si>
  <si>
    <t>www.futurainvestments.co.uk</t>
  </si>
  <si>
    <t>LWM LLP</t>
  </si>
  <si>
    <t>www.lwmllp.co.uk</t>
  </si>
  <si>
    <t>DEWM Limited</t>
  </si>
  <si>
    <t>TL Dallas Independent Financial Services Limited</t>
  </si>
  <si>
    <t>Independent Financial Advice Centre (Glasgow) Ltd</t>
  </si>
  <si>
    <t>Aqua Financial Limited</t>
  </si>
  <si>
    <t>https://www.aquafinancial.co.uk/</t>
  </si>
  <si>
    <t>Suited 2u Limited</t>
  </si>
  <si>
    <t>Sterling &amp; Law Group Plc</t>
  </si>
  <si>
    <t>www.sterlingandlaw.com</t>
  </si>
  <si>
    <t>https://www.sterlingandlaw.com/about-sterling-and-law/how-we-are-paid/</t>
  </si>
  <si>
    <t>STERLING &amp; LAW GROUP PLC filing history - Find and update company information - GOV.UK</t>
  </si>
  <si>
    <t>East Anglian Financial Planning Limited</t>
  </si>
  <si>
    <t>www.eafp.co.uk</t>
  </si>
  <si>
    <t>Equinox Wealth Limited</t>
  </si>
  <si>
    <t>Harrison Townend Financial Services Limited</t>
  </si>
  <si>
    <t>https://www.htfinancialservices.co.uk/</t>
  </si>
  <si>
    <t>Alexander James Financial Planning Limited</t>
  </si>
  <si>
    <t>https://www.alexanderjamesfinancial.co.uk/</t>
  </si>
  <si>
    <t>Fields Macdonald Wealth Management Ltd</t>
  </si>
  <si>
    <t>www.fieldsmacdonald.co.uk</t>
  </si>
  <si>
    <t>I.T. Associates Financial Planning Limited</t>
  </si>
  <si>
    <t>www.cavendishpw.com</t>
  </si>
  <si>
    <t>Eight Four Two Limited</t>
  </si>
  <si>
    <t>www.eightfourtwo.com</t>
  </si>
  <si>
    <t>Cassons Financial Planning Limited</t>
  </si>
  <si>
    <t>Anglebury Financial Associates LLP</t>
  </si>
  <si>
    <t>Paul Jolly Financial Services Limited</t>
  </si>
  <si>
    <t>Pritchard Jones Wealth Planning Limited</t>
  </si>
  <si>
    <t>Chiltern Financial Services Limited</t>
  </si>
  <si>
    <t>https://www.chilternfinancial.co.uk/</t>
  </si>
  <si>
    <t>Greenarch Wealth Management Limited</t>
  </si>
  <si>
    <t>www.greenarch.uk</t>
  </si>
  <si>
    <t>JDB Life Ltd</t>
  </si>
  <si>
    <t>Regis Bentley Limited</t>
  </si>
  <si>
    <t>www.regisbentley.com</t>
  </si>
  <si>
    <t>Sturdy Edwards (Financial Services) Limited</t>
  </si>
  <si>
    <t>https://www.sturdyedwards.co.uk/</t>
  </si>
  <si>
    <t>https://www.sturdyedwards.co.uk/pdfs/Sturdy-Edwards-Client-Agreement-(Services-Charges).pdf</t>
  </si>
  <si>
    <t>STURDY EDWARDS (FINANCIAL SERVICES) LIMITED filing history - Find and update company information - GOV.UK</t>
  </si>
  <si>
    <t>Tristan Brodbeck Financial Planning Ltd</t>
  </si>
  <si>
    <t>Advanta Wealth Ltd</t>
  </si>
  <si>
    <t>www.advantawealth.co.uk</t>
  </si>
  <si>
    <t>Oculus Wealth Management Limited</t>
  </si>
  <si>
    <t>www.oculuswealth.co.uk</t>
  </si>
  <si>
    <t>Novitas Wealth Management Ltd</t>
  </si>
  <si>
    <t>Impartial Financial Solutions Dundee LLP</t>
  </si>
  <si>
    <t>Seren Financial Advisers Ltd</t>
  </si>
  <si>
    <t>Arcaria Financial Solutions Ltd</t>
  </si>
  <si>
    <t>Arcaria.com</t>
  </si>
  <si>
    <t>Acorn Financial Planning Limited</t>
  </si>
  <si>
    <t>www.acornfp.co.uk</t>
  </si>
  <si>
    <t>Scotia Wealth Management Ltd</t>
  </si>
  <si>
    <t>https://www.scotiawm.co.uk/</t>
  </si>
  <si>
    <t>Tyrrell &amp; Company Independent Financial Advisers LLP</t>
  </si>
  <si>
    <t>Stonehill Financial Limited</t>
  </si>
  <si>
    <t>https://www.stonehillfinancial.co.uk/</t>
  </si>
  <si>
    <t>Dandelion Financial Limited</t>
  </si>
  <si>
    <t>https://www.dandelionfinancial.co.uk/</t>
  </si>
  <si>
    <t>TPD Wealth Management Limited</t>
  </si>
  <si>
    <t>https://www.tpdwealth.co.uk/</t>
  </si>
  <si>
    <t>The Gray Partnership Limited</t>
  </si>
  <si>
    <t>Bede Wealth Management Limited</t>
  </si>
  <si>
    <t>https://www.bedewealth.co.uk/</t>
  </si>
  <si>
    <t>Michael Stokes</t>
  </si>
  <si>
    <t>QC Financial Management Limited</t>
  </si>
  <si>
    <t>https://www.qcfm.co.uk/</t>
  </si>
  <si>
    <t>FINANCIAL AFFAIRS WEALTH SOLUTIONS LIMITED</t>
  </si>
  <si>
    <t>Ferguson Wealth Management Limited</t>
  </si>
  <si>
    <t>https://www.fwml.co.uk/</t>
  </si>
  <si>
    <t>Ashworth Financial Planning Ltd</t>
  </si>
  <si>
    <t>Oracle Wealth Ltd</t>
  </si>
  <si>
    <t>True Potential Investments LLP</t>
  </si>
  <si>
    <t>www.truepotential.co.uk</t>
  </si>
  <si>
    <t>No initial advice fee charged</t>
  </si>
  <si>
    <t>https://www.truepotential.co.uk/our-fees/https://www.truepotential.co.uk/our-fees/</t>
  </si>
  <si>
    <t>True-Potential-Allianz-Balanced-20260217.pdf</t>
  </si>
  <si>
    <t>Select full accounts made up to 31 December 2024</t>
  </si>
  <si>
    <t>Wealth Management &amp; Growth Limited</t>
  </si>
  <si>
    <t>www.wmgifa.co.uk</t>
  </si>
  <si>
    <t>Ashley Kneale Associates Limited</t>
  </si>
  <si>
    <t>Brian Wilson</t>
  </si>
  <si>
    <t>AFWM Limited</t>
  </si>
  <si>
    <t>https://www.afwm.co.uk/</t>
  </si>
  <si>
    <t>Paul James Howard</t>
  </si>
  <si>
    <t>https://www.box-financial-planning.co.uk/</t>
  </si>
  <si>
    <t>Sparrows Capital Limited</t>
  </si>
  <si>
    <t>www.sparrowscapital.com</t>
  </si>
  <si>
    <t>S&amp;S Mortgage Solutions Ltd</t>
  </si>
  <si>
    <t>Browning Financial Planning Ltd</t>
  </si>
  <si>
    <t>https://www.browningfinancialplanning.co.uk/</t>
  </si>
  <si>
    <t>True Potential Wealth Management LLP</t>
  </si>
  <si>
    <t>www.tpllp.com</t>
  </si>
  <si>
    <t>Shropshire Independent Financial Services Limited</t>
  </si>
  <si>
    <t>Antonine Investment Managers Limited</t>
  </si>
  <si>
    <t>https://www.antonineim.co.uk/</t>
  </si>
  <si>
    <t>Steven Mufti &amp; Associates Limited</t>
  </si>
  <si>
    <t>https://www.smawm.co.uk/</t>
  </si>
  <si>
    <t>Best Advice Financial Services Ltd</t>
  </si>
  <si>
    <t>Gower House Financial Ltd</t>
  </si>
  <si>
    <t>www.gowerhouse.co.uk</t>
  </si>
  <si>
    <t>Lee Strathy Limited</t>
  </si>
  <si>
    <t>John Davies Investment and Mortgage Services LLP</t>
  </si>
  <si>
    <t>James Irvine Financial Planning Limited</t>
  </si>
  <si>
    <t>G&amp;H Bell ( Life &amp; Pensions) Ltd</t>
  </si>
  <si>
    <t>Orchard Independent Financial Advice</t>
  </si>
  <si>
    <t>https://www.orchardifa.com/</t>
  </si>
  <si>
    <t>R &amp; H Partnership</t>
  </si>
  <si>
    <t>Michael Raymond</t>
  </si>
  <si>
    <t>https://www.brightfinancialplanning.co.uk/</t>
  </si>
  <si>
    <t>Hayburn Rock Financial Planning Ltd</t>
  </si>
  <si>
    <t>Town Close Financial Planning Limited</t>
  </si>
  <si>
    <t>www.townclose.money</t>
  </si>
  <si>
    <t>AAB Wealth Limited</t>
  </si>
  <si>
    <t>www.aabwealth.uk</t>
  </si>
  <si>
    <t>ilumiti LLP</t>
  </si>
  <si>
    <t>www.ilumiti.co.uk</t>
  </si>
  <si>
    <t>Fitch Financial Associates Limited</t>
  </si>
  <si>
    <t>Watson French Limited</t>
  </si>
  <si>
    <t>https://www.watsonfrench.co.uk/</t>
  </si>
  <si>
    <t xml:space="preserve">Hourly </t>
  </si>
  <si>
    <t>https://www.watsonfrench.co.uk/2022/12/19/terms-and-conditions/</t>
  </si>
  <si>
    <t>WATSON FRENCH LIMITED filing history - Find and update company information - GOV.UK</t>
  </si>
  <si>
    <t>Schaefer Financial Management Limited</t>
  </si>
  <si>
    <t>Bridge Investments Partners Limited</t>
  </si>
  <si>
    <t>Complete Financial UK Trading Limited</t>
  </si>
  <si>
    <t>https://www.cfp-uk.com/</t>
  </si>
  <si>
    <t>KPW Investments LLP</t>
  </si>
  <si>
    <t>Ink Employee Benefits Limited</t>
  </si>
  <si>
    <t>https://www.theinkgroup.co.uk/</t>
  </si>
  <si>
    <t>M A C Financial Services Limited</t>
  </si>
  <si>
    <t>Craig Johnston Asset Management Limited</t>
  </si>
  <si>
    <t>Avista Financial Planning Limited</t>
  </si>
  <si>
    <t>https://www.avistafp.co.uk/</t>
  </si>
  <si>
    <t>Active Asset Management (Scotland) Limited</t>
  </si>
  <si>
    <t>Danum Financial Services Limited</t>
  </si>
  <si>
    <t>https://www.danumfs.com/</t>
  </si>
  <si>
    <t>Ravenscroft Investments (UK) Limited</t>
  </si>
  <si>
    <t>https://www.ravenscroftuk.com/</t>
  </si>
  <si>
    <t>Gillinghams Independent Financial Advisers Ltd</t>
  </si>
  <si>
    <t>https://www.gillinghamsifa.co.uk/</t>
  </si>
  <si>
    <t>Elkins Financial Planning Ltd</t>
  </si>
  <si>
    <t>https://www.smarterfinancialplanning.co.uk/</t>
  </si>
  <si>
    <t>Tayside Financial Planning Limited</t>
  </si>
  <si>
    <t>Andrew Grindley Financial Services Limited</t>
  </si>
  <si>
    <t>Kippax Financial Services Ltd</t>
  </si>
  <si>
    <t>www.kippaxfs.com</t>
  </si>
  <si>
    <t>Thameside Financial Planning Limited</t>
  </si>
  <si>
    <t>https://www.thamesidefp.com/</t>
  </si>
  <si>
    <t>Ingenuity Financial Services Limited</t>
  </si>
  <si>
    <t>www.ingenuityfinancialservices.co.uk/</t>
  </si>
  <si>
    <t>Certus Financial Planning Limited</t>
  </si>
  <si>
    <t>https://www.certus-fp.com/</t>
  </si>
  <si>
    <t>Adam Jones</t>
  </si>
  <si>
    <t>KCM Wealth Management Ltd</t>
  </si>
  <si>
    <t>https://www.kcmwm.co.uk/</t>
  </si>
  <si>
    <t>The Wealth Care Partnership Limited</t>
  </si>
  <si>
    <t>https://www.thewealthcarepartnership.co.uk/</t>
  </si>
  <si>
    <t>Paul Dodd Asset Management Limited</t>
  </si>
  <si>
    <t>www.pauldodd.co.uk</t>
  </si>
  <si>
    <t>Wells Gibson Limited</t>
  </si>
  <si>
    <t>https://www.wellsgibson.uk/</t>
  </si>
  <si>
    <t>https://www.wellsgibson.uk/wp-content/uploads/2022/10/202209_WG_Terms-of-Business_Final.pdf</t>
  </si>
  <si>
    <t>WELLS GIBSON LIMITED overview - Find and update company information - GOV.UK</t>
  </si>
  <si>
    <t>Rajive Hensman</t>
  </si>
  <si>
    <t>Geoffrey Craig Limited</t>
  </si>
  <si>
    <t>KMG Investment Management Limited</t>
  </si>
  <si>
    <t>Trust KB2 Limited</t>
  </si>
  <si>
    <t>Tanager Wealth Management LLP</t>
  </si>
  <si>
    <t>www.tanagerwealth.com</t>
  </si>
  <si>
    <t>Abacus Money Management Ltd</t>
  </si>
  <si>
    <t>https://www.abacusmml.co.uk/</t>
  </si>
  <si>
    <t>Robert Bruce Associates Limited</t>
  </si>
  <si>
    <t>www.robertbrucefp.com</t>
  </si>
  <si>
    <t>Mid &amp; West IFA Limited</t>
  </si>
  <si>
    <t>https://www.midandwest.co.uk/</t>
  </si>
  <si>
    <t>IAS Financial Planning Ltd</t>
  </si>
  <si>
    <t>Safran (South West) Limited</t>
  </si>
  <si>
    <t>www.randalls.co.uk</t>
  </si>
  <si>
    <t>Burley Fox Limited</t>
  </si>
  <si>
    <t>www.burleyfox.com</t>
  </si>
  <si>
    <t>USA/UK Financial Concierge Ltd</t>
  </si>
  <si>
    <t>Rowe Financial and Insurance Services Ltd</t>
  </si>
  <si>
    <t>Vision Financial Strategies Ltd</t>
  </si>
  <si>
    <t>https://www.visionfs.co.uk/</t>
  </si>
  <si>
    <t>Bespoke Independent Financial Advisers Limited</t>
  </si>
  <si>
    <t>James Gregory Financial Limited</t>
  </si>
  <si>
    <t>www.jamesgregoryfinancial.com</t>
  </si>
  <si>
    <t>Mike Smith IFA Limited</t>
  </si>
  <si>
    <t>https://www.mikesmithifa.co.uk/</t>
  </si>
  <si>
    <t>Oyster Financial Planning Ltd</t>
  </si>
  <si>
    <t>www.oysterfinancialplanning.co.uk</t>
  </si>
  <si>
    <t>Money Tree Financial Planning Limited</t>
  </si>
  <si>
    <t>www.moneytreefp.co.uk</t>
  </si>
  <si>
    <t>Clearwater Independent Financial Planning Limited</t>
  </si>
  <si>
    <t>jch investment management limited</t>
  </si>
  <si>
    <t>https://www.jchim.co.uk/</t>
  </si>
  <si>
    <t>JKFS (UK) Ltd</t>
  </si>
  <si>
    <t>https://www.jkfs.com/</t>
  </si>
  <si>
    <t>Macdonalds Independent Financial Advisers Limited</t>
  </si>
  <si>
    <t>Ellacotts Wealth Planning Ltd</t>
  </si>
  <si>
    <t>https://www.ellacottswealth.co.uk/</t>
  </si>
  <si>
    <t>ONE FINANCIAL ADVISER LTD</t>
  </si>
  <si>
    <t>https://www.onefinancialadviser.com/</t>
  </si>
  <si>
    <t>TPFA Limited</t>
  </si>
  <si>
    <t>www.cordinerwealth.co.uk</t>
  </si>
  <si>
    <t>Westminster Wealth Management LLP</t>
  </si>
  <si>
    <t>https://www.westminster-wealth.com/</t>
  </si>
  <si>
    <t>https://www.westminster-wealth.com/prices</t>
  </si>
  <si>
    <t>WESTMINSTER WEALTH MANAGEMENT LLP filing history - Find and update company information - GOV.UK</t>
  </si>
  <si>
    <t>Shore Financial Planning (Plymouth) Limited</t>
  </si>
  <si>
    <t>www.shoreplymouth.co.uk</t>
  </si>
  <si>
    <t>Mill House Group Investments Limited</t>
  </si>
  <si>
    <t>Finanalysis Limited</t>
  </si>
  <si>
    <t>www.FinAnalysis.co.uk</t>
  </si>
  <si>
    <t>Pinewood Portfolio Management LLP</t>
  </si>
  <si>
    <t>https://www.pinewoodpm.com/</t>
  </si>
  <si>
    <t>Clifford Osborne Limited</t>
  </si>
  <si>
    <t>https://www.cliffordosborne.co.uk/</t>
  </si>
  <si>
    <t>Tom French &amp; Associates Limited</t>
  </si>
  <si>
    <t>www.tfagroup.co.uk</t>
  </si>
  <si>
    <t>Independent Financial Advice | Services &amp; Costs | TFA</t>
  </si>
  <si>
    <t>TOM FRENCH &amp; ASSOCIATES LIMITED filing history - Find and update company information - GOV.UK</t>
  </si>
  <si>
    <t>Foundation Investment Management Limited</t>
  </si>
  <si>
    <t>JJW Financial Planning Limited</t>
  </si>
  <si>
    <t>Provident Wealth FS Ltd</t>
  </si>
  <si>
    <t>Furnival Evans Limited</t>
  </si>
  <si>
    <t>ForeSight Independent Financial Planning Ltd</t>
  </si>
  <si>
    <t>www.foresightws.co.uk</t>
  </si>
  <si>
    <t>Integra Financial Services Limited</t>
  </si>
  <si>
    <t>Watt Money Limited</t>
  </si>
  <si>
    <t>Mole Valley Asset Management Ltd</t>
  </si>
  <si>
    <t>King's Court Financial Planning LLP</t>
  </si>
  <si>
    <t>https://www.kcfp.co.uk/</t>
  </si>
  <si>
    <t>Accord Financial Planning Limited</t>
  </si>
  <si>
    <t>A J Options Ltd</t>
  </si>
  <si>
    <t>Kathryn Priestley</t>
  </si>
  <si>
    <t>ABi Fol Consulting Limited</t>
  </si>
  <si>
    <t>https://www.folwealth.com/</t>
  </si>
  <si>
    <t>Two company under same registration at FCA</t>
  </si>
  <si>
    <t>Lincoln Private Investment Office LLP</t>
  </si>
  <si>
    <t>www.lpio.co.uk</t>
  </si>
  <si>
    <t>Chancery Law (Southport) Limited</t>
  </si>
  <si>
    <t>Thorntons Investment Management Ltd</t>
  </si>
  <si>
    <t>https://www.drumnor.co.uk/</t>
  </si>
  <si>
    <t>Sculthorp Services Limited</t>
  </si>
  <si>
    <t>https://www.wolfrockfp.co.uk/</t>
  </si>
  <si>
    <t>Initial Fees - Wolf Rock Financial Planning</t>
  </si>
  <si>
    <t>SCULTHORP SERVICES LIMITED filing history - Find and update company information - GOV.UK</t>
  </si>
  <si>
    <t xml:space="preserve">No ongoing </t>
  </si>
  <si>
    <t>ABG Corporate Finance LLP</t>
  </si>
  <si>
    <t>www.brightharbour.co</t>
  </si>
  <si>
    <t>Stonewood Wealth Management LLP</t>
  </si>
  <si>
    <t>www.stonewoodwealth.com</t>
  </si>
  <si>
    <t>Sandle Nash Limited</t>
  </si>
  <si>
    <t>www.sandlenash.co.uk</t>
  </si>
  <si>
    <t>Professional Financial LLP</t>
  </si>
  <si>
    <t>Best Price Financial Services Limited</t>
  </si>
  <si>
    <t>https://www.bestpricefs.co.uk/</t>
  </si>
  <si>
    <t>Regal Independent Financial Services Ltd</t>
  </si>
  <si>
    <t>www.regalifs.com</t>
  </si>
  <si>
    <t>Equitas Financial (UK) Ltd</t>
  </si>
  <si>
    <t>www.equitasfinancial. net</t>
  </si>
  <si>
    <t>Larcomes Financial Services Limited</t>
  </si>
  <si>
    <t>https://www.larcomesfs.co.uk/</t>
  </si>
  <si>
    <t>BlackStar Finance Limited</t>
  </si>
  <si>
    <t>https://www.blackstarfinance.co.uk/</t>
  </si>
  <si>
    <t>Watermead Financial Ltd</t>
  </si>
  <si>
    <t>www.watermead-financial.co.uk</t>
  </si>
  <si>
    <t>Esteem Money Ltd</t>
  </si>
  <si>
    <t>Cavendish Financial Advice Ltd</t>
  </si>
  <si>
    <t>www.cavendishifa.co.uk</t>
  </si>
  <si>
    <t>LawlerDavis Independent Financial Planners Limited</t>
  </si>
  <si>
    <t>https://www.lawlerdavis.co.uk/</t>
  </si>
  <si>
    <t>The Palmer Partnership (2014) Limited</t>
  </si>
  <si>
    <t>Meridian Financial Planning Limited</t>
  </si>
  <si>
    <t>https://www.meridianfp.co.uk/</t>
  </si>
  <si>
    <t>Professional Wealth Planning Limited</t>
  </si>
  <si>
    <t>https://www.professionalwealthplanning.co.uk/</t>
  </si>
  <si>
    <t>121-Advice Ltd</t>
  </si>
  <si>
    <t>https://www.121-advice.com/</t>
  </si>
  <si>
    <t>Hartsfield Financial Services Limited</t>
  </si>
  <si>
    <t>www.hartsfield.co.uk</t>
  </si>
  <si>
    <t>Winshaw Corporate Solutions Limited</t>
  </si>
  <si>
    <t>https://www.winshawcs.com/</t>
  </si>
  <si>
    <t>Emery Little Wealth Management Limited</t>
  </si>
  <si>
    <t>www.emerylittle.com</t>
  </si>
  <si>
    <t>Peter John Lucketti</t>
  </si>
  <si>
    <t>Bespoke-Advice Limited</t>
  </si>
  <si>
    <t>https://www.bespoke-advice.com/</t>
  </si>
  <si>
    <t>Strathleven Financial Services Ltd</t>
  </si>
  <si>
    <t>Sense Financial Solutions Limited</t>
  </si>
  <si>
    <t>www.itmakessense. net</t>
  </si>
  <si>
    <t>Autus Lifetime Planning Limited</t>
  </si>
  <si>
    <t>www.autus.uk.com</t>
  </si>
  <si>
    <t>Philip Andrew Whitehead</t>
  </si>
  <si>
    <t>Financial Strategies Limited</t>
  </si>
  <si>
    <t>Strata Financial Limited</t>
  </si>
  <si>
    <t>https://www.strataifa.co.uk/</t>
  </si>
  <si>
    <t>Heather Macqueen Limited</t>
  </si>
  <si>
    <t>https://www.heathermacqueen.co.uk/</t>
  </si>
  <si>
    <t>Ashton Financial Services Limited</t>
  </si>
  <si>
    <t>Lanyon Financial Planning Limited</t>
  </si>
  <si>
    <t>www.lanyonfp.com</t>
  </si>
  <si>
    <t>Lanyon Financial Planning Fees</t>
  </si>
  <si>
    <t>LANYON FINANCIAL PLANNING LIMITED filing history - Find and update company information - GOV.UK</t>
  </si>
  <si>
    <t>J Kempson Associates Limited</t>
  </si>
  <si>
    <t>Independence Assured Ltd</t>
  </si>
  <si>
    <t>https://www.independenceassured.com/</t>
  </si>
  <si>
    <t>TM Asset Management Limited</t>
  </si>
  <si>
    <t>http://tmam.co.uk/</t>
  </si>
  <si>
    <t>Latimer Financial Services Ltd</t>
  </si>
  <si>
    <t>Nigel J Barker &amp; Company Limited</t>
  </si>
  <si>
    <t>https://www.nigeljbarker.com/</t>
  </si>
  <si>
    <t>Alchemy Financial Limited</t>
  </si>
  <si>
    <t>https://www.alchemyfinancial.co.uk/</t>
  </si>
  <si>
    <t>Simple Financial Planning Ltd</t>
  </si>
  <si>
    <t>https://www.simplefp.co.uk/</t>
  </si>
  <si>
    <t>Lyncombe Consultants Limited</t>
  </si>
  <si>
    <t>https://www.lyncombeconsultants.co.uk/</t>
  </si>
  <si>
    <t xml:space="preserve">Network with underlying advisers </t>
  </si>
  <si>
    <t>K M Financial Consultants (Wessex) Ltd</t>
  </si>
  <si>
    <t>Sasha Hunt Limited</t>
  </si>
  <si>
    <t>Courtville Partners LLP</t>
  </si>
  <si>
    <t>www.courtville.co.uk</t>
  </si>
  <si>
    <t>Brunswick Investment Management Limited</t>
  </si>
  <si>
    <t>https://www.brunswickim.com/</t>
  </si>
  <si>
    <t>Hall Financial Planning LLP</t>
  </si>
  <si>
    <t>https://www.danbarsolicitors.co.uk/</t>
  </si>
  <si>
    <t>Chic-Kending Ltd</t>
  </si>
  <si>
    <t>Oracle Consultants Ltd</t>
  </si>
  <si>
    <t>WATTSIIS LTD</t>
  </si>
  <si>
    <t>Leven Wealth Management Limited</t>
  </si>
  <si>
    <t>https://www.levenwealth.co.uk/</t>
  </si>
  <si>
    <t>Leven Wealth Management |</t>
  </si>
  <si>
    <t>LEVEN WEALTH MANAGEMENT LIMITED filing history - Find and update company information - GOV.UK</t>
  </si>
  <si>
    <t>Akur Limited</t>
  </si>
  <si>
    <t>akur.co.uk</t>
  </si>
  <si>
    <t>Torphin Financial Planning Ltd</t>
  </si>
  <si>
    <t>https://www.torphin.co.uk/</t>
  </si>
  <si>
    <t>Griffin Wealth Management Limited</t>
  </si>
  <si>
    <t>https://www.griffinwealth.co.uk/</t>
  </si>
  <si>
    <t>John Gaughran</t>
  </si>
  <si>
    <t>Verity Wealth Management LLP</t>
  </si>
  <si>
    <t>https://www.veritywm.co.uk/</t>
  </si>
  <si>
    <t>Fry Family Office Limited</t>
  </si>
  <si>
    <t>www.fryfamilyoffice.com</t>
  </si>
  <si>
    <t>Financial Planning Concepts Ltd</t>
  </si>
  <si>
    <t>https://www.fpconcepts.co.uk/</t>
  </si>
  <si>
    <t>IronMarket Ltd</t>
  </si>
  <si>
    <t>https://www.net-worthntwrk.com/</t>
  </si>
  <si>
    <t>MC Financial Wealth Management Ltd</t>
  </si>
  <si>
    <t>Ross Bell Associates Ltd</t>
  </si>
  <si>
    <t>https://www.ross-bell.co.uk/</t>
  </si>
  <si>
    <t>PBR Financial Services Limited</t>
  </si>
  <si>
    <t>Michael David Sherrard</t>
  </si>
  <si>
    <t>https://www.sherrardfm.com/</t>
  </si>
  <si>
    <t>Gresham Wealth Management (FS) Ltd</t>
  </si>
  <si>
    <t>www.greshamwm.co.uk</t>
  </si>
  <si>
    <t>SFIA Wealth Management Limited</t>
  </si>
  <si>
    <t>Crystal Financial Solutions Limited</t>
  </si>
  <si>
    <t>https://www.crystalfs.co.uk/</t>
  </si>
  <si>
    <t>C. Alexander Financial Planning Ltd</t>
  </si>
  <si>
    <t>www.calexander.co.uk</t>
  </si>
  <si>
    <t>Crofton Financial Planning Limited</t>
  </si>
  <si>
    <t>https://www.croftonfinancialplanning.co.uk/</t>
  </si>
  <si>
    <t>People and Business IFA Limited</t>
  </si>
  <si>
    <t>https://www.pandbifa.co.uk/</t>
  </si>
  <si>
    <t>Unbiased Financial Planning Limited</t>
  </si>
  <si>
    <t>https://www.unbiasedfp.co.uk/</t>
  </si>
  <si>
    <t>Taylor Cobby LLP</t>
  </si>
  <si>
    <t>https://www.taylorcobby.co.uk/</t>
  </si>
  <si>
    <t>Mac Kotecha &amp; Company</t>
  </si>
  <si>
    <t>www.mackotecha.co.uk</t>
  </si>
  <si>
    <t>The Heritage Financial Planning Partnership</t>
  </si>
  <si>
    <t>Ideal Financial Solutions Ltd</t>
  </si>
  <si>
    <t>https://www.idealfinancialsolutions.co.uk/</t>
  </si>
  <si>
    <t>Grange Wealth Management Ltd</t>
  </si>
  <si>
    <t>https://www.grangewealth.co.uk/</t>
  </si>
  <si>
    <t>Mark Cromack</t>
  </si>
  <si>
    <t>Synergy Markets Limited</t>
  </si>
  <si>
    <t>www.synergy - markets.com</t>
  </si>
  <si>
    <t>Huntington Ross Limited</t>
  </si>
  <si>
    <t>www.huntingtonross.co.uk</t>
  </si>
  <si>
    <t>abrdn Portfolio Solutions Limited</t>
  </si>
  <si>
    <t>www.aberdeenadviser.com</t>
  </si>
  <si>
    <t>Aether Energy Limited</t>
  </si>
  <si>
    <t>www.aetherenergy.co.uk</t>
  </si>
  <si>
    <t>Wargrave &amp; Henley Financial Services Ltd</t>
  </si>
  <si>
    <t>Entire FS Ltd</t>
  </si>
  <si>
    <t>entirefs.co.uk</t>
  </si>
  <si>
    <t>D O'Kane Financial Services Limited</t>
  </si>
  <si>
    <t>https://www.dokanefinancialservices.co.uk/</t>
  </si>
  <si>
    <t>Williams Financial Planning Limited</t>
  </si>
  <si>
    <t>https://www.williamsfinancial.co.uk/</t>
  </si>
  <si>
    <t>Amethyst Independent Financial Advisers LLP</t>
  </si>
  <si>
    <t>https://www.amethyst-ifa.com/</t>
  </si>
  <si>
    <t>80 Twenty Consultancy Limited</t>
  </si>
  <si>
    <t>BJFM Limited</t>
  </si>
  <si>
    <t>https://www.bjfmltd.co.uk/</t>
  </si>
  <si>
    <t>LIFT-Advice Ltd</t>
  </si>
  <si>
    <t>Coldrey &amp; Bryant Consultants Limited</t>
  </si>
  <si>
    <t>https://www.coldreywm.co.uk/</t>
  </si>
  <si>
    <t>Leo Alexander Wealth &amp; Financial Management Limited</t>
  </si>
  <si>
    <t>www.lawfm.co.uk</t>
  </si>
  <si>
    <t>Consulo Financial Planning Limited</t>
  </si>
  <si>
    <t>https://www.consulofp.co.uk/</t>
  </si>
  <si>
    <t>Waverley Court Consulting Ltd</t>
  </si>
  <si>
    <t>www.waverleycc.co.uk</t>
  </si>
  <si>
    <t>Macaulay Edwards Independent Financial Consultants Limited</t>
  </si>
  <si>
    <t>LTI Wealth Management Ltd</t>
  </si>
  <si>
    <t>Activus Wealth Limited</t>
  </si>
  <si>
    <t>https://www.activuswealth.co.uk/</t>
  </si>
  <si>
    <t>Argentis Financial Planning Ltd</t>
  </si>
  <si>
    <t>Aegis Financial Planning Limited</t>
  </si>
  <si>
    <t>https://www.aegisfp.com</t>
  </si>
  <si>
    <t>PLFM Limited</t>
  </si>
  <si>
    <t>www.plfm.co.uk</t>
  </si>
  <si>
    <t>Edward Paul Financial Planning Ltd</t>
  </si>
  <si>
    <t>https://www.edwardpaul.co.uk/</t>
  </si>
  <si>
    <t>Castlebay Investment Partners LLP</t>
  </si>
  <si>
    <t>https://www.castlebayinvestments.com/</t>
  </si>
  <si>
    <t>Sirrus Financial Planning Ltd</t>
  </si>
  <si>
    <t>https://www.sirrusfp.com/</t>
  </si>
  <si>
    <t>Echo Financial Planning LLP</t>
  </si>
  <si>
    <t>WPS ADVISORY Ltd</t>
  </si>
  <si>
    <t>www.wpsadvisory.com</t>
  </si>
  <si>
    <t>Concept Financial Solutions Limited</t>
  </si>
  <si>
    <t>www.mishcon.com</t>
  </si>
  <si>
    <t>Cherwell Financial Services Limited</t>
  </si>
  <si>
    <t>https://www.cherwellfs.com/</t>
  </si>
  <si>
    <t>PBS Financial Solutions Ltd</t>
  </si>
  <si>
    <t>https://www.pbsfinancial.co.uk/</t>
  </si>
  <si>
    <t>LUXE CAPITAL FINANCIAL SERVICES LIMITED</t>
  </si>
  <si>
    <t>Luxecapital.co.uk</t>
  </si>
  <si>
    <t>Kusal Ariyawansa</t>
  </si>
  <si>
    <t>Radcliffe Cooper Limited</t>
  </si>
  <si>
    <t>https://www.radcliffecooper.co.uk/</t>
  </si>
  <si>
    <t>John Paul Fahy</t>
  </si>
  <si>
    <t>https://www.chobhamwm.com/</t>
  </si>
  <si>
    <t>Molyneux Associates Ltd</t>
  </si>
  <si>
    <t>www.molyneux-associates.co.uk</t>
  </si>
  <si>
    <t>Complete Advice Services Limited</t>
  </si>
  <si>
    <t>www.ngenfp.com</t>
  </si>
  <si>
    <t>Martin Ratcliffe</t>
  </si>
  <si>
    <t>https://www.mrifs.com/</t>
  </si>
  <si>
    <t>Greenhill Wealth Management Limited</t>
  </si>
  <si>
    <t>First Call Financial Advice Limited</t>
  </si>
  <si>
    <t>https://www.firstcallfinancialadvice.co.uk/</t>
  </si>
  <si>
    <t>Principle Wealth Management Ltd</t>
  </si>
  <si>
    <t>www.p-wm.co.uk</t>
  </si>
  <si>
    <t>Furnley House Limited</t>
  </si>
  <si>
    <t>www.furnleyhouse.co.uk</t>
  </si>
  <si>
    <t>Advised Financial Limited</t>
  </si>
  <si>
    <t>https://www.moneywaysuk.com/</t>
  </si>
  <si>
    <t>Catherine Adams Financial Planning Limited</t>
  </si>
  <si>
    <t>IAM Financial Services Ltd</t>
  </si>
  <si>
    <t>https://www.iamfinancial.co.uk/</t>
  </si>
  <si>
    <t>Alban Wealth LLP</t>
  </si>
  <si>
    <t>HRS Asset Management Ltd</t>
  </si>
  <si>
    <t>www.hrs-am.co.uk</t>
  </si>
  <si>
    <t xml:space="preserve">Full fees details not included only ongoing was indicated which is insufficient </t>
  </si>
  <si>
    <t>https://www.hrs-am.co.uk/fees-and-charges</t>
  </si>
  <si>
    <t>https://find-and-update.company-information.service.gov.uk/company/04759951/filing-history</t>
  </si>
  <si>
    <t>Simon Neal</t>
  </si>
  <si>
    <t>https://www.cornerstoneifa.co.uk/</t>
  </si>
  <si>
    <t>J S Jones IFA Limited</t>
  </si>
  <si>
    <t>Derbyshire Independent Financial Advisers LLP</t>
  </si>
  <si>
    <t>www.derbyshireifa.co.uk</t>
  </si>
  <si>
    <t>Nick Hanson Associates Limited</t>
  </si>
  <si>
    <t>Heritage Independent Financial Consultancy Ltd</t>
  </si>
  <si>
    <t>https://www.heritage-ifc.com/</t>
  </si>
  <si>
    <t>Right Advice Limited</t>
  </si>
  <si>
    <t>www.rightadvice.co.uk</t>
  </si>
  <si>
    <t>Foxgrove Associates Ltd</t>
  </si>
  <si>
    <t>https://www.foxgroveassociates.co.uk/</t>
  </si>
  <si>
    <t>PLAN SMART FINANCIAL PLANNING LIMITED.</t>
  </si>
  <si>
    <t>Blithe House Financial Management Ltd</t>
  </si>
  <si>
    <t>https://www.blithehouse.co.uk/</t>
  </si>
  <si>
    <t>Wallace Financial Services</t>
  </si>
  <si>
    <t>JM Independent Financial Advisers Ltd</t>
  </si>
  <si>
    <t>www.jmifa.co.uk</t>
  </si>
  <si>
    <t>Michael Denman</t>
  </si>
  <si>
    <t>Med-Ex Financial Advisory Services Limited</t>
  </si>
  <si>
    <t>https://www.med-ex.co.uk/</t>
  </si>
  <si>
    <t>Med-Ex | FEES</t>
  </si>
  <si>
    <t>MED-EX FINANCIAL ADVISORY SERVICES LIMITED filing history - Find and update company information - GOV.UK</t>
  </si>
  <si>
    <t>Whitewell Financial Planning Limited</t>
  </si>
  <si>
    <t>https://www.whitewellfinancialplanning.co.uk/</t>
  </si>
  <si>
    <t>Medical + Dental Financial Planning Services Ltd.</t>
  </si>
  <si>
    <t>https://www.medicaldentalfps.co.uk/</t>
  </si>
  <si>
    <t>Teesside Financial Management Ltd</t>
  </si>
  <si>
    <t>https://www.teessidefinancial.com/</t>
  </si>
  <si>
    <t>Castlebank Financial Planning Limited</t>
  </si>
  <si>
    <t>https://www.castle-bank.co.uk/</t>
  </si>
  <si>
    <t>Bradley Financial Services Limited</t>
  </si>
  <si>
    <t>Eason Rose Limited</t>
  </si>
  <si>
    <t>https://easonrose.co.uk/</t>
  </si>
  <si>
    <t>Cambridge Independent Financial Planning</t>
  </si>
  <si>
    <t>https://www.cambridgeifa.com/</t>
  </si>
  <si>
    <t>Harbour Financial LLP</t>
  </si>
  <si>
    <t>https://www.harbourfinancial.co.uk/</t>
  </si>
  <si>
    <t>Penney, Ruddy &amp; Winter Ltd</t>
  </si>
  <si>
    <t>www.penneyruddywinter.co.uk</t>
  </si>
  <si>
    <t>Nugenis Financial Planning Limited</t>
  </si>
  <si>
    <t>www.nugenisfp.co.uk</t>
  </si>
  <si>
    <t>November Financial Services Limited</t>
  </si>
  <si>
    <t>Bowmore Asset Management Limited</t>
  </si>
  <si>
    <t>bowmoream.com</t>
  </si>
  <si>
    <t>North Star Financial Consultants Ltd</t>
  </si>
  <si>
    <t>https://www.nsifa.co.uk/</t>
  </si>
  <si>
    <t>Blueberry Wealth Limited</t>
  </si>
  <si>
    <t>https://www.blueberrymortgages.co.uk/</t>
  </si>
  <si>
    <t>Carlile Financial Services Ltd</t>
  </si>
  <si>
    <t>www.carlilefs.com</t>
  </si>
  <si>
    <t>Logic Financial Services Ltd</t>
  </si>
  <si>
    <t>https://www.logicfinancialservices.co.uk/</t>
  </si>
  <si>
    <t>HWWA Consulting Limited</t>
  </si>
  <si>
    <t>https://www.hwwaconsulting.co.uk/</t>
  </si>
  <si>
    <t>Seven Stars Asset Management Limited</t>
  </si>
  <si>
    <t>George Travis Ltd</t>
  </si>
  <si>
    <t>www.georgetravis.co.uk</t>
  </si>
  <si>
    <t>Whitman Fry Wealth Management Limited</t>
  </si>
  <si>
    <t>https://www.whitmanfry.co.uk/</t>
  </si>
  <si>
    <t>Black Financial Services Limited</t>
  </si>
  <si>
    <t>https://www.blackfs.co.uk/</t>
  </si>
  <si>
    <t>West Park Investment Partnership Limited</t>
  </si>
  <si>
    <t>www.wpip.co.uk</t>
  </si>
  <si>
    <t>Athena Wealth Planning Limited</t>
  </si>
  <si>
    <t>https://www.athenawealthplanning.co.uk/</t>
  </si>
  <si>
    <t>Andrew Haxton &amp; Co Ltd</t>
  </si>
  <si>
    <t>Face To Face Financial Solutions Limited</t>
  </si>
  <si>
    <t>Habib Bank Zurich Plc</t>
  </si>
  <si>
    <t>Frank Investments Limited</t>
  </si>
  <si>
    <t>www.frankinvestments.co.uk</t>
  </si>
  <si>
    <t>Sterling Asset Management Limited</t>
  </si>
  <si>
    <t>https://www.sterling-a-m.com/</t>
  </si>
  <si>
    <t>The Pentagon Partnership</t>
  </si>
  <si>
    <t>https://www.pentagonpartnership.co.uk/</t>
  </si>
  <si>
    <t>JT Financial Management Limited</t>
  </si>
  <si>
    <t>Mackenzie Taylor Asset Management Limited</t>
  </si>
  <si>
    <t>https://www.mtassetmanagement.co.uk/</t>
  </si>
  <si>
    <t>Financial Goal Attainment Limited</t>
  </si>
  <si>
    <t>Ecclesall Wealth Management Ltd</t>
  </si>
  <si>
    <t>Rainford Financial Services Ltd</t>
  </si>
  <si>
    <t>https://www.rigbyfinancial.co.uk/</t>
  </si>
  <si>
    <t>C&amp;M (Life &amp; Pensions) Ltd</t>
  </si>
  <si>
    <t>PF Financial Ltd</t>
  </si>
  <si>
    <t>https://www.grandestevensint.co.uk/</t>
  </si>
  <si>
    <t>Trent River Capital Limited</t>
  </si>
  <si>
    <t>https://www.trentriver.co.uk/</t>
  </si>
  <si>
    <t>Andrew Dawborn</t>
  </si>
  <si>
    <t>https://www.wise-invest.co.uk/</t>
  </si>
  <si>
    <t>Sequoia Circle LLP</t>
  </si>
  <si>
    <t>https://www.sequoiacircle.com/</t>
  </si>
  <si>
    <t>Lloyds Independent Financial Services</t>
  </si>
  <si>
    <t>Maxima Financial Management Ltd</t>
  </si>
  <si>
    <t>Minerva Wealthcare Consultancy Limited</t>
  </si>
  <si>
    <t>www.minervawealthcare.co.uk</t>
  </si>
  <si>
    <t>Bunker Riley Ltd</t>
  </si>
  <si>
    <t>www.bunker - riley.com</t>
  </si>
  <si>
    <t>Woodwards Financial Planning Limited</t>
  </si>
  <si>
    <t>Vita Wealth Management Ltd</t>
  </si>
  <si>
    <t>Mayne Solutions Limited</t>
  </si>
  <si>
    <t>https://www.premfp.com/</t>
  </si>
  <si>
    <t>Sentry Financial Ltd</t>
  </si>
  <si>
    <t>https://www.sentryfinancial.co.uk/</t>
  </si>
  <si>
    <t>Austyn Smith Associates Limited</t>
  </si>
  <si>
    <t>https://www.austynsmith.com/</t>
  </si>
  <si>
    <t>Tailored Retirement &amp; Investment Planning Limited</t>
  </si>
  <si>
    <t>www.tripifa.co.uk</t>
  </si>
  <si>
    <t>Professional Money Management Ltd</t>
  </si>
  <si>
    <t>https://www.personalmm.co.uk/</t>
  </si>
  <si>
    <t>Platboom Ltd</t>
  </si>
  <si>
    <t>Roger Hindle Financial Services Limited</t>
  </si>
  <si>
    <t>Horizon Wealth Management Limited</t>
  </si>
  <si>
    <t>https://www.horizonwealth.co.uk/</t>
  </si>
  <si>
    <t>Verum Wealth Ltd</t>
  </si>
  <si>
    <t>Maymont Wealth Limited</t>
  </si>
  <si>
    <t>www.MaymontWealth.com</t>
  </si>
  <si>
    <t>St. Mary's Private Wealth Limited</t>
  </si>
  <si>
    <t>www.spwinvestment.com</t>
  </si>
  <si>
    <t>The Manor Partners Limited</t>
  </si>
  <si>
    <t>Abacus Financial Options Limited</t>
  </si>
  <si>
    <t>https://www.abacusfinancialoptions.co.uk/</t>
  </si>
  <si>
    <t>Max 1% ongoing charge</t>
  </si>
  <si>
    <t>Microsoft Word - DI - Agreements (Oct 2024).doc</t>
  </si>
  <si>
    <t>ABACUS FINANCIAL OPTIONS LIMITED filing history - Find and update company information - GOV.UK</t>
  </si>
  <si>
    <t>Crawford Financial Consulting Limited</t>
  </si>
  <si>
    <t>Nancherro Limited</t>
  </si>
  <si>
    <t>https://www.sg-fs.com/</t>
  </si>
  <si>
    <t>Patricia Anne Wray</t>
  </si>
  <si>
    <t>https://www.annewray.co.uk/</t>
  </si>
  <si>
    <t>Modern Money Financial Services Limited</t>
  </si>
  <si>
    <t>www.modernmoney.co.uk</t>
  </si>
  <si>
    <t>Modern_Money_Client_Service_Agreement.pdf</t>
  </si>
  <si>
    <t>MODERN MONEY FINANCIAL SERVICES LIMITED filing history - Find and update company information - GOV.UK</t>
  </si>
  <si>
    <t>Netwealth Investments Limited</t>
  </si>
  <si>
    <t>www.netwealth.com</t>
  </si>
  <si>
    <t xml:space="preserve">Fee all wrapped into one </t>
  </si>
  <si>
    <t>Netwealth Fees - Simple, Transparent, and low-cost</t>
  </si>
  <si>
    <t>NETWEALTH INVESTMENTS LIMITED filing history - Find and update company information - GOV.UK</t>
  </si>
  <si>
    <t xml:space="preserve">Fee bundled </t>
  </si>
  <si>
    <t>Heritage Financial Services (IW) Limited</t>
  </si>
  <si>
    <t>www.heritage-financial.co.uk</t>
  </si>
  <si>
    <t>Mark Dean Wealth Management (UK) Limited</t>
  </si>
  <si>
    <t>https://www.markdeanwealth.com/</t>
  </si>
  <si>
    <t>Green Sky Wealth Limited</t>
  </si>
  <si>
    <t>www.greenskywealth.co.uk</t>
  </si>
  <si>
    <t>NOVA Wealth Ltd</t>
  </si>
  <si>
    <t>novawm.com</t>
  </si>
  <si>
    <t>Automated all in fees, no other advice fee</t>
  </si>
  <si>
    <t>NOVA | Expert financial advice at your fingertips</t>
  </si>
  <si>
    <t>NOVA WEALTH LTD filing history - Find and update company information - GOV.UK</t>
  </si>
  <si>
    <t>Automated service all in fee</t>
  </si>
  <si>
    <t>MC Wealth Management (UK) Limited</t>
  </si>
  <si>
    <t>https://www.mitchellcharlesworth.co.uk/services/wealth-management/</t>
  </si>
  <si>
    <t>Academy Associates Wealth Management Ltd</t>
  </si>
  <si>
    <t>JM Financial Planning Ltd</t>
  </si>
  <si>
    <t>Harvest Associates Ltd</t>
  </si>
  <si>
    <t>www.harvestassociates.co.uk</t>
  </si>
  <si>
    <t>Duke Godley Financial Planning Limited</t>
  </si>
  <si>
    <t>https://www.dukegodley.co.uk/</t>
  </si>
  <si>
    <t>Gavin Carr Financial Services Limited</t>
  </si>
  <si>
    <t>https://www.gcifs.co.uk/</t>
  </si>
  <si>
    <t>Alexander Douglas Limited</t>
  </si>
  <si>
    <t>www.alexanderdouglasltd.co.uk</t>
  </si>
  <si>
    <t>Quays Wealth Services Limited</t>
  </si>
  <si>
    <t>https://www.quaysgroup.com/</t>
  </si>
  <si>
    <t>Wealthcare Management Limited</t>
  </si>
  <si>
    <t>https://www.wealthcareifa.uk/</t>
  </si>
  <si>
    <t>Fortuna Financial Planning Limited</t>
  </si>
  <si>
    <t>www.fortunagroup.co.uk</t>
  </si>
  <si>
    <t>Aptus Wealth Limited</t>
  </si>
  <si>
    <t>https://www.aptuswealth.co.uk/</t>
  </si>
  <si>
    <t>RMI Finance Ltd</t>
  </si>
  <si>
    <t>www.rmifinance.co.uk</t>
  </si>
  <si>
    <t>Devereaux Montague LLP</t>
  </si>
  <si>
    <t>https://www.dmontague.co.uk/</t>
  </si>
  <si>
    <t>Chris Lunt IFA Limited</t>
  </si>
  <si>
    <t>www.chrisluntifa.co.uk</t>
  </si>
  <si>
    <t>HFL Advisory Services Ltd</t>
  </si>
  <si>
    <t>https://www.hflfinancial.com/</t>
  </si>
  <si>
    <t>John Phillips Financial Planning LLP</t>
  </si>
  <si>
    <t>Blackstone Financial Management Limited</t>
  </si>
  <si>
    <t>Ian King Financial Planning Ltd</t>
  </si>
  <si>
    <t>https://www.iankingfp.co.uk/</t>
  </si>
  <si>
    <t>Harron Financial Limited</t>
  </si>
  <si>
    <t>www.harronfinancial.co.uk</t>
  </si>
  <si>
    <t>Prism EBC Limited</t>
  </si>
  <si>
    <t>Candid Financial Advice Limited</t>
  </si>
  <si>
    <t>https://www.candidfinancialadvice.com/</t>
  </si>
  <si>
    <t>Achieve Wealth Management (Wiltshire) Ltd</t>
  </si>
  <si>
    <t>https://www.awmw.co.uk/</t>
  </si>
  <si>
    <t>Studio 61 Wealth Management Limited</t>
  </si>
  <si>
    <t>https://www.studio61wealthmanagement.co.uk/</t>
  </si>
  <si>
    <t>Focused Financial Limited</t>
  </si>
  <si>
    <t>https://www.focusedfinancial.co.uk/</t>
  </si>
  <si>
    <t>King &amp; Co Financial Services Limited</t>
  </si>
  <si>
    <t>www.kingfinancial.co.uk</t>
  </si>
  <si>
    <t>Phil Anderson Financial Services Ltd</t>
  </si>
  <si>
    <t>https://www.philandersonfinancial.co.uk/</t>
  </si>
  <si>
    <t>J.R. Edwards Financial Limited</t>
  </si>
  <si>
    <t>S Johnson Wealth Management LLP</t>
  </si>
  <si>
    <t>www.riskandreturn.co.uk</t>
  </si>
  <si>
    <t>Robert John McFarlane</t>
  </si>
  <si>
    <t>https://www.vanguardlawsolicitors.co.uk/</t>
  </si>
  <si>
    <t>RiverPeak Wealth Limited</t>
  </si>
  <si>
    <t>https://www.riverpeakwealth.com/</t>
  </si>
  <si>
    <t>Mike Oliver Associates</t>
  </si>
  <si>
    <t>https://www.moaifa.co.uk/</t>
  </si>
  <si>
    <t>Lee Financial Planning Limited</t>
  </si>
  <si>
    <t>Brett Andrews</t>
  </si>
  <si>
    <t>https://www.bafinancialservices.co.uk/</t>
  </si>
  <si>
    <t>Patricia Mary Richmond</t>
  </si>
  <si>
    <t>Hemisphere Financial Limited</t>
  </si>
  <si>
    <t>https://www.hemispherefinancial.co.uk/</t>
  </si>
  <si>
    <t>AB Vision Financial Ltd</t>
  </si>
  <si>
    <t>https://www.abvision.co.uk/</t>
  </si>
  <si>
    <t>Sherwin Financial Services Ltd</t>
  </si>
  <si>
    <t>Accredo Financial Services Limited</t>
  </si>
  <si>
    <t>https://www.accredofinancialservices.com/</t>
  </si>
  <si>
    <t>KFP Investment Solutions Limited</t>
  </si>
  <si>
    <t>https://www.kfponline.co.uk/</t>
  </si>
  <si>
    <t>Capital Wealth Partners Limited</t>
  </si>
  <si>
    <t>www.capitalwealthpartners.co.uk</t>
  </si>
  <si>
    <t>Quro Financial Solutions Ltd</t>
  </si>
  <si>
    <t>https://www.qurofs.uk/</t>
  </si>
  <si>
    <t>Glenrose Investment Ltd</t>
  </si>
  <si>
    <t>www.glenroseifa.co.uk</t>
  </si>
  <si>
    <t>A1 Financial Solutions Ltd</t>
  </si>
  <si>
    <t>www.a 1 -financial.com</t>
  </si>
  <si>
    <t>Otus Financial Limited</t>
  </si>
  <si>
    <t>otusfp.com</t>
  </si>
  <si>
    <t>Otus Financial Planning | Cheshire &amp; Greater Manchester | Our fees</t>
  </si>
  <si>
    <t>https://find-and-update.company-information.service.gov.uk/company/07540565/filing-history</t>
  </si>
  <si>
    <t>Haywood &amp; Co Financial Planning Limited</t>
  </si>
  <si>
    <t>https://www.haywoodfp.co.uk/</t>
  </si>
  <si>
    <t>G10 Capital Limited</t>
  </si>
  <si>
    <t>https://iqeq.com/legal - disclosures - g 10 /</t>
  </si>
  <si>
    <t>TFG (Eastern) Limited</t>
  </si>
  <si>
    <t>Abbey Lane Financial Associates Limited</t>
  </si>
  <si>
    <t>Financial Private Clients Limited</t>
  </si>
  <si>
    <t>https://www.financialprivateclients.ltd.uk/</t>
  </si>
  <si>
    <t>AutonomyFP Limited</t>
  </si>
  <si>
    <t>https://www.autonomyfp.co.uk/</t>
  </si>
  <si>
    <t>JWC Financial Solutions Ltd</t>
  </si>
  <si>
    <t>https://www.jwcfinancialsolutions.co.uk/</t>
  </si>
  <si>
    <t>Archers Financial Services Limited</t>
  </si>
  <si>
    <t>https://www.archersonline.co.uk/</t>
  </si>
  <si>
    <t>Niche Capital Limited</t>
  </si>
  <si>
    <t>www.niche - capital.com</t>
  </si>
  <si>
    <t>HP Financial Services Limited</t>
  </si>
  <si>
    <t>https://www.hpfsuk.com/</t>
  </si>
  <si>
    <t>Crowdcube Capital Limited</t>
  </si>
  <si>
    <t>www.crowdcube.com</t>
  </si>
  <si>
    <t>Parlett Financial Limited</t>
  </si>
  <si>
    <t>https://www.parlettfinancial.co.uk/</t>
  </si>
  <si>
    <t>Gordon MacLeod</t>
  </si>
  <si>
    <t>Private Office Asset Management Limited</t>
  </si>
  <si>
    <t>https://www.private-office.co.uk/</t>
  </si>
  <si>
    <t>SJ Financial Advice Ltd</t>
  </si>
  <si>
    <t>https://www.sjfinancialadvice.co.uk/</t>
  </si>
  <si>
    <t>Terry Lindsay &amp; Co Ltd</t>
  </si>
  <si>
    <t>Holroyd &amp; Co Wealth Management Limited</t>
  </si>
  <si>
    <t>Woodcote Financial Ltd</t>
  </si>
  <si>
    <t>Pilling &amp; Co Stockbrokers Ltd</t>
  </si>
  <si>
    <t>https://www.pilling.co.uk/</t>
  </si>
  <si>
    <t>BBi Financial Planning Ltd</t>
  </si>
  <si>
    <t>www.bbifp.com</t>
  </si>
  <si>
    <t>Glasgow Wealth Limited</t>
  </si>
  <si>
    <t>EP Wealth Management Limited</t>
  </si>
  <si>
    <t>https://www.epwealthmanagement.com/</t>
  </si>
  <si>
    <t>Asset Risk Consultants (UK) Limited</t>
  </si>
  <si>
    <t>www.assetrisk.com</t>
  </si>
  <si>
    <t>Independent Financial Advice Bureau (Watford) LLP</t>
  </si>
  <si>
    <t>https://www.ifabonline.net/</t>
  </si>
  <si>
    <t>Momentum Investing Ltd</t>
  </si>
  <si>
    <t>www.momentum-investing.co.uk</t>
  </si>
  <si>
    <t>Alpha Independent Financial Solutions Limited</t>
  </si>
  <si>
    <t>www.alphaifs.co.uk</t>
  </si>
  <si>
    <t>Killimore Financial Management Limited</t>
  </si>
  <si>
    <t>www.killimore.co.uk</t>
  </si>
  <si>
    <t>Patronus Partners Limited</t>
  </si>
  <si>
    <t>www.patronuspartners.com</t>
  </si>
  <si>
    <t>Financial Advice Made Easy Limited</t>
  </si>
  <si>
    <t>www.fameltd.uk</t>
  </si>
  <si>
    <t>Birkett Long IFA LLP</t>
  </si>
  <si>
    <t>https://www.birkettlongifa.co.uk/</t>
  </si>
  <si>
    <t>Hood Financial Planning Limited</t>
  </si>
  <si>
    <t>https://www.hoodfinancialplanning.com/</t>
  </si>
  <si>
    <t>South Herts Financial Services Limited</t>
  </si>
  <si>
    <t>https://www.shfs.co.uk/</t>
  </si>
  <si>
    <t>Granville James (Financial Planning) Ltd</t>
  </si>
  <si>
    <t>Elmham Financial Limited</t>
  </si>
  <si>
    <t>https://www.elmhamfinancial.co.uk/</t>
  </si>
  <si>
    <t>Vobis Limited</t>
  </si>
  <si>
    <t>www.vobiset.com</t>
  </si>
  <si>
    <t>ELG Asset Management Limited</t>
  </si>
  <si>
    <t>https://www.elgassetmanagement.com/</t>
  </si>
  <si>
    <t>121 FS Ltd</t>
  </si>
  <si>
    <t>https://www.121fs.com/</t>
  </si>
  <si>
    <t>Bennett Allen Financial Planning Ltd</t>
  </si>
  <si>
    <t>Walter &amp; Partners Ltd</t>
  </si>
  <si>
    <t>www.walter - partners.co.uk</t>
  </si>
  <si>
    <t>Redwood Employee Benefit Services Ltd</t>
  </si>
  <si>
    <t>https://www.redwood-ebs.co.uk/</t>
  </si>
  <si>
    <t>Later Life Asset Management Limited</t>
  </si>
  <si>
    <t>https://www.laterlifeasset.co.uk/</t>
  </si>
  <si>
    <t>IC Financial Planning Limited</t>
  </si>
  <si>
    <t>https://www.icfinancialplanning.co.uk/</t>
  </si>
  <si>
    <t>Andrew Elsden</t>
  </si>
  <si>
    <t>Wardour Partners Asset Management LLP</t>
  </si>
  <si>
    <t>www.wardourpartners.co.uk</t>
  </si>
  <si>
    <t>Elementary Financial Planning Ltd</t>
  </si>
  <si>
    <t>Jones Financial (Norwich) Limited</t>
  </si>
  <si>
    <t>www.jonesfinancial.co.uk</t>
  </si>
  <si>
    <t>CALFA Ltd</t>
  </si>
  <si>
    <t>https://www.trusthouze.co.uk/</t>
  </si>
  <si>
    <t>Medical and General Independent Financial Advisers Ltd</t>
  </si>
  <si>
    <t>https://www.medicalandgeneral.co.uk/</t>
  </si>
  <si>
    <t>OAKWOOD FINANCIAL SERVICES LTD</t>
  </si>
  <si>
    <t>https://www.oakwood-fs.co.uk/</t>
  </si>
  <si>
    <t>Odd Asset Management Ltd</t>
  </si>
  <si>
    <t>www.tyndallim.co.uk</t>
  </si>
  <si>
    <t>Argyll Financial Services Limited</t>
  </si>
  <si>
    <t>https://www.argyllfinancial.co.uk/</t>
  </si>
  <si>
    <t>Brierie Financial Planning Ltd</t>
  </si>
  <si>
    <t>Meadons Financial Management Ltd</t>
  </si>
  <si>
    <t>Integrity Asset Management Limited</t>
  </si>
  <si>
    <t>https://www.integrityasset.uk/</t>
  </si>
  <si>
    <t>Midlands Investment Agency Limited</t>
  </si>
  <si>
    <t>www.miafinancialadvice.co.uk</t>
  </si>
  <si>
    <t>Nicholls Stevens (Financial Services) Limited</t>
  </si>
  <si>
    <t>www.nichollstevens.com</t>
  </si>
  <si>
    <t>WREN STERLING FINANCIAL PLANNING LIMITED</t>
  </si>
  <si>
    <t>www.wrensterling.com</t>
  </si>
  <si>
    <t>Rhoss Dancey</t>
  </si>
  <si>
    <t>Elysium Wealth Ltd</t>
  </si>
  <si>
    <t>https://www.elysiumwealth.co.uk/</t>
  </si>
  <si>
    <t>Osprey Wealth Management Limited</t>
  </si>
  <si>
    <t>https://www.ospreywealth.co.uk/</t>
  </si>
  <si>
    <t>Our Approach - Osprey Wealth</t>
  </si>
  <si>
    <t>OSPREY WEALTH MANAGEMENT LIMITED filing history - Find and update company information - GOV.UK</t>
  </si>
  <si>
    <t>Littlewell Financial Management Limited</t>
  </si>
  <si>
    <t>Littlewell.co.uk</t>
  </si>
  <si>
    <t>Reynolds Wealth Management Ltd</t>
  </si>
  <si>
    <t>https://www.reynoldswealth.co.uk/</t>
  </si>
  <si>
    <t>ParnabyEvans Financial Advisers Ltd</t>
  </si>
  <si>
    <t>https://broadwaysolicitors.com/</t>
  </si>
  <si>
    <t>Falls under Broadwaysolicitors</t>
  </si>
  <si>
    <t>IMS Wealth Ltd</t>
  </si>
  <si>
    <t>https://www.imswealth.co.uk/</t>
  </si>
  <si>
    <t>P &amp; P Invest Ltd</t>
  </si>
  <si>
    <t>https://www.pandpinvest.com/</t>
  </si>
  <si>
    <t>Aspirations Financial Advice Ltd</t>
  </si>
  <si>
    <t>www.aspirationsfp.co.uk</t>
  </si>
  <si>
    <t>PK Wealth Limited</t>
  </si>
  <si>
    <t>Gibbons Associates Ltd</t>
  </si>
  <si>
    <t>https://www.gibbonsassociates.co.uk/</t>
  </si>
  <si>
    <t>John Rolfe Financial Services Limited</t>
  </si>
  <si>
    <t>https://www.jrfsl.co.uk/</t>
  </si>
  <si>
    <t>The Pension Planner Ltd</t>
  </si>
  <si>
    <t>www.thepensionplanner.co.uk</t>
  </si>
  <si>
    <t>Intelligent Financial Advisory Ltd</t>
  </si>
  <si>
    <t>https://www.i-fa.org.uk/</t>
  </si>
  <si>
    <t>RSB Financial Ltd</t>
  </si>
  <si>
    <t>Goldstone Wealth Management Ltd</t>
  </si>
  <si>
    <t>https://www.goldstonewealth.co.uk/</t>
  </si>
  <si>
    <t>Ark Investment Management Ltd</t>
  </si>
  <si>
    <t>www.arkim.co.uk</t>
  </si>
  <si>
    <t>TIML Ltd</t>
  </si>
  <si>
    <t>https://www.tacitim.com/</t>
  </si>
  <si>
    <t>Singular Financial Planning Limited</t>
  </si>
  <si>
    <t>Company aim is keep their cost below industry average of 2%. Hence 2% selected for the firm</t>
  </si>
  <si>
    <t>Our Approach | BRI Wealth Management</t>
  </si>
  <si>
    <t>SINGULAR FINANCIAL PLANNING LTD filing history - Find and update company information - GOV.UK</t>
  </si>
  <si>
    <t>Churchill Wealth Management Ltd</t>
  </si>
  <si>
    <t>www.churchillwealthmanagement.co.uk</t>
  </si>
  <si>
    <t>Vintage Corporate Limited</t>
  </si>
  <si>
    <t>https://www.vintagecorporate.co.uk/</t>
  </si>
  <si>
    <t>Age Partnership Wealth Management Limited</t>
  </si>
  <si>
    <t>www.agepartnership.co.uk</t>
  </si>
  <si>
    <t>Long-Term Capital Partners Limited</t>
  </si>
  <si>
    <t>www.lc - partners.co.uk</t>
  </si>
  <si>
    <t>Integrity Financial Planning Limited</t>
  </si>
  <si>
    <t>https://www.integrityfp.co.uk/</t>
  </si>
  <si>
    <t>Kennet Financial Services LLP</t>
  </si>
  <si>
    <t>https://www.kennetfinancialservices.co.uk/</t>
  </si>
  <si>
    <t>Robert Angell Financial Services Limited</t>
  </si>
  <si>
    <t>https://www.angellfs.co.uk/</t>
  </si>
  <si>
    <t>Lumon Risk Management Ltd</t>
  </si>
  <si>
    <t>www.lumonpay.com</t>
  </si>
  <si>
    <t>Advantage Wealth Management Ltd</t>
  </si>
  <si>
    <t>https://www.advantagewealthmanagement.co.uk/</t>
  </si>
  <si>
    <t>Hardcastle Burton Financial Limited</t>
  </si>
  <si>
    <t>JLW Financial Solutions Ltd</t>
  </si>
  <si>
    <t>www.jlwifa.co.uk</t>
  </si>
  <si>
    <t>Plain Speaking Financial Planning Ltd</t>
  </si>
  <si>
    <t>https://www.plainspeakingifa.co.uk/</t>
  </si>
  <si>
    <t>James Sheldon Hall</t>
  </si>
  <si>
    <t>https://www.goldenyearsmortgages.co.uk/</t>
  </si>
  <si>
    <t>Carron Financial Services Limited</t>
  </si>
  <si>
    <t>https://www.carronfs.co.uk/</t>
  </si>
  <si>
    <t>Advice 4U Financial Planning Ltd</t>
  </si>
  <si>
    <t>https://www.rubyfinancial.co.uk/</t>
  </si>
  <si>
    <t>ABC Financial Planning Limited</t>
  </si>
  <si>
    <t>Rutland Independent Wealth Management LLP</t>
  </si>
  <si>
    <t>https://www.rutlandindependent.co.uk/</t>
  </si>
  <si>
    <t>Asquire Wealth Management Ltd</t>
  </si>
  <si>
    <t>www.asquirewealth.com</t>
  </si>
  <si>
    <t>Flying Colours Advice Limited</t>
  </si>
  <si>
    <t>https://www.fcadvice.co.uk/</t>
  </si>
  <si>
    <t>Spicer and Yarwood Limited</t>
  </si>
  <si>
    <t>Harvey Wickham</t>
  </si>
  <si>
    <t>https://www.meliorwealth.com/</t>
  </si>
  <si>
    <t>Platinum Financial Planning &amp; IFA Limited</t>
  </si>
  <si>
    <t>https://www.platinum-ifa.co.uk/</t>
  </si>
  <si>
    <t>LBFA Limited</t>
  </si>
  <si>
    <t>https://www.lbfa.co.uk/</t>
  </si>
  <si>
    <t>Wilcox Financial Planning Limited</t>
  </si>
  <si>
    <t>https://www.wilcoxfp.co.uk/</t>
  </si>
  <si>
    <t>One and All Financial Services Ltd</t>
  </si>
  <si>
    <t>https://www.oneandallfs.co.uk/</t>
  </si>
  <si>
    <t>Fisher Brown Financial Services Ltd</t>
  </si>
  <si>
    <t>https://www.fisherbrown.ifa-web.co.uk/</t>
  </si>
  <si>
    <t>James Brewster Financial Services Limited</t>
  </si>
  <si>
    <t>B Murray Accountants and Financial Planning Consultants Limited</t>
  </si>
  <si>
    <t>https://www.murrayfinancialplanning.co.uk/</t>
  </si>
  <si>
    <t>T &amp; M Financial Planning Limited</t>
  </si>
  <si>
    <t>https://www.tmfinancialplanningltd.co.uk/</t>
  </si>
  <si>
    <t>Seven Bridges IM Ltd</t>
  </si>
  <si>
    <t>https://www.sevenbridgesim.co.uk/</t>
  </si>
  <si>
    <t>Carlson Wealth Management Ltd</t>
  </si>
  <si>
    <t>www.carlsonwealthmanagement.co.uk</t>
  </si>
  <si>
    <t>F J Nixon &amp; Co Limited</t>
  </si>
  <si>
    <t>OPENMONEY ADVISER SERVICES LTD</t>
  </si>
  <si>
    <t>Oakwood Financial Services 2015 Ltd</t>
  </si>
  <si>
    <t>Warwick Wealth Management Ltd</t>
  </si>
  <si>
    <t>www.warwickwm.co.uk</t>
  </si>
  <si>
    <t>Artorius Wealth Management Limited</t>
  </si>
  <si>
    <t>Beechwood Financial Services Limited</t>
  </si>
  <si>
    <t>https://www.beechwoodfs.co.uk/</t>
  </si>
  <si>
    <t>Fernleigh Wearden &amp; Company Ltd</t>
  </si>
  <si>
    <t>www.fernleighwearden.co.uk</t>
  </si>
  <si>
    <t>Our Costs | fernleighwearden</t>
  </si>
  <si>
    <t>FERNLEIGH WEARDEN &amp; COMPANY LTD filing history - Find and update company information - GOV.UK</t>
  </si>
  <si>
    <t>Edward Wilson Financial Ltd</t>
  </si>
  <si>
    <t>www.edwardwilsonfs.co.uk</t>
  </si>
  <si>
    <t>Westcotts Financial Management Limited</t>
  </si>
  <si>
    <t>westcottscfp.uk</t>
  </si>
  <si>
    <t>Intelligence Wealth Management Ltd</t>
  </si>
  <si>
    <t>Mclay-James Limited</t>
  </si>
  <si>
    <t>https://www.mclayjames.co.uk/</t>
  </si>
  <si>
    <t>Our fees</t>
  </si>
  <si>
    <t>MCLAY-JAMES LIMITED filing history - Find and update company information - GOV.UK</t>
  </si>
  <si>
    <t>William Glass &amp; Company Ltd</t>
  </si>
  <si>
    <t>https://www.fryerglass.co.uk/</t>
  </si>
  <si>
    <t>Bryant O'Neill Wealth Management Limited</t>
  </si>
  <si>
    <t>www.bowm.co.uk</t>
  </si>
  <si>
    <t>Chris Binns Wealth Management Limited</t>
  </si>
  <si>
    <t>www.modelwealthmanagement.com</t>
  </si>
  <si>
    <t>Wychwood Financial Services Limited</t>
  </si>
  <si>
    <t>www.wychwoodfs.co.uk</t>
  </si>
  <si>
    <t>Martin Radford</t>
  </si>
  <si>
    <t>Mat White Financial Services Limited</t>
  </si>
  <si>
    <t>https://www.matwhitefs.co.uk/</t>
  </si>
  <si>
    <t>Ambler Blackburn Financial Planning Ltd</t>
  </si>
  <si>
    <t>RFC Financial Services Ltd</t>
  </si>
  <si>
    <t>Adrian Smith Wealth Management Limited</t>
  </si>
  <si>
    <t>https://www.aswealthmgt.co.uk/</t>
  </si>
  <si>
    <t>North East Financial Planning Ltd</t>
  </si>
  <si>
    <t>Jeremy Kaye Portfolio Management Limited</t>
  </si>
  <si>
    <t>Novus Wealth Management Limited</t>
  </si>
  <si>
    <t>https://www.novuswealth.co.uk/</t>
  </si>
  <si>
    <t>Clear Wealth Management Ltd</t>
  </si>
  <si>
    <t>https://www.clearwealthmanagement.co.uk/</t>
  </si>
  <si>
    <t>Barry Johnson Financial Services Limited</t>
  </si>
  <si>
    <t>www.johnsonfs.co.uk</t>
  </si>
  <si>
    <t>Wealthline Ltd</t>
  </si>
  <si>
    <t>Libertas Wealth Management Ltd</t>
  </si>
  <si>
    <t>https://www.libertaswm.co.uk/</t>
  </si>
  <si>
    <t>Alex James Independent Financial Advisers Limited</t>
  </si>
  <si>
    <t>https://www.alexjamesifa.com/</t>
  </si>
  <si>
    <t>Portland Square Independent Financial Advice Ltd</t>
  </si>
  <si>
    <t>https://www.portlandsquareifa.co.uk/</t>
  </si>
  <si>
    <t>Platinum Advice Limited</t>
  </si>
  <si>
    <t>www.platinum-advice.com</t>
  </si>
  <si>
    <t>Symvan Capital Limited</t>
  </si>
  <si>
    <t>www.symvancapital.com</t>
  </si>
  <si>
    <t>Generation Wealth Ltd</t>
  </si>
  <si>
    <t>https://www.generationwealth.co.uk/</t>
  </si>
  <si>
    <t>Davison Smith Financial Management Limited</t>
  </si>
  <si>
    <t>https://www.davisonsmith.com/</t>
  </si>
  <si>
    <t>Athena Financial Planning Limited</t>
  </si>
  <si>
    <t>https://www.athenafp.co.uk/</t>
  </si>
  <si>
    <t>Morris Shapland Financial Services Limited</t>
  </si>
  <si>
    <t>https://www.morris-shapland.co.uk/</t>
  </si>
  <si>
    <t>Future Directions Financial Services Limited</t>
  </si>
  <si>
    <t>https://www.futuredirections.co.uk/</t>
  </si>
  <si>
    <t>C Heslop Financial Services Ltd</t>
  </si>
  <si>
    <t>Mortgages Etc Ltd</t>
  </si>
  <si>
    <t>https://www.mortgages-etc.co.uk/</t>
  </si>
  <si>
    <t>MORTGAGES ETC LTD filing history - Find and update company information - GOV.UK</t>
  </si>
  <si>
    <t>KHEPRI ADVISERS LIMITED</t>
  </si>
  <si>
    <t>www.khepri.com</t>
  </si>
  <si>
    <t>Parker Kelly Financial Services Ltd</t>
  </si>
  <si>
    <t>www.parkerkelly.co.uk</t>
  </si>
  <si>
    <t>IIB Financial Services Ltd</t>
  </si>
  <si>
    <t>https://www.iibfs.co.uk/</t>
  </si>
  <si>
    <t>Bastion Financial Planning Limited</t>
  </si>
  <si>
    <t>https://www.bastionfinancialplanning.co.uk/</t>
  </si>
  <si>
    <t>Perspective (Midlands &amp; Cheshire) Limited</t>
  </si>
  <si>
    <t>Mather &amp; Murray Financial Ltd</t>
  </si>
  <si>
    <t>https://www.matherandmurray.co.uk/</t>
  </si>
  <si>
    <t>Plan4Life Limited</t>
  </si>
  <si>
    <t>Welby Associates Wealth Management Ltd</t>
  </si>
  <si>
    <t>https://www.welbyassociates.co.uk/</t>
  </si>
  <si>
    <t>DRR Financial Consultants Limited</t>
  </si>
  <si>
    <t>David Gunter</t>
  </si>
  <si>
    <t>DSN Financial Ltd</t>
  </si>
  <si>
    <t>https://www.dsnfinancial.com/</t>
  </si>
  <si>
    <t>Hankley Financial Planning Ltd</t>
  </si>
  <si>
    <t>https://www.hankleyfp.com/</t>
  </si>
  <si>
    <t>RFG Financial Management  Limited</t>
  </si>
  <si>
    <t>Invictus IFA Limited</t>
  </si>
  <si>
    <t>www.invictusifa.co.uk</t>
  </si>
  <si>
    <t>Wealth &amp; Prosperity Ltd</t>
  </si>
  <si>
    <t>Digney Grant Financial Planning Ltd</t>
  </si>
  <si>
    <t>https://www.digneygrantfp.com/</t>
  </si>
  <si>
    <t>IS Independent Financial Advisers Ltd</t>
  </si>
  <si>
    <t>https://www.isifa.co.uk/</t>
  </si>
  <si>
    <t>Callidus Wealth Management Ltd</t>
  </si>
  <si>
    <t>https://www.calliduswm.co.uk/</t>
  </si>
  <si>
    <t>Gateway Investment Services Limited</t>
  </si>
  <si>
    <t>www.gatewayinvest.co.uk</t>
  </si>
  <si>
    <t>Future Planning Wealth Management Ltd</t>
  </si>
  <si>
    <t>https://www.futureplanningwm.co.uk/</t>
  </si>
  <si>
    <t>Watt Financial Planning</t>
  </si>
  <si>
    <t>https://www.wattfinancialplanning.co.uk/</t>
  </si>
  <si>
    <t>x2 Wealth Management Ltd</t>
  </si>
  <si>
    <t>https://www.x2wm.co.uk/</t>
  </si>
  <si>
    <t>Douglas Steers &amp; Company Ltd</t>
  </si>
  <si>
    <t>www.douglassteers.co.uk</t>
  </si>
  <si>
    <t>Southam Financial Planning Ltd</t>
  </si>
  <si>
    <t>https://www.oliverwealth.co.uk/</t>
  </si>
  <si>
    <t>Beechwood Financial Management Ltd</t>
  </si>
  <si>
    <t>https://www.beechwoodfm.co.uk/</t>
  </si>
  <si>
    <t>Argentous Private Clients Limited</t>
  </si>
  <si>
    <t>www.argentouspc.co.uk</t>
  </si>
  <si>
    <t>HL Financial Services Limited</t>
  </si>
  <si>
    <t>F3 Wealth Management Limited</t>
  </si>
  <si>
    <t>https://www.f3wealth.com/</t>
  </si>
  <si>
    <t>Stuart Lacey and Associates Limited</t>
  </si>
  <si>
    <t>Panoramic Wealth Management Ltd</t>
  </si>
  <si>
    <t>https://www.panoramicwealth.co.uk/</t>
  </si>
  <si>
    <t>West Midlands Wealth Management Ltd</t>
  </si>
  <si>
    <t>https://www.wmwm.org.uk/</t>
  </si>
  <si>
    <t>Companion Financial Planning LLP</t>
  </si>
  <si>
    <t>www.companionfinancial.co.uk</t>
  </si>
  <si>
    <t>Providus Financial Ltd</t>
  </si>
  <si>
    <t>www.providusfinancial.co.uk</t>
  </si>
  <si>
    <t>Paul Andrew Tune</t>
  </si>
  <si>
    <t>https://www.paultunefinancialservices.co.uk/</t>
  </si>
  <si>
    <t>Ribble Wealth Management Limited</t>
  </si>
  <si>
    <t>https://www.ribblewealth.com/</t>
  </si>
  <si>
    <t>MCM Financial Limited</t>
  </si>
  <si>
    <t>https://www.mcm-financial.com/</t>
  </si>
  <si>
    <t>A Bianchi Financial Solutions Limited</t>
  </si>
  <si>
    <t>www.alexbfs. tppowered.com</t>
  </si>
  <si>
    <t>A.C.T. Financial Services Ltd</t>
  </si>
  <si>
    <t>Integrity Wealth Planning Ltd</t>
  </si>
  <si>
    <t>https://www.integritywp.co.uk/</t>
  </si>
  <si>
    <t>Bell Simpson Ltd</t>
  </si>
  <si>
    <t>https://www.bellsimpson.co.uk/</t>
  </si>
  <si>
    <t>AMAS Investments Limited</t>
  </si>
  <si>
    <t>https://www.amas.co.uk/</t>
  </si>
  <si>
    <t>Gavin Absolom Independent Financial Adviser Limited</t>
  </si>
  <si>
    <t>https://www.absolomdurrant.com/</t>
  </si>
  <si>
    <t>Brett Jones</t>
  </si>
  <si>
    <t>Clear Capital Markets Ltd</t>
  </si>
  <si>
    <t>http://www.clearcapitalmarkets.co.uk</t>
  </si>
  <si>
    <t>Southbank Investment Research Limited</t>
  </si>
  <si>
    <t>www.southbankresearch.com</t>
  </si>
  <si>
    <t>AISA FINANCIAL PLANNING LIMITED</t>
  </si>
  <si>
    <t>https://www.aisagroup.org/</t>
  </si>
  <si>
    <t>Our Fees - Aisa Financial Planning UK</t>
  </si>
  <si>
    <t>AISA FINANCIAL PLANNING LIMITED filing history - Find and update company information - GOV.UK</t>
  </si>
  <si>
    <t>Cloisters Financial Management Limited</t>
  </si>
  <si>
    <t>Pennywise Advisory Services Limited</t>
  </si>
  <si>
    <t>https://www.pennywisefs.co.uk/</t>
  </si>
  <si>
    <t>DHW Financial Services Ltd</t>
  </si>
  <si>
    <t>https://www.dhwfs.co.uk/</t>
  </si>
  <si>
    <t>Lubbock Fine Wealth Management LLP</t>
  </si>
  <si>
    <t>http://www.lfwm.co.uk</t>
  </si>
  <si>
    <t>Kelvin Smith Financial Planning Ltd</t>
  </si>
  <si>
    <t>EB ASSOCIATES GROUP LIMITED</t>
  </si>
  <si>
    <t>https://www.edwardbond.co.uk/</t>
  </si>
  <si>
    <t>Aidan Dow Wealth Management Limited</t>
  </si>
  <si>
    <t>www.aidandowwealthmanagement.com</t>
  </si>
  <si>
    <t>Lowry Shuker Financial Planning Limited</t>
  </si>
  <si>
    <t>www.lowryshuker.com</t>
  </si>
  <si>
    <t>Craig Dunne</t>
  </si>
  <si>
    <t>Your Finance Matters Limited</t>
  </si>
  <si>
    <t>https://www.yourfinancematters.co.uk/</t>
  </si>
  <si>
    <t>Newstead Clark Financial Services Ltd</t>
  </si>
  <si>
    <t>www.newsteadclark.co.uk</t>
  </si>
  <si>
    <t>JDW Wealth Management Ltd</t>
  </si>
  <si>
    <t>https://www.jdwwealthmanagement.co.uk/</t>
  </si>
  <si>
    <t>Prudent Financial Planning Services Ltd</t>
  </si>
  <si>
    <t>https://www.prudentltd.co.uk/</t>
  </si>
  <si>
    <t>SQ Wealth Limited</t>
  </si>
  <si>
    <t>David Jeffreys Financial Services Ltd</t>
  </si>
  <si>
    <t>https://www.davidjeffreys.co.uk/</t>
  </si>
  <si>
    <t>Anstee &amp; Co Limited</t>
  </si>
  <si>
    <t>https://www.ansteeco.co.uk/</t>
  </si>
  <si>
    <t>Our fees - Anstee &amp; Co</t>
  </si>
  <si>
    <t>ANSTEE &amp; CO LIMITED filing history - Find and update company information - GOV.UK</t>
  </si>
  <si>
    <t>Blinkhorn Financial Limited</t>
  </si>
  <si>
    <t>Brian McGoldrick Ltd</t>
  </si>
  <si>
    <t>Resolute Financial Advisers LLP</t>
  </si>
  <si>
    <t>London Bridge Capital Limited</t>
  </si>
  <si>
    <t>https://www.londonbridgecapital.com/</t>
  </si>
  <si>
    <t>J &amp; P Financial Services Limited</t>
  </si>
  <si>
    <t>www.jp-fs.co.uk</t>
  </si>
  <si>
    <t>Family Finance Centre Group Ltd</t>
  </si>
  <si>
    <t>Curo Holdings LLP</t>
  </si>
  <si>
    <t>www.curowealth.com</t>
  </si>
  <si>
    <t>Clear Financial Solutions (Midlands) Ltd</t>
  </si>
  <si>
    <t>https://www.clearfs.info/</t>
  </si>
  <si>
    <t>Illiquidx Limited</t>
  </si>
  <si>
    <t>www.illiquidx.com</t>
  </si>
  <si>
    <t>Cranwell James Financial Planning limited</t>
  </si>
  <si>
    <t>https://www.cranwelljames.co.uk/</t>
  </si>
  <si>
    <t>Complete Wealth Solutions Ltd</t>
  </si>
  <si>
    <t>https://www.completewealthsolutions.co.uk/</t>
  </si>
  <si>
    <t>OneLife Wealth Advice Limited</t>
  </si>
  <si>
    <t>https://www.onelifewealthadvice.co.uk/</t>
  </si>
  <si>
    <t>Merchant Financial Services (UK) Ltd</t>
  </si>
  <si>
    <t>https://www.merchantfs.com/</t>
  </si>
  <si>
    <t>ISF Solutions Ltd</t>
  </si>
  <si>
    <t>https://www.isfs.co.uk/</t>
  </si>
  <si>
    <t>JMF Advisory Ltd</t>
  </si>
  <si>
    <t>The Pension Drawdown Company Limited</t>
  </si>
  <si>
    <t>https://www.pension-drawdown.co.uk/</t>
  </si>
  <si>
    <t>Plan-It Financial Solutions Ltd</t>
  </si>
  <si>
    <t>https://www.planitfs.co.uk/</t>
  </si>
  <si>
    <t>GilesSmith Wealth Management LLP</t>
  </si>
  <si>
    <t>AJP Financial Planning Services Limited</t>
  </si>
  <si>
    <t>Quinn &amp; Company (Financial Services) Limited</t>
  </si>
  <si>
    <t>https://www.quinnfs.co.uk/</t>
  </si>
  <si>
    <t>Diligent Wealth Planning Limited</t>
  </si>
  <si>
    <t>https://www.diligentwealthplanning.com/</t>
  </si>
  <si>
    <t>Sarus Select Capital Ltd</t>
  </si>
  <si>
    <t>https://sarusselectcapital.co.uk/</t>
  </si>
  <si>
    <t>Zenith Asset Management Ltd</t>
  </si>
  <si>
    <t>https://www.zenitham.co.uk/</t>
  </si>
  <si>
    <t>KLO Financial Services Ltd</t>
  </si>
  <si>
    <t>https://www.klofinancialservices.com/</t>
  </si>
  <si>
    <t>Parklands Financial Advisers Ltd</t>
  </si>
  <si>
    <t>https://www.parklandsifa.co.uk/</t>
  </si>
  <si>
    <t>Vermeer Investment Management Ltd</t>
  </si>
  <si>
    <t>https://www.vermeerllp.com/</t>
  </si>
  <si>
    <t>TPC Financial Management Ltd</t>
  </si>
  <si>
    <t>www.bigmoreassociates.com</t>
  </si>
  <si>
    <t>Hodsons Financial Services Limited</t>
  </si>
  <si>
    <t>https://www.hodsonsfinancialservices.co.uk/</t>
  </si>
  <si>
    <t>Douglas White Limited</t>
  </si>
  <si>
    <t>www.douglaswhiteltd.com</t>
  </si>
  <si>
    <t>M &amp; H Financial Planning Ltd</t>
  </si>
  <si>
    <t>https://www.mercerhole.co.uk/services/financial - planning/</t>
  </si>
  <si>
    <t>Platinum (SRI) Financial Services Ltd</t>
  </si>
  <si>
    <t>Bright Future Financial Planning Limited</t>
  </si>
  <si>
    <t>North Riding Financial Services Ltd</t>
  </si>
  <si>
    <t>Hayden Kilkelly Independent Financial Advisors Limited</t>
  </si>
  <si>
    <t>https://www.hkifa.co.uk/</t>
  </si>
  <si>
    <t>Hybrid Advice Central Limited</t>
  </si>
  <si>
    <t>www.hybridadvice.com</t>
  </si>
  <si>
    <t>Alpha Independent Financial Planning Ltd</t>
  </si>
  <si>
    <t>Berg-Davies Associates Ltd</t>
  </si>
  <si>
    <t>https://www.bergdaviesassociates.co.uk/</t>
  </si>
  <si>
    <t>Hopton Advisers LLP</t>
  </si>
  <si>
    <t>Michael John Rice</t>
  </si>
  <si>
    <t>https://www.mjrfinancialservices.co.uk/</t>
  </si>
  <si>
    <t>Masterman Financial Services LTD</t>
  </si>
  <si>
    <t>Elite Financial Planning Limited</t>
  </si>
  <si>
    <t>Paragon Financial Partners LLP</t>
  </si>
  <si>
    <t>www.paragonfp.co.uk</t>
  </si>
  <si>
    <t>Simply IFA Limited</t>
  </si>
  <si>
    <t>https://www.simplyifa.com/</t>
  </si>
  <si>
    <t>Barker Poland Asset Management LLP</t>
  </si>
  <si>
    <t>www.barkerpoland.co.uk</t>
  </si>
  <si>
    <t>Our Fees - Barker Poland</t>
  </si>
  <si>
    <t>BARKER POLAND ASSET MANAGEMENT LLP filing history - Find and update company information - GOV.UK</t>
  </si>
  <si>
    <t>fixed fee effect</t>
  </si>
  <si>
    <t>Desire Wealth Management Limited</t>
  </si>
  <si>
    <t>https://www.desirewm.com/</t>
  </si>
  <si>
    <t>Andrew Sherlock</t>
  </si>
  <si>
    <t>Alex De Silva &amp; Co Limited</t>
  </si>
  <si>
    <t>www.alexdesilvaco.com</t>
  </si>
  <si>
    <t>Clickery Financial Ltd</t>
  </si>
  <si>
    <t>https://www.clickery.co.uk/</t>
  </si>
  <si>
    <t>Hazel Consultancy Ltd</t>
  </si>
  <si>
    <t>Adam Starr</t>
  </si>
  <si>
    <t>https://www.starrfinancialplanning.com/</t>
  </si>
  <si>
    <t>Michael James</t>
  </si>
  <si>
    <t>https://www.westcountryfinancial.co.uk/</t>
  </si>
  <si>
    <t>Langham Financial Management Ltd</t>
  </si>
  <si>
    <t>www.langhamfinancial.co.uk</t>
  </si>
  <si>
    <t>Adair Financial Management Ltd</t>
  </si>
  <si>
    <t>IFS Wealth &amp; Pensions Ltd</t>
  </si>
  <si>
    <t>www.ifswp.co.uk</t>
  </si>
  <si>
    <t>Erdley Hand T/A Wright Hand Associates</t>
  </si>
  <si>
    <t>Stephen Andrew Riseley</t>
  </si>
  <si>
    <t>FPG Financial Services LLP</t>
  </si>
  <si>
    <t>https://www.fpgonline.co.uk/</t>
  </si>
  <si>
    <t>Pension Income Planning Limited</t>
  </si>
  <si>
    <t>https://www.pipplanning.co.uk/</t>
  </si>
  <si>
    <t>DMH Private Wealth Limited</t>
  </si>
  <si>
    <t>https://www.dmhwealth.co.uk/</t>
  </si>
  <si>
    <t>North Capital Management Limited</t>
  </si>
  <si>
    <t>https://www.northcapital.co.uk/</t>
  </si>
  <si>
    <t>JN &amp; E Capstick Financial Services Ltd</t>
  </si>
  <si>
    <t>Verity Pensions Ltd</t>
  </si>
  <si>
    <t>https://www.verityfinancial.co.uk/</t>
  </si>
  <si>
    <t>A1 Mortgages Ltd</t>
  </si>
  <si>
    <t>https://www.a1mortgages.co.uk/</t>
  </si>
  <si>
    <t>BLUESPHERE LTD</t>
  </si>
  <si>
    <t>https://www.bluespherewealth.com/</t>
  </si>
  <si>
    <t>Harmony Wealth Management Limited</t>
  </si>
  <si>
    <t>www.harmonywm.co.uk</t>
  </si>
  <si>
    <t>Robin Edward Hill</t>
  </si>
  <si>
    <t>John Milne</t>
  </si>
  <si>
    <t>www.angloscottish.co.uk</t>
  </si>
  <si>
    <t>Monmouth Capital Limited</t>
  </si>
  <si>
    <t>Pure Wealth Limited</t>
  </si>
  <si>
    <t>https://www.purewealthltd.com/</t>
  </si>
  <si>
    <t>David John Hill</t>
  </si>
  <si>
    <t>Marquee Wealth Management Ltd</t>
  </si>
  <si>
    <t>https://www.marqueem.co.uk/</t>
  </si>
  <si>
    <t>Van der Meulen Associates Limited</t>
  </si>
  <si>
    <t>https://www.vdmassociates.co.uk/</t>
  </si>
  <si>
    <t>Chapter House Wealth Management Limited</t>
  </si>
  <si>
    <t>https://www.chapterhousewealthmanagement.co.uk/</t>
  </si>
  <si>
    <t>Our Fees - Chapter House Wealth Management</t>
  </si>
  <si>
    <t>CHAPTER HOUSE WEALTH MANAGEMENT LIMITED filing history - Find and update company information - GOV.UK</t>
  </si>
  <si>
    <t>Rose and North Limited</t>
  </si>
  <si>
    <t>https://www.roseandnorth.com/</t>
  </si>
  <si>
    <t>3 Sixty Financial Limited</t>
  </si>
  <si>
    <t>https://www.360-financial.co.uk/</t>
  </si>
  <si>
    <t>CPD Financial Advisors Ltd</t>
  </si>
  <si>
    <t>Reed Independent Ltd</t>
  </si>
  <si>
    <t>Frederick Walters</t>
  </si>
  <si>
    <t>L-Life Limited</t>
  </si>
  <si>
    <t>Cox Financial Limited</t>
  </si>
  <si>
    <t>www.coxfinancial.co.uk</t>
  </si>
  <si>
    <t>Kingstons Wealth Management Limited</t>
  </si>
  <si>
    <t>https://www.kingstonsfinancial.com/</t>
  </si>
  <si>
    <t>Outhwaite &amp; Chavda Limited</t>
  </si>
  <si>
    <t>https://www.outhwaiteandchavda.com/</t>
  </si>
  <si>
    <t>Green Rose Financial Services Limited</t>
  </si>
  <si>
    <t>https://www.green-rose.co.uk/</t>
  </si>
  <si>
    <t>Chapter Wealth Management Ltd</t>
  </si>
  <si>
    <t>https://www.chapterwealth.com/</t>
  </si>
  <si>
    <t>Smith Associates Financial Services Limited</t>
  </si>
  <si>
    <t>Burgess Williams Financial Services Limited</t>
  </si>
  <si>
    <t>Karen Richardson Financial Services Limited</t>
  </si>
  <si>
    <t>Andrew Baggott</t>
  </si>
  <si>
    <t>Whateley Wealth Management Limited</t>
  </si>
  <si>
    <t>www.whateleywm.co.uk</t>
  </si>
  <si>
    <t>Stepping Stones Financial Advisers Ltd</t>
  </si>
  <si>
    <t>C D D Financial Services</t>
  </si>
  <si>
    <t>RSW Advisory LLP</t>
  </si>
  <si>
    <t>https://www.rswa.co.uk/</t>
  </si>
  <si>
    <t>MONEY ADVICE PARTNERSHIP LTD</t>
  </si>
  <si>
    <t>Whitworth Financial Planning Ltd</t>
  </si>
  <si>
    <t>https://www.w-fp.solutions/</t>
  </si>
  <si>
    <t>Holistic Finance Ltd</t>
  </si>
  <si>
    <t>https://www.holisticfinance.co.uk/</t>
  </si>
  <si>
    <t>Future Financial Planning Ltd</t>
  </si>
  <si>
    <t>https://www.futurefp.com/</t>
  </si>
  <si>
    <t>Spectrum Financial Solutions Ltd</t>
  </si>
  <si>
    <t>https://www.spectrumadvice.co.uk/</t>
  </si>
  <si>
    <t>NorthStar Wealth Management Group Ltd</t>
  </si>
  <si>
    <t>nswm.co.uk</t>
  </si>
  <si>
    <t>Lee Neatis Financial Services Ltd</t>
  </si>
  <si>
    <t>Chalfont Financial Planning Limited</t>
  </si>
  <si>
    <t>Legacy Wealth Management Limited</t>
  </si>
  <si>
    <t>www.legacywm.co.uk</t>
  </si>
  <si>
    <t>GTM Financial (Rochester) Limited</t>
  </si>
  <si>
    <t>Cripps Financial Planning Limited</t>
  </si>
  <si>
    <t>CNFP LLP</t>
  </si>
  <si>
    <t>https://www.cnfp.co.uk/</t>
  </si>
  <si>
    <t>Tony Tyler Financial Services Ltd</t>
  </si>
  <si>
    <t>https://www.tonytylerfinancialservices.co.uk/</t>
  </si>
  <si>
    <t>Crown Wealth Management Limited</t>
  </si>
  <si>
    <t>https://www.crownwealthmanagement.co.uk/</t>
  </si>
  <si>
    <t>Our Fees - Crown Wealth Management: Financial Advisers Shrewsbury</t>
  </si>
  <si>
    <t>CROWN WEALTH MANAGEMENT LIMITED filing history - Find and update company information - GOV.UK</t>
  </si>
  <si>
    <t>Onelife Planning LLP</t>
  </si>
  <si>
    <t>https://www.onelifeplanning.co.uk/</t>
  </si>
  <si>
    <t>CJA Financial Planning Ltd</t>
  </si>
  <si>
    <t>https://www.cjafinancial.co.uk/</t>
  </si>
  <si>
    <t>Wellington Wealth (Glasgow) Limited</t>
  </si>
  <si>
    <t>https://www.wellington-wealth.com/</t>
  </si>
  <si>
    <t>Aspire Wealth Limited</t>
  </si>
  <si>
    <t>John Tamblin Financial Services Ltd</t>
  </si>
  <si>
    <t>David Williams IFA Ltd</t>
  </si>
  <si>
    <t>http://www.dwifa.co.uk/</t>
  </si>
  <si>
    <t>Our Fees - David Williams IFADavid Williams IFA</t>
  </si>
  <si>
    <t>DAVID WILLIAMS IFA MORTGAGE &amp; INSURANCE SERVICES LTD filing history - Find and update company information - GOV.UK</t>
  </si>
  <si>
    <t>Brandane Financial Services Ltd</t>
  </si>
  <si>
    <t>https://www.brandaneifa.com/</t>
  </si>
  <si>
    <t>Wrightnow Financial Limited</t>
  </si>
  <si>
    <t>https://www.wrightnowfl.co.uk/</t>
  </si>
  <si>
    <t>Advicesmith Ltd</t>
  </si>
  <si>
    <t>www.advicesmith.co.uk</t>
  </si>
  <si>
    <t>Tankard Wealth Limited</t>
  </si>
  <si>
    <t>www.tankardwealth.com</t>
  </si>
  <si>
    <t>VAR Capital Limited</t>
  </si>
  <si>
    <t>https://www.varcapital.com/</t>
  </si>
  <si>
    <t>Assured Private Wealth Limited</t>
  </si>
  <si>
    <t>www.apw-ifa.co.uk</t>
  </si>
  <si>
    <t>Enigma Wealth Management Limited</t>
  </si>
  <si>
    <t>https://www.enigmawm.co.uk/</t>
  </si>
  <si>
    <t>Lewis-Jones Financial Management Limited</t>
  </si>
  <si>
    <t>Aspley Financial Planning Limited</t>
  </si>
  <si>
    <t>https://www.aspleyfinancialplanning.co.uk/</t>
  </si>
  <si>
    <t>Berry Wealth Management Ltd</t>
  </si>
  <si>
    <t>Calvard Financial Limited</t>
  </si>
  <si>
    <t>Sterling Scott Limited</t>
  </si>
  <si>
    <t>https://www.sterlingscott.co.uk/</t>
  </si>
  <si>
    <t>Candid Financial Planning Limited</t>
  </si>
  <si>
    <t>https://www.candidfp.com/</t>
  </si>
  <si>
    <t>Affinity Independent Financial Solutions Limited</t>
  </si>
  <si>
    <t>Barker and Company Financial Services Limited</t>
  </si>
  <si>
    <t>https://www.barker-fs.co.uk/</t>
  </si>
  <si>
    <t>Fidelium Financial Planners Limited</t>
  </si>
  <si>
    <t>My London IFA Limited</t>
  </si>
  <si>
    <t>Integral Advice Limited</t>
  </si>
  <si>
    <t>www.integraladvice.co.uk</t>
  </si>
  <si>
    <t>Mrs Beverley Ann Barber-Fleming</t>
  </si>
  <si>
    <t>Fletcher Shaw &amp; Co Ltd</t>
  </si>
  <si>
    <t>www.fletchershaw.co.uk</t>
  </si>
  <si>
    <t>Salonica Capital Limited</t>
  </si>
  <si>
    <t>www.salonica - group.com</t>
  </si>
  <si>
    <t>Sigma Wealth Partners Ltd</t>
  </si>
  <si>
    <t>http://swpartners.co.uk/</t>
  </si>
  <si>
    <t>JPB Financial Planning Ltd</t>
  </si>
  <si>
    <t>https://www.jpbfinancialplanning.co.uk/</t>
  </si>
  <si>
    <t>Heard Hamilton Financial Planning Ltd</t>
  </si>
  <si>
    <t>Prosperity Wealth Ltd</t>
  </si>
  <si>
    <t>https://www.prosperitywealth.com/</t>
  </si>
  <si>
    <t>Moved to Shackleton, no longer standalone authorised</t>
  </si>
  <si>
    <t>Our Fees - Find Out About Our Fees | Prosperity Wealth</t>
  </si>
  <si>
    <t>Martin Financial Management Limited</t>
  </si>
  <si>
    <t>Mike Griffiths Limited</t>
  </si>
  <si>
    <t>Thomson Wealth Management Ltd</t>
  </si>
  <si>
    <t>https://www.thomsonwealth.co.uk/</t>
  </si>
  <si>
    <t>Liberate Wealth Solutions Limited</t>
  </si>
  <si>
    <t>https://liberatewealth.co.uk/</t>
  </si>
  <si>
    <t>Barker Owen Limited</t>
  </si>
  <si>
    <t>https://www.barkerowen.co.uk/</t>
  </si>
  <si>
    <t>Portfolio Wealth Advice Limited</t>
  </si>
  <si>
    <t>www.portfoliowealth.london</t>
  </si>
  <si>
    <t>Fiveways Financial Planning Limited</t>
  </si>
  <si>
    <t>https://www.fivewaysfp.co.uk/</t>
  </si>
  <si>
    <t>Our Fees - Five Ways</t>
  </si>
  <si>
    <t>FIVEWAYS FINANCIAL PLANNING LIMITED filing history - Find and update company information - GOV.UK</t>
  </si>
  <si>
    <t>Mason Financial Management Limited</t>
  </si>
  <si>
    <t>www.masonifa.com</t>
  </si>
  <si>
    <t>SKY Financial Limited</t>
  </si>
  <si>
    <t>www.skyfinancial.co.uk</t>
  </si>
  <si>
    <t>Riverhead Financial Ltd</t>
  </si>
  <si>
    <t>Cooper Maverick LLP</t>
  </si>
  <si>
    <t>https://www.coopermaverickllp.com/</t>
  </si>
  <si>
    <t>Edward Hart Financial Services Limited</t>
  </si>
  <si>
    <t>Jellings Dalton Investments Limited</t>
  </si>
  <si>
    <t>www.jellingsdalton.co.uk</t>
  </si>
  <si>
    <t>Aevitas Wealth Ltd</t>
  </si>
  <si>
    <t>Lumwood Financial Planning Limited</t>
  </si>
  <si>
    <t>B &amp; E Financial Limited</t>
  </si>
  <si>
    <t>www.bandefinancial.co.uk</t>
  </si>
  <si>
    <t>The Financial Assets Management Consultancy Limited</t>
  </si>
  <si>
    <t>Oakwood Financial Advisers Limited</t>
  </si>
  <si>
    <t>Jan Oliff Financial Planning Limited</t>
  </si>
  <si>
    <t>https://www.oliff.info/</t>
  </si>
  <si>
    <t>The Pensions Adviser Ltd</t>
  </si>
  <si>
    <t>https://www.thepensionsadviser.co.uk/</t>
  </si>
  <si>
    <t>True Capital Limited</t>
  </si>
  <si>
    <t>https://www.true.global/</t>
  </si>
  <si>
    <t>Jonathan Richards Financial Consultancy Ltd</t>
  </si>
  <si>
    <t>www.richardsifa.co.uk</t>
  </si>
  <si>
    <t>Justyn Grant Ltd</t>
  </si>
  <si>
    <t>Cullimore Dutton Solicitors Ltd</t>
  </si>
  <si>
    <t>https://www.cullimoredutton.co.uk/</t>
  </si>
  <si>
    <t>Unbiased Financial Group LLP</t>
  </si>
  <si>
    <t>https://www.unbiasedfinancialgroup.co.uk/</t>
  </si>
  <si>
    <t>Trusted Planning Limited</t>
  </si>
  <si>
    <t>https://www.trustedplanning.co.uk/</t>
  </si>
  <si>
    <t>Edgmoor Limited</t>
  </si>
  <si>
    <t>https://www.edgmoor.co.uk/</t>
  </si>
  <si>
    <t>Tandem Financial Limited</t>
  </si>
  <si>
    <t>Chester Rose Financial Planning Limited</t>
  </si>
  <si>
    <t>https://www.chesterrose.co.uk/</t>
  </si>
  <si>
    <t>Highclere Financial Services Ltd</t>
  </si>
  <si>
    <t>Casterbridge Wealth Limited</t>
  </si>
  <si>
    <t>Executive Lifestyle Planning Ltd</t>
  </si>
  <si>
    <t>LWM Consultants Limited</t>
  </si>
  <si>
    <t>www.lwmconsultants.com</t>
  </si>
  <si>
    <t>More Wealth Planning Ltd</t>
  </si>
  <si>
    <t>https://www.morewealthplanning.co.uk/</t>
  </si>
  <si>
    <t>Stockwell &amp; Bentley Associates Limited</t>
  </si>
  <si>
    <t>www.stockwellandbentley.com</t>
  </si>
  <si>
    <t>Holcombe Wealth Management Limited</t>
  </si>
  <si>
    <t>https://www.holcombefinancialservices.co.uk/</t>
  </si>
  <si>
    <t>Green Wealth Management Ltd</t>
  </si>
  <si>
    <t>green-wealth.co.uk</t>
  </si>
  <si>
    <t>Peritus Private Finance Limited</t>
  </si>
  <si>
    <t>Bluegrove Wealth Limited</t>
  </si>
  <si>
    <t>https://www.bluegrove.co.uk/</t>
  </si>
  <si>
    <t>Consilium Wealth Limited</t>
  </si>
  <si>
    <t>Hall Financial Planners Ltd</t>
  </si>
  <si>
    <t>www.hallfinancialplanners.co.uk</t>
  </si>
  <si>
    <t>No fees on page</t>
  </si>
  <si>
    <t>Marshall Wooldridge Financial Services Ltd</t>
  </si>
  <si>
    <t>Homepage - Marshall Wooldridge</t>
  </si>
  <si>
    <t>Monzo Bank Ltd</t>
  </si>
  <si>
    <t>https://monzo.com/</t>
  </si>
  <si>
    <t>Southern Wealth Associates Limited</t>
  </si>
  <si>
    <t>Croft &amp; Oakes Financial Planners Limited</t>
  </si>
  <si>
    <t>https://www.croftandoakes.co.uk/</t>
  </si>
  <si>
    <t>Fyfe Financial Limited</t>
  </si>
  <si>
    <t>www.fyfefinancial.co.uk</t>
  </si>
  <si>
    <t>Our Fees – Fyfe Financial</t>
  </si>
  <si>
    <t>FYFE FINANCIAL LIMITED filing history - Find and update company information - GOV.UK</t>
  </si>
  <si>
    <t>Artisan Financial Limited</t>
  </si>
  <si>
    <t>www.artisanfinancial.co.uk</t>
  </si>
  <si>
    <t>Hawthorn Financial Services (Wealth Management) Limited</t>
  </si>
  <si>
    <t>https://www.hawthornfs.co.uk/</t>
  </si>
  <si>
    <t>Robson Financial Limited</t>
  </si>
  <si>
    <t>https://www.robsonifa.co.uk/</t>
  </si>
  <si>
    <t>Lairgate Financial Ltd</t>
  </si>
  <si>
    <t>https://www.lairgatefinancial.co.uk/</t>
  </si>
  <si>
    <t>Gardner Financial Management Ltd</t>
  </si>
  <si>
    <t>https://www.gardnerfinancialmanagement.co.uk/</t>
  </si>
  <si>
    <t>SPM Dawson Whyte (Life &amp; Pensions) Limited</t>
  </si>
  <si>
    <t>42 Wealth Management Ltd</t>
  </si>
  <si>
    <t>https://www.42wealth.com/</t>
  </si>
  <si>
    <t>Integritas Financial Advisers Limited</t>
  </si>
  <si>
    <t>Coast &amp; Country Wealth Management Limited</t>
  </si>
  <si>
    <t>John Gaulton Independent Financial Advisors</t>
  </si>
  <si>
    <t>jgifa.co.uk</t>
  </si>
  <si>
    <t>Foxbrook Wealth Management Limited</t>
  </si>
  <si>
    <t>https://www.foxbrookwm.co.uk/</t>
  </si>
  <si>
    <t>HDH Investment Services Limited</t>
  </si>
  <si>
    <t>https://hdhifa.com/</t>
  </si>
  <si>
    <t>Ethical Financial Planning Ltd</t>
  </si>
  <si>
    <t>Chartered Wealth Management Limited</t>
  </si>
  <si>
    <t>https://www.charteredwealthmanagement.co.uk/</t>
  </si>
  <si>
    <t>Clearshore Capital Limited</t>
  </si>
  <si>
    <t>www.clearshorecapital.com</t>
  </si>
  <si>
    <t>Nolan Wealth Management Limited</t>
  </si>
  <si>
    <t>www.nolanwm.com</t>
  </si>
  <si>
    <t>Granite Financial Planning Ltd</t>
  </si>
  <si>
    <t>https://www.granitefp.co.uk/</t>
  </si>
  <si>
    <t>Professional Financial Partnerships Ltd</t>
  </si>
  <si>
    <t>Henson Aslam Financial Management LLP</t>
  </si>
  <si>
    <t>www.hensonaslam.co.uk</t>
  </si>
  <si>
    <t>Our Fees - Henson Aslam</t>
  </si>
  <si>
    <t>HENSON ASLAM FINANCIAL MANAGEMENT LLP filing history - Find and update company information - GOV.UK</t>
  </si>
  <si>
    <t>Legalwebb UK Ltd</t>
  </si>
  <si>
    <t>www.legalweb. org.uk</t>
  </si>
  <si>
    <t>Sovereign Financial Planners Limited</t>
  </si>
  <si>
    <t>www.sovereign-planners.co.uk</t>
  </si>
  <si>
    <t>David Dougan Financial Services Limited</t>
  </si>
  <si>
    <t>https://www.daviddouganfinancial.com/</t>
  </si>
  <si>
    <t>Mackay Hall Financial Services Limited</t>
  </si>
  <si>
    <t>Claritas Wealth Management Limited</t>
  </si>
  <si>
    <t>https://www.claritaswm.co.uk/</t>
  </si>
  <si>
    <t>Primary Wealth Limited</t>
  </si>
  <si>
    <t>Christina Clegg Financial Planning Services Limited</t>
  </si>
  <si>
    <t>Future Start Independent Financial Planning Limited</t>
  </si>
  <si>
    <t>https://www.futurestartfinancialplanning.com/</t>
  </si>
  <si>
    <t>Johnson Fleming Limited</t>
  </si>
  <si>
    <t>Jigsaw Financial Planning Limited</t>
  </si>
  <si>
    <t>https://www.jigsaw-fp.co.uk/</t>
  </si>
  <si>
    <t>At Retirement Options Wealth Management Ltd</t>
  </si>
  <si>
    <t>Eclipse Financial Solutions (SW) Limited</t>
  </si>
  <si>
    <t>Davidson Wealth Management Limited</t>
  </si>
  <si>
    <t>https://www.dwmfinancial.com/</t>
  </si>
  <si>
    <t>Fairway Independent Financial Advisers Limited</t>
  </si>
  <si>
    <t>https://www.fairway-ifa.co.uk/</t>
  </si>
  <si>
    <t>Omni Financial Limited</t>
  </si>
  <si>
    <t>https://www.omni-financial.co.uk/</t>
  </si>
  <si>
    <t>GWM Asset Management Limited</t>
  </si>
  <si>
    <t>https://www.gwmam.co.uk/</t>
  </si>
  <si>
    <t>Roberts Keen Independent Financial Advisers Ltd</t>
  </si>
  <si>
    <t>https://www.robertskeen.co.uk/</t>
  </si>
  <si>
    <t>Star House Financial Services Limited</t>
  </si>
  <si>
    <t>www.star-house.co.uk</t>
  </si>
  <si>
    <t>Skybound Financial Planning Limited</t>
  </si>
  <si>
    <t>https://www.skyboundfp.co.uk/</t>
  </si>
  <si>
    <t>Harpur Wealth Management Limited</t>
  </si>
  <si>
    <t>GMB Portfolio Services Limited</t>
  </si>
  <si>
    <t>https://www.gmbportfolio.co.uk/</t>
  </si>
  <si>
    <t>Blackadders Wealth Management LLP</t>
  </si>
  <si>
    <t>https://www.blackadderswm.co.uk/</t>
  </si>
  <si>
    <t>Damus Capital Limited</t>
  </si>
  <si>
    <t>www.damuscapital.com</t>
  </si>
  <si>
    <t>Langbourn Limited</t>
  </si>
  <si>
    <t>Tony Fenton &amp; Sons Wealth Management Limited</t>
  </si>
  <si>
    <t>Pension Works Limited</t>
  </si>
  <si>
    <t>https://www.pensionworks.co.uk/</t>
  </si>
  <si>
    <t>Just Financial Group Ltd</t>
  </si>
  <si>
    <t>https://www.justfinancialgroup.co.uk/</t>
  </si>
  <si>
    <t>Wardour Financial Planners Ltd</t>
  </si>
  <si>
    <t>https://www.wardourinvestments.com/</t>
  </si>
  <si>
    <t>R K Financial Services Limited</t>
  </si>
  <si>
    <t>https://www.tayloredfp.co.uk/</t>
  </si>
  <si>
    <t>Tempest Associates Limited</t>
  </si>
  <si>
    <t>https://www.tempest-associates.co.uk/</t>
  </si>
  <si>
    <t>Cailean Limited</t>
  </si>
  <si>
    <t>Atherton York Limited</t>
  </si>
  <si>
    <t>www.athertonyork.co.uk</t>
  </si>
  <si>
    <t>SUTTON MCGRATH HARTLEY (FINANCIAL SERVICES) LLP</t>
  </si>
  <si>
    <t>www.smh. group</t>
  </si>
  <si>
    <t>PROGENY ASSET MANAGEMENT LIMITED</t>
  </si>
  <si>
    <t>MacBeth, Scott &amp; Company Life &amp; Pensions Services Limited</t>
  </si>
  <si>
    <t>https://www.macbethscottinvestments.co.uk/</t>
  </si>
  <si>
    <t>Our fees - Macbeth Scott &amp; Co Life and Pensions</t>
  </si>
  <si>
    <t>MACBETH, SCOTT &amp; CO. LIFE &amp; PENSION SERVICES LIMITED filing history - Find and update company information - GOV.UK</t>
  </si>
  <si>
    <t>Corporate Solutions (Poole) Limited</t>
  </si>
  <si>
    <t>Longton FS LLP</t>
  </si>
  <si>
    <t>www.longtonfs.co.uk</t>
  </si>
  <si>
    <t>Jones Cooper Wealth Management Limited</t>
  </si>
  <si>
    <t>www.jc-wm.com</t>
  </si>
  <si>
    <t>Nicholsons Accountants Ltd</t>
  </si>
  <si>
    <t>https://www.nicholsonsca.co.uk/</t>
  </si>
  <si>
    <t>Fiscal Financial Planning Limited</t>
  </si>
  <si>
    <t>Harrogate Wealth Management Limited</t>
  </si>
  <si>
    <t>www.harrogatewealth.co.uk</t>
  </si>
  <si>
    <t>Integral Financial Planning Limited</t>
  </si>
  <si>
    <t>www.integralfp.co.uk</t>
  </si>
  <si>
    <t>Bluezone Capital Ltd</t>
  </si>
  <si>
    <t>www.bzcapital.co.uk</t>
  </si>
  <si>
    <t>Yellow Bear Financial Consultancy LLP</t>
  </si>
  <si>
    <t>https://www.yellow-bear.co.uk/</t>
  </si>
  <si>
    <t>Sweetland Associates Limited</t>
  </si>
  <si>
    <t>www.sweetlandassociates.co.uk</t>
  </si>
  <si>
    <t>Clearway Financial Solutions Limited</t>
  </si>
  <si>
    <t>www.clearway-fs.co.uk</t>
  </si>
  <si>
    <t>Ingenious Financial Solutions Limited</t>
  </si>
  <si>
    <t>www.ingeniousfs.co.uk</t>
  </si>
  <si>
    <t>Amram Capital (UK) LLP</t>
  </si>
  <si>
    <t>https://amramcapital.com/</t>
  </si>
  <si>
    <t>Trust Will Plan Limited</t>
  </si>
  <si>
    <t>Kingsbridge Wealth Management Ltd</t>
  </si>
  <si>
    <t>https://www.kingsbridgewealth.co.uk/</t>
  </si>
  <si>
    <t>Select Wealth Management Limited</t>
  </si>
  <si>
    <t>www.selectwealthmanagement.com</t>
  </si>
  <si>
    <t>IWC Financial Ltd</t>
  </si>
  <si>
    <t>JNH Wealth Management Limited</t>
  </si>
  <si>
    <t>Magenta Financial Planning Limited</t>
  </si>
  <si>
    <t>Planet 3 Wealth Limited</t>
  </si>
  <si>
    <t>www.planet 3 wealth.co.uk</t>
  </si>
  <si>
    <t>The Minster Partnership Ltd</t>
  </si>
  <si>
    <t>https://www.tmplimited.co.uk/</t>
  </si>
  <si>
    <t>Metro Financial Solutions LLP</t>
  </si>
  <si>
    <t>www.metrofs.co.uk</t>
  </si>
  <si>
    <t>Masterplan Financial Ltd</t>
  </si>
  <si>
    <t>www.masterplan-fs.com</t>
  </si>
  <si>
    <t>Mark Leach Asset Management Limited</t>
  </si>
  <si>
    <t>Compass Financial Associates Limited</t>
  </si>
  <si>
    <t>www.compassfa.co.uk</t>
  </si>
  <si>
    <t>Plan Money Ltd</t>
  </si>
  <si>
    <t>www.plan-money.co.uk</t>
  </si>
  <si>
    <t>No ongoing charge</t>
  </si>
  <si>
    <t>Our fees — Plan Money</t>
  </si>
  <si>
    <t>PLAN MONEY LIMITED filing history - Find and update company information - GOV.UK</t>
  </si>
  <si>
    <t>Expert Pensions Advice LLP</t>
  </si>
  <si>
    <t>https://www.expertpensionsadvice.com/</t>
  </si>
  <si>
    <t>Bryher East Associates Limited</t>
  </si>
  <si>
    <t>Alpha Wealth Management Limited</t>
  </si>
  <si>
    <t>www.alphawm.co.uk</t>
  </si>
  <si>
    <t>Bespoke Wealth Solutions Limited</t>
  </si>
  <si>
    <t>Murphy Wealth Limited</t>
  </si>
  <si>
    <t>https://www.murphywealth.co.uk/</t>
  </si>
  <si>
    <t>OSL Financial Consultancy Limited</t>
  </si>
  <si>
    <t>https://www.mortgagekey.co.uk/</t>
  </si>
  <si>
    <t>R D Wealth Management Limited</t>
  </si>
  <si>
    <t>https://www.rdwm.co.uk/</t>
  </si>
  <si>
    <t>AIS Pensions LLP</t>
  </si>
  <si>
    <t>Lauder Financial Limited</t>
  </si>
  <si>
    <t>Niche Private Clients Ltd</t>
  </si>
  <si>
    <t>www.nichepc.co.uk</t>
  </si>
  <si>
    <t>Forrest Financial Management Limited</t>
  </si>
  <si>
    <t>https://www.forrestfinancialmanagement.co.uk/</t>
  </si>
  <si>
    <t>NB Financial Solutions Ltd</t>
  </si>
  <si>
    <t>www.bevansfinance.co.uk</t>
  </si>
  <si>
    <t>Condies Wealth Strategies Limited</t>
  </si>
  <si>
    <t>https://www.condieswealth.co.uk/</t>
  </si>
  <si>
    <t>Blue Cherry Financial Solutions Limited</t>
  </si>
  <si>
    <t>Inspire Wealth Solutions Ltd</t>
  </si>
  <si>
    <t>MAPFS Limited</t>
  </si>
  <si>
    <t>Rosecut Technologies Limited</t>
  </si>
  <si>
    <t>www.rosecut.com</t>
  </si>
  <si>
    <t>Free digital planning tool for investment - No longer authorised /dissolved</t>
  </si>
  <si>
    <t>Our Fees - Rosecut</t>
  </si>
  <si>
    <t>Last Account filled in 2022</t>
  </si>
  <si>
    <t>Automated advice</t>
  </si>
  <si>
    <t>Anthony Goss</t>
  </si>
  <si>
    <t>www.sgfa.co</t>
  </si>
  <si>
    <t>Andrew Fincham</t>
  </si>
  <si>
    <t>Rock Financial Advisors Ltd</t>
  </si>
  <si>
    <t>Questa Wealth &amp; Financial Planning Limited</t>
  </si>
  <si>
    <t>CSR Planning Limited</t>
  </si>
  <si>
    <t>www.goalsbased.co.uk</t>
  </si>
  <si>
    <t>O'Brien Associates Limited</t>
  </si>
  <si>
    <t>https://www.obrienfp.co.uk/</t>
  </si>
  <si>
    <t>Gaudium Associates Limited</t>
  </si>
  <si>
    <t>https://www.gaudium-associates.co.uk/</t>
  </si>
  <si>
    <t>Perpetual Independent Financial Advice Limited</t>
  </si>
  <si>
    <t>www.perpetualifa.co.uk</t>
  </si>
  <si>
    <t>Acer Consultancy Services Ltd</t>
  </si>
  <si>
    <t>www.acerwealthmanagement.co.uk</t>
  </si>
  <si>
    <t>Arquitis Financial Management Ltd</t>
  </si>
  <si>
    <t>https://www.arquitis.co.uk/</t>
  </si>
  <si>
    <t>Blue Sky Financial Limited</t>
  </si>
  <si>
    <t>Routledge Financial Limited</t>
  </si>
  <si>
    <t>https://www.routledgefinancial.co.uk/</t>
  </si>
  <si>
    <t>Wheatfromchaff Limited</t>
  </si>
  <si>
    <t>https://www.crowdrating.co.uk/</t>
  </si>
  <si>
    <t>WiseAlpha Technologies Limited</t>
  </si>
  <si>
    <t>https://www.wisealpha.com/</t>
  </si>
  <si>
    <t>Non advice/investment platform</t>
  </si>
  <si>
    <t>Quantum Wealth Management Ltd</t>
  </si>
  <si>
    <t>www.quantumwealthmanagement.com</t>
  </si>
  <si>
    <t>Brookmans &amp; Berkeley Wealth Ltd</t>
  </si>
  <si>
    <t>https://www.brookmansandberkeley.co.uk/</t>
  </si>
  <si>
    <t>Iolaire Financial Limited</t>
  </si>
  <si>
    <t>https://www.iolairefinancial.co.uk/</t>
  </si>
  <si>
    <t>P1 Investment Services Limited</t>
  </si>
  <si>
    <t>www.p 1 -im.co.uk</t>
  </si>
  <si>
    <t>Zinga Financial Services Limited</t>
  </si>
  <si>
    <t>https://www.zingafs.com/</t>
  </si>
  <si>
    <t>Claybridge Financial Planning Ltd</t>
  </si>
  <si>
    <t>https://www.claybridge-fp.co.uk/</t>
  </si>
  <si>
    <t>Throgmorton Wealth Management Ltd</t>
  </si>
  <si>
    <t>https://www.throgmortonwm.co.uk/</t>
  </si>
  <si>
    <t>Capital Direct Management (UK) Ltd</t>
  </si>
  <si>
    <t>Financial Fortress Limited</t>
  </si>
  <si>
    <t>https://www.financialfortress.co.uk/</t>
  </si>
  <si>
    <t>Kevin Benstead IFA Limited</t>
  </si>
  <si>
    <t>https://www.kevinbensteadifa.com/</t>
  </si>
  <si>
    <t>Tailored Financial Advice Ltd</t>
  </si>
  <si>
    <t>https://parsnip-apple-sz 8 j. squarespace.com/</t>
  </si>
  <si>
    <t>Temple Gray Limited</t>
  </si>
  <si>
    <t>https://www.templegray.co.uk/</t>
  </si>
  <si>
    <t>Addison Satchi Finance Limited</t>
  </si>
  <si>
    <t>Northwood Wealth Management Ltd</t>
  </si>
  <si>
    <t>https://www.northwoodwm.co.uk/</t>
  </si>
  <si>
    <t>Andrea Irving-Morse Associates Limited</t>
  </si>
  <si>
    <t>HARBOUR ROCK CAPITAL LIMITED</t>
  </si>
  <si>
    <t>Pensionhelp Limited</t>
  </si>
  <si>
    <t>https://www.pensionhelp.co.uk/</t>
  </si>
  <si>
    <t>HR Independent Financial Services Limited</t>
  </si>
  <si>
    <t>https://www.hrindependent.co.uk/</t>
  </si>
  <si>
    <t>Simple Financial Advice Limited</t>
  </si>
  <si>
    <t>https://www.simplefinancialadvice.co.uk/</t>
  </si>
  <si>
    <t>Our fees - Simple Financial Advice</t>
  </si>
  <si>
    <t>SIMPLE FINANCIAL ADVICE LIMITED filing history - Find and update company information - GOV.UK</t>
  </si>
  <si>
    <t>Complete Financial Solutions (NW)</t>
  </si>
  <si>
    <t>https://www.completefsnw.co.uk/</t>
  </si>
  <si>
    <t>Peter Winter</t>
  </si>
  <si>
    <t>Alison Bestente</t>
  </si>
  <si>
    <t>https://www.ashingtonfinancial.co.uk/</t>
  </si>
  <si>
    <t>Yorke Finance Ltd</t>
  </si>
  <si>
    <t>https://www.chadwickfinancial.uk.com/</t>
  </si>
  <si>
    <t>HDG Financial Services Ltd</t>
  </si>
  <si>
    <t>www.macfinancial.co.uk</t>
  </si>
  <si>
    <t>CGR Wealth Management Ltd</t>
  </si>
  <si>
    <t>www.seventyfinancialplanning.com</t>
  </si>
  <si>
    <t>Alan Roderick Thomson Waugh</t>
  </si>
  <si>
    <t>Tribe Impact Capital LLP</t>
  </si>
  <si>
    <t>https://www.tribeimpactcapital.com/</t>
  </si>
  <si>
    <t>Aspire Wealth (Scotland) Limited</t>
  </si>
  <si>
    <t>www.aspirewealthscotland.com</t>
  </si>
  <si>
    <t>Epsilon Planning LLP</t>
  </si>
  <si>
    <t>APW Financial Planning Limited</t>
  </si>
  <si>
    <t>High Peak Financial Planning Ltd</t>
  </si>
  <si>
    <t>https://www.hpfp.co.uk/</t>
  </si>
  <si>
    <t>Eppione Limited</t>
  </si>
  <si>
    <t>www.eppione.co.uk</t>
  </si>
  <si>
    <t>Peregrine &amp; Black Investment Management Limited</t>
  </si>
  <si>
    <t>www.peregrineblack.com</t>
  </si>
  <si>
    <t>WILLU Invest Limited</t>
  </si>
  <si>
    <t>https://www.willu.co.uk/</t>
  </si>
  <si>
    <t>John Mitchell Financial Advisers Ltd</t>
  </si>
  <si>
    <t>https://www.johnmitchellfa.co.uk/</t>
  </si>
  <si>
    <t>Hanbury Wealth Management Ltd</t>
  </si>
  <si>
    <t>https://www.hanburywealth.co.uk/</t>
  </si>
  <si>
    <t>Newbridge Financial Planning Limited</t>
  </si>
  <si>
    <t>www.newbridgefinancialplanning.co.uk</t>
  </si>
  <si>
    <t>Clarity Wealth Limited</t>
  </si>
  <si>
    <t>http://www.claritywealth.co.uk/</t>
  </si>
  <si>
    <t>Stephen Campbell</t>
  </si>
  <si>
    <t>Pranaflow Limited</t>
  </si>
  <si>
    <t>https://www.flowifp.co.uk/</t>
  </si>
  <si>
    <t>DM Pension &amp; Investment Solutions Ltd</t>
  </si>
  <si>
    <t>https://www.face2faceadvice.co.uk/</t>
  </si>
  <si>
    <t>Keith Parr</t>
  </si>
  <si>
    <t>McCormack Financial Advisers Ltd</t>
  </si>
  <si>
    <t>Barclays Bank UK PLC</t>
  </si>
  <si>
    <t>Personal banking | Barclays</t>
  </si>
  <si>
    <t>Fair Financial Limited</t>
  </si>
  <si>
    <t>www.fairfinancial.co.uk</t>
  </si>
  <si>
    <t>Richardson Premier Wealth Ltd</t>
  </si>
  <si>
    <t>https://www.rpwifa.co.uk/</t>
  </si>
  <si>
    <t>Crystal Financial Planning Ltd</t>
  </si>
  <si>
    <t>Freedom Wealth LLP</t>
  </si>
  <si>
    <t>Arthur Dodds &amp; Co Ltd</t>
  </si>
  <si>
    <t>https://www.arthurdodds.co.uk/</t>
  </si>
  <si>
    <t>First Sentinel Corporate Finance Limited</t>
  </si>
  <si>
    <t>https://first-sentinel.com</t>
  </si>
  <si>
    <t>Toddington Independent Financial Advice Ltd</t>
  </si>
  <si>
    <t>https://www.toddingtonifa.co.uk/</t>
  </si>
  <si>
    <t>LEBC Group Limited</t>
  </si>
  <si>
    <t>Pinsa Wealth Ltd</t>
  </si>
  <si>
    <t>www.FircoGroup.co.uk</t>
  </si>
  <si>
    <t>Quantum Wealth Planning Ltd</t>
  </si>
  <si>
    <t>https://www.qwplanning.co.uk/</t>
  </si>
  <si>
    <t>Capital Financial Markets Limited</t>
  </si>
  <si>
    <t>https://www.capitalfinancialmarkets.co.uk/</t>
  </si>
  <si>
    <t>Oliver Asset Management Ltd</t>
  </si>
  <si>
    <t>D &amp; A Investments Partnership Limited</t>
  </si>
  <si>
    <t>https://www.dna.investments/</t>
  </si>
  <si>
    <t>Satis Asset Management Limited</t>
  </si>
  <si>
    <t>www.satiswealth.com</t>
  </si>
  <si>
    <t>Witham Financial Services Limited</t>
  </si>
  <si>
    <t>PPA Wealth Ltd</t>
  </si>
  <si>
    <t>ppawealth.co.uk</t>
  </si>
  <si>
    <t>Diverse Financial Planning Limited</t>
  </si>
  <si>
    <t>https://www.diversefinancialplanning.co.uk/</t>
  </si>
  <si>
    <t>Cleveland Wealth Management Ltd</t>
  </si>
  <si>
    <t>Rainsford Financial Planning Ltd</t>
  </si>
  <si>
    <t>https://www.rainsfordfp.com/</t>
  </si>
  <si>
    <t>Lloyds Bank Corporate Markets Plc</t>
  </si>
  <si>
    <t>Platinum Wealth (IFA) Ltd</t>
  </si>
  <si>
    <t>https://www.pwifa.com/</t>
  </si>
  <si>
    <t>Saranac Partners Limited</t>
  </si>
  <si>
    <t>http://www.saranacpartners.com/</t>
  </si>
  <si>
    <t>DOMINION FINANCIAL MANAGEMENT LIMITED</t>
  </si>
  <si>
    <t>https://www.dominionfm.co.uk/</t>
  </si>
  <si>
    <t>Baggette &amp; Company Wealth Management Limited</t>
  </si>
  <si>
    <t>https://www.baggette.co.uk/</t>
  </si>
  <si>
    <t>Our Fees - Transparent Fees for All Clients</t>
  </si>
  <si>
    <t>Opes Independent Financial Advisers Ltd</t>
  </si>
  <si>
    <t>https://www.opesifas.co.uk/</t>
  </si>
  <si>
    <t>Work Life Wealth Limited</t>
  </si>
  <si>
    <t>www.worklifewealth.com</t>
  </si>
  <si>
    <t>ATLANTIC CAPITAL MARKETS LTD</t>
  </si>
  <si>
    <t>https://www.atlanticmarkets.co.uk/</t>
  </si>
  <si>
    <t>Values To Vision Financial Planning Ltd</t>
  </si>
  <si>
    <t>https://www.v2vfp.co.uk/</t>
  </si>
  <si>
    <t xml:space="preserve">minimum lifestyle planning few </t>
  </si>
  <si>
    <t>Our Fees — Values to Vision</t>
  </si>
  <si>
    <t>VALUES TO VISION FINANCIAL PLANNING LIMITED filing history - Find and update company information - GOV.UK</t>
  </si>
  <si>
    <t>Quadros Financial Solutions Limited</t>
  </si>
  <si>
    <t>Verus Financial Planning Limited</t>
  </si>
  <si>
    <t>https://www.verusfp.co.uk/</t>
  </si>
  <si>
    <t>Our fees – Verus Financial Planning</t>
  </si>
  <si>
    <t>VERUS FINANCIAL PLANNING LIMITED filing history - Find and update company information - GOV.UK</t>
  </si>
  <si>
    <t>Somnium Financial Planning Limited</t>
  </si>
  <si>
    <t>https://www.somniumfp.co.uk/</t>
  </si>
  <si>
    <t>Verus Financial Services Limited</t>
  </si>
  <si>
    <t>www.verusfinancialservices.co.uk</t>
  </si>
  <si>
    <t>Family Capital Limited</t>
  </si>
  <si>
    <t>www.familycapital.co.uk</t>
  </si>
  <si>
    <t>Nicholson Bond Partnership Limited</t>
  </si>
  <si>
    <t>Andrew Parker Wealth Management Limited</t>
  </si>
  <si>
    <t>andrewparkerwm.co.uk</t>
  </si>
  <si>
    <t>Homecroft Financial Management Limited</t>
  </si>
  <si>
    <t>https://www.homecroftwealth.co.uk/</t>
  </si>
  <si>
    <t>Our Fees &amp; Charges | Financial Services | Homecroft Wealth</t>
  </si>
  <si>
    <t>HOMECROFT FINANCIAL MANAGEMENT LIMITED filing history - Find and update company information - GOV.UK</t>
  </si>
  <si>
    <t>Anthony Mackintosh Wealth Management</t>
  </si>
  <si>
    <t>52 Finance Limited</t>
  </si>
  <si>
    <t>https://www.52finance.net/</t>
  </si>
  <si>
    <t>Chattertons Wealth Management Limited</t>
  </si>
  <si>
    <t>https://www.chattertons.com/</t>
  </si>
  <si>
    <t>Haymarket Associates (IFA) LLP</t>
  </si>
  <si>
    <t>www.haymarketifa.co.uk</t>
  </si>
  <si>
    <t>Roundhouse Financial Services (London) Limited</t>
  </si>
  <si>
    <t>www.roundhousefs.co.uk</t>
  </si>
  <si>
    <t>Wealthmax Financial Advisers Limited</t>
  </si>
  <si>
    <t>https://www.wealthmax.co.uk/</t>
  </si>
  <si>
    <t>Mayfair Capital Limited</t>
  </si>
  <si>
    <t>http://www.mayfair - capital.co.uk/</t>
  </si>
  <si>
    <t>Capital Wealth Management (UK) Limited</t>
  </si>
  <si>
    <t>Tweedside Financial Services Ltd</t>
  </si>
  <si>
    <t>Mamucium Capital Limited</t>
  </si>
  <si>
    <t>https://www.mamuciumcapital.co.uk/</t>
  </si>
  <si>
    <t>Yorkshire Wealth Management Ltd</t>
  </si>
  <si>
    <t>Granite Financial Solutions Limited</t>
  </si>
  <si>
    <t>https://www.granitefinancialsolutions.co.uk/</t>
  </si>
  <si>
    <t>Fern Financial Planning Limited</t>
  </si>
  <si>
    <t>https://www.fernfinancial.co.uk/</t>
  </si>
  <si>
    <t>Prospectus Financial Management Limited</t>
  </si>
  <si>
    <t>www.prospectusfinancial.co.uk</t>
  </si>
  <si>
    <t>W Wealth Management Ltd</t>
  </si>
  <si>
    <t>https://www.wwealth.co.uk/</t>
  </si>
  <si>
    <t>Our Fees &amp; Charges | W Wealth Management</t>
  </si>
  <si>
    <t>W WEALTH MANAGEMENT LTD filing history - Find and update company information - GOV.UK</t>
  </si>
  <si>
    <t>Prime Wealth Solutions Ltd</t>
  </si>
  <si>
    <t>https://www.financialadvisorsuk.org/</t>
  </si>
  <si>
    <t>Tarran &amp; Co. Financial Planning Ltd</t>
  </si>
  <si>
    <t>https://www.tarranandco.co.uk/</t>
  </si>
  <si>
    <t>Succession Employee Benefit Solutions Limited</t>
  </si>
  <si>
    <t>www.successionwealth.co.uk/corporate-benefit-solutions</t>
  </si>
  <si>
    <t>Non Financial advice business</t>
  </si>
  <si>
    <t>Sequence Advisers LLP</t>
  </si>
  <si>
    <t>https://www.sequenceadvisers.co.uk/</t>
  </si>
  <si>
    <t>Maven Adviser Limited</t>
  </si>
  <si>
    <t>www.mavenadviser.com</t>
  </si>
  <si>
    <t>Sherpa Financial Solutions Limited</t>
  </si>
  <si>
    <t>Lionmede Wealth Management Ltd</t>
  </si>
  <si>
    <t>https://www.lionmede.co.uk/</t>
  </si>
  <si>
    <t>MSC Financial Planners Ltd</t>
  </si>
  <si>
    <t>www.mscfp.co.uk</t>
  </si>
  <si>
    <t>London Premier Wealth Management Limited</t>
  </si>
  <si>
    <t>www.londonpwm.com</t>
  </si>
  <si>
    <t>Align Research Limited</t>
  </si>
  <si>
    <t>www.optimocapital.co.uk</t>
  </si>
  <si>
    <t>BlueJay Financial Planning Ltd</t>
  </si>
  <si>
    <t>abrdn Client Management Limited</t>
  </si>
  <si>
    <t>www.aberdeenpersonal.com</t>
  </si>
  <si>
    <t>Now part of Ascot lloyd, has applied to FCA to cancel authorization as they are fully moving under Ascot Lloyd</t>
  </si>
  <si>
    <t>Our Fees | Ascot lloyd</t>
  </si>
  <si>
    <t>IFSL Ascot Lloyd 3 (previously Avellemy 3)</t>
  </si>
  <si>
    <t xml:space="preserve">	Select Full accounts made up to 31 December 2024</t>
  </si>
  <si>
    <t>Woodruff Financial Planning Limited</t>
  </si>
  <si>
    <t>https://www.woodruff-fp.co.uk/</t>
  </si>
  <si>
    <t>Martin-Redman (UK) Limited</t>
  </si>
  <si>
    <t>https://www.martin-redmanpartners.co.uk/</t>
  </si>
  <si>
    <t>Michael Ambrose Limited</t>
  </si>
  <si>
    <t>www.ascotlloyd.co.uk</t>
  </si>
  <si>
    <t>Richdale Brokers &amp; Financial Services Ltd</t>
  </si>
  <si>
    <t>www.richdale.co.uk</t>
  </si>
  <si>
    <t>Slaiyburn Financial Planning Ltd</t>
  </si>
  <si>
    <t>https://www.slaiyburn.co.uk/</t>
  </si>
  <si>
    <t>ISJ INDEPENDENT FINANCIAL PLANNING LIMITED</t>
  </si>
  <si>
    <t>MitonOptimal Portfolio Management (UK) Limited</t>
  </si>
  <si>
    <t>www.mitonoptimal.co.uk</t>
  </si>
  <si>
    <t>Vinco Wealth Management Ltd</t>
  </si>
  <si>
    <t>https://www.vincowealth.co.uk/</t>
  </si>
  <si>
    <t>CubicStone Capital Management Limited</t>
  </si>
  <si>
    <t>http://www.cubicstone.co.uk/</t>
  </si>
  <si>
    <t>Blue Pebble Finance Limited</t>
  </si>
  <si>
    <t>https://www.bluepebblemoney.co.uk/</t>
  </si>
  <si>
    <t>RDBIFS Ltd</t>
  </si>
  <si>
    <t>Charlotte Square Partners Limited</t>
  </si>
  <si>
    <t>John Patrick Financial Services Limited</t>
  </si>
  <si>
    <t>http://www.johnpatrickfinancial.co.uk/</t>
  </si>
  <si>
    <t>Spectrum Wealth Management Ltd</t>
  </si>
  <si>
    <t>www.spectrumwm.co.uk</t>
  </si>
  <si>
    <t>Perry Monroe Ltd</t>
  </si>
  <si>
    <t>The Robertsons &amp; Crawford Organization Limited</t>
  </si>
  <si>
    <t>RTS Financial Planning Limited</t>
  </si>
  <si>
    <t>www.rtsfinancialplanning.co.uk</t>
  </si>
  <si>
    <t>DLM Wealth Management LLP</t>
  </si>
  <si>
    <t>www.dlmwealth.com</t>
  </si>
  <si>
    <t>ISM Wealth Planning LLP</t>
  </si>
  <si>
    <t>Boston Direct Management (UK) Ltd</t>
  </si>
  <si>
    <t>abrdn Financial Planning And Advice Limited</t>
  </si>
  <si>
    <t>https://www.aberdeenpersonal.com/</t>
  </si>
  <si>
    <t>F_STDR_en-GB-NN_GB00B632C647.pdf</t>
  </si>
  <si>
    <t>Cameron Reeves Financial Planning Limited</t>
  </si>
  <si>
    <t>https://www.crfp.co.uk/</t>
  </si>
  <si>
    <t>Prosperity  IFA Limited</t>
  </si>
  <si>
    <t>https://www.prosperityifa.com/</t>
  </si>
  <si>
    <t>Milestone Wealth Ltd</t>
  </si>
  <si>
    <t>https://www.milestonewealth.co.uk/</t>
  </si>
  <si>
    <t>Beaumont Financial Planners Limited</t>
  </si>
  <si>
    <t>https://www.beaumontwealth.co.uk/</t>
  </si>
  <si>
    <t>P M Investment Services Limited</t>
  </si>
  <si>
    <t>https://www.pmfo.global/</t>
  </si>
  <si>
    <t>Haven Protect Limited</t>
  </si>
  <si>
    <t>havenprotect.me.uk</t>
  </si>
  <si>
    <t>EMET Financial Services Ltd</t>
  </si>
  <si>
    <t>Niall Victor Patrick Moore</t>
  </si>
  <si>
    <t>Citypoint Wealth Limited</t>
  </si>
  <si>
    <t>SMCL3 Limited</t>
  </si>
  <si>
    <t>Berkley Wilkinson Wealth Management Ltd</t>
  </si>
  <si>
    <t>Unity Wealth Management Limited</t>
  </si>
  <si>
    <t>https://www.unitywealthmanagement.co.uk/</t>
  </si>
  <si>
    <t>Postcard Financial Planning Limited</t>
  </si>
  <si>
    <t>https://www.postcardplanning.co.uk/</t>
  </si>
  <si>
    <t>Portfolio Financial Consultancy Limited</t>
  </si>
  <si>
    <t>Bonum Wealth Ltd</t>
  </si>
  <si>
    <t>https://www.bonumwealth.co.uk/</t>
  </si>
  <si>
    <t>Acumen Associate Financial Services Ltd</t>
  </si>
  <si>
    <t>https://www.acumenafs.com/</t>
  </si>
  <si>
    <t>Patterson-Mills Financial Planning Limited</t>
  </si>
  <si>
    <t>www.pattersonmills.com</t>
  </si>
  <si>
    <t>F G Watts Financial Advisers Ltd</t>
  </si>
  <si>
    <t>www.fgwattsifa.co.uk</t>
  </si>
  <si>
    <t>Create and Prosper Financial Services Ltd</t>
  </si>
  <si>
    <t>Assured Financial Planning Limited</t>
  </si>
  <si>
    <t>McLaren Wealth Management UK Limited</t>
  </si>
  <si>
    <t>https://www.mclarenwealthmanagement.com/</t>
  </si>
  <si>
    <t>Risksave Technologies Ltd.</t>
  </si>
  <si>
    <t>https://risksave.com</t>
  </si>
  <si>
    <t>OMBA Advisory &amp; Investments Limited</t>
  </si>
  <si>
    <t>www.ombainvestments.com</t>
  </si>
  <si>
    <t>Leadenhall Wealth Management Ltd</t>
  </si>
  <si>
    <t>www.leadenhallwm.com</t>
  </si>
  <si>
    <t>Argentum Financial Planning Limited</t>
  </si>
  <si>
    <t>https://www.ascotlloyd.co.uk/</t>
  </si>
  <si>
    <t>Freedom Advice LLP</t>
  </si>
  <si>
    <t>www.freedomadvice.com</t>
  </si>
  <si>
    <t>Torch Financial Planning Limited</t>
  </si>
  <si>
    <t>www.torchfp.co.uk</t>
  </si>
  <si>
    <t>Investment Solutions Wealth Management Limited</t>
  </si>
  <si>
    <t>Dark Star Asset Management Limited</t>
  </si>
  <si>
    <t>www.darkstaram.com</t>
  </si>
  <si>
    <t>Storrs Wealth Planning Limited</t>
  </si>
  <si>
    <t>https://www.storrswealthplanning.co.uk/</t>
  </si>
  <si>
    <t>Rainbow Consulting (Scot) Limited</t>
  </si>
  <si>
    <t>https://www.rcons.co.uk/</t>
  </si>
  <si>
    <t>Camerons Financial Planning Limited</t>
  </si>
  <si>
    <t>Live Smart Financial Planning Limited</t>
  </si>
  <si>
    <t>www.livesmartfp.com</t>
  </si>
  <si>
    <t>Beats Financial Planning Ltd</t>
  </si>
  <si>
    <t>www.beatsfp.com</t>
  </si>
  <si>
    <t>Dolphin Financial Limited</t>
  </si>
  <si>
    <t>https://www.dolphinfinancialltd.co.uk/</t>
  </si>
  <si>
    <t>Mario Frixou</t>
  </si>
  <si>
    <t>Craiglyon Financial Management Limited</t>
  </si>
  <si>
    <t>https://www.craiglyonfinancial.co.uk/</t>
  </si>
  <si>
    <t>Arkinson Mortgage &amp; Investment Solutions Ltd</t>
  </si>
  <si>
    <t>https://www.arkinson-ifa.co.uk/</t>
  </si>
  <si>
    <t>Georgetown Wealth Management LLP</t>
  </si>
  <si>
    <t>https://www.georgetownwealthmanagement.co.uk/</t>
  </si>
  <si>
    <t>Grovebridge Financial Limited</t>
  </si>
  <si>
    <t>Bond Wealth Ltd</t>
  </si>
  <si>
    <t>www.bondwealth.co.uk</t>
  </si>
  <si>
    <t>Cowgills Wealth Limited</t>
  </si>
  <si>
    <t>Kent Insurance Services Ltd</t>
  </si>
  <si>
    <t>https://www.kentinsuranceservices.co.uk/</t>
  </si>
  <si>
    <t>Lighthouse Financial Planning Ltd</t>
  </si>
  <si>
    <t>https://www.lighthousefp.co.uk/</t>
  </si>
  <si>
    <t>Advice Matters Financial Planning Ltd</t>
  </si>
  <si>
    <t>https://www.advicemattersfinancialplanning.com/</t>
  </si>
  <si>
    <t>Milestone FP Ltd</t>
  </si>
  <si>
    <t>www.milestonefp.co.uk</t>
  </si>
  <si>
    <t>Wealth Generation LLP</t>
  </si>
  <si>
    <t>https://www.wealth-generation.com/</t>
  </si>
  <si>
    <t>PGI Financial Limited</t>
  </si>
  <si>
    <t>www.pgifinancial.co.uk</t>
  </si>
  <si>
    <t>London Investment Management Limited</t>
  </si>
  <si>
    <t>https://www.londoninvestmentmanagement.com</t>
  </si>
  <si>
    <t>AMERICAN INTERNATIONAL GROUP UK LIMITED</t>
  </si>
  <si>
    <t>www.aig.co.uk</t>
  </si>
  <si>
    <t>TSP Wealth LLP</t>
  </si>
  <si>
    <t>www.tsp - wealth.com</t>
  </si>
  <si>
    <t>Marshall Pension &amp; Financial Planning Ltd</t>
  </si>
  <si>
    <t>https://www.marshallpfp.co.uk/</t>
  </si>
  <si>
    <t>Catterson Wealth Management Limited</t>
  </si>
  <si>
    <t>Mathieson David Porter</t>
  </si>
  <si>
    <t>Sycamore Wealth LLP</t>
  </si>
  <si>
    <t>Pacem Financial Advisory Ltd</t>
  </si>
  <si>
    <t>http://www.pacem-advisory.com/</t>
  </si>
  <si>
    <t>Daniel Hyde Financial Services Ltd</t>
  </si>
  <si>
    <t>https://www.danielhydefs.co.uk/</t>
  </si>
  <si>
    <t>Windsor Private Office Investment Management Limited</t>
  </si>
  <si>
    <t>Lamb and Associates Independent Financial Planning Ltd</t>
  </si>
  <si>
    <t>www.lambfinancial.co.uk</t>
  </si>
  <si>
    <t>JP Maxwell Financial Management Ltd</t>
  </si>
  <si>
    <t>www.jpmaxwell.co.uk</t>
  </si>
  <si>
    <t>DAH FP Ltd</t>
  </si>
  <si>
    <t>www.dahfp.co.uk</t>
  </si>
  <si>
    <t>First Equitable (UK) Ltd</t>
  </si>
  <si>
    <t>www.first-equitable.co.uk</t>
  </si>
  <si>
    <t>Informed Wealth Management Ltd</t>
  </si>
  <si>
    <t>https://www.iwm.ltd/</t>
  </si>
  <si>
    <t>Coast Financial Limited</t>
  </si>
  <si>
    <t>www.coastfs.co.uk</t>
  </si>
  <si>
    <t>RTP Management Ltd</t>
  </si>
  <si>
    <t>www.rtpmltd.com</t>
  </si>
  <si>
    <t>Stewart Asset Management Limited</t>
  </si>
  <si>
    <t>https://www.stewartassetmanagement.co.uk/</t>
  </si>
  <si>
    <t>Financial Prospects (N.I.) Ltd</t>
  </si>
  <si>
    <t>www.financialprospectsni.com</t>
  </si>
  <si>
    <t>Lucus Wealth Ltd</t>
  </si>
  <si>
    <t>https://www.lucuswealth.com/</t>
  </si>
  <si>
    <t>Golden Oak Wealth Management Limited</t>
  </si>
  <si>
    <t>https://www.goldenoakwealthmanagement.co.uk/</t>
  </si>
  <si>
    <t>Itineris Solutions Ltd</t>
  </si>
  <si>
    <t>Strategic Wealth Partners Limited</t>
  </si>
  <si>
    <t>Harcourt Financial Limited</t>
  </si>
  <si>
    <t>http://www.harcourtfinancial.com</t>
  </si>
  <si>
    <t>Pilgrim Wealth Management Ltd</t>
  </si>
  <si>
    <t>Burnett &amp; Co Financial Planning Ltd</t>
  </si>
  <si>
    <t>https://www.burnettfp.co.uk/</t>
  </si>
  <si>
    <t>Aries Wealth Management Limited</t>
  </si>
  <si>
    <t>www.arieswealth.co.uk</t>
  </si>
  <si>
    <t>Personal Wealth Management (South Wales) Ltd</t>
  </si>
  <si>
    <t>www.pwmfinancial.co.uk</t>
  </si>
  <si>
    <t>Blue Square Financial Limited</t>
  </si>
  <si>
    <t>www.bluesquarefinancial.com</t>
  </si>
  <si>
    <t>Crawford Financial Planning Limited</t>
  </si>
  <si>
    <t>SF Wealth Services Ltd</t>
  </si>
  <si>
    <t>https://www.fieldsfp.com/</t>
  </si>
  <si>
    <t>Empower Partners LLP</t>
  </si>
  <si>
    <t>WWW.EMPOWERPARTNERS.CO.UK</t>
  </si>
  <si>
    <t>No initial all inclusive in ongoing</t>
  </si>
  <si>
    <t>OUR FEES | Empower Partners</t>
  </si>
  <si>
    <t>EMPOWER PARTNERS LLP filing history - Find and update company information - GOV.UK</t>
  </si>
  <si>
    <t>Woodgrange Associates (IFA) Ltd</t>
  </si>
  <si>
    <t>https://www.advieswealth.com/</t>
  </si>
  <si>
    <t>Competitive Edge Wealth Creation Ltd</t>
  </si>
  <si>
    <t>Sentient Wealth Management LTD</t>
  </si>
  <si>
    <t>https://www.sentientwealth.com/</t>
  </si>
  <si>
    <t>Hambrook Financial Planning Limited</t>
  </si>
  <si>
    <t>https://www.hambrookfp.com/</t>
  </si>
  <si>
    <t>GJS Wealth Management Ltd</t>
  </si>
  <si>
    <t>ST ANNE'S CAPITAL LIMITED</t>
  </si>
  <si>
    <t>https://www.stannescapital.com/</t>
  </si>
  <si>
    <t>Acacia Financial Consultants Limited</t>
  </si>
  <si>
    <t>IAC Financial Planning Ltd</t>
  </si>
  <si>
    <t>https://www.iacfinancialplanning.co.uk/</t>
  </si>
  <si>
    <t>Silverwood Money Management Ltd</t>
  </si>
  <si>
    <t>silverwood. money</t>
  </si>
  <si>
    <t>Prestige Financial Planners Limited</t>
  </si>
  <si>
    <t>https://www.prestigefinancialplanners.co.uk/</t>
  </si>
  <si>
    <t>Surrey Downs Financial Services Limited</t>
  </si>
  <si>
    <t>https://www.surreydowns-fs.co.uk/</t>
  </si>
  <si>
    <t>Acquire Financial Planning Ltd</t>
  </si>
  <si>
    <t>SRU Management Limited</t>
  </si>
  <si>
    <t>https://www.srumanagement.co.uk/</t>
  </si>
  <si>
    <t>Acuity Research Limited</t>
  </si>
  <si>
    <t>www.acuityresearch.ai</t>
  </si>
  <si>
    <t>Berry &amp; Oak Limited</t>
  </si>
  <si>
    <t>www.berryandoak.com</t>
  </si>
  <si>
    <t>Expert Independent Financial Planning Limited</t>
  </si>
  <si>
    <t>https://www.expertifp.com/</t>
  </si>
  <si>
    <t>Our Fees | Expert IFP</t>
  </si>
  <si>
    <t>EXPERT INDEPENDENT FINANCIAL PLANNING LTD filing history - Find and update company information - GOV.UK</t>
  </si>
  <si>
    <t>Life Matters Financial Planning Ltd</t>
  </si>
  <si>
    <t>www.lifemattersfp.com</t>
  </si>
  <si>
    <t>Monica Curtis Associates Limited</t>
  </si>
  <si>
    <t>https://www.mcfsltd.co.uk/</t>
  </si>
  <si>
    <t>Hilltop Finance Limited</t>
  </si>
  <si>
    <t>https://www.hilltopfinance.co.uk/</t>
  </si>
  <si>
    <t>JD Financial Planning Ltd</t>
  </si>
  <si>
    <t>Blackbear Financial Group Ltd</t>
  </si>
  <si>
    <t>https://www.blackbearfinancialgroup.co.uk/</t>
  </si>
  <si>
    <t>Heritage Financial Limited</t>
  </si>
  <si>
    <t>Intelligent Pensions Ltd</t>
  </si>
  <si>
    <t>https://www.intelligentpensions.com/</t>
  </si>
  <si>
    <t>Our Fees | Financial Planners | Nationwide</t>
  </si>
  <si>
    <t>INTELLIGENT PENSIONS LIMITED filing history - Find and update company information - GOV.UK</t>
  </si>
  <si>
    <t>Foresight Financial Planning Limited</t>
  </si>
  <si>
    <t>www.foresight-ltd.co.uk</t>
  </si>
  <si>
    <t>DRC Associates Limited</t>
  </si>
  <si>
    <t>www.drc-associates.co.uk</t>
  </si>
  <si>
    <t>Agile Independent Financial Advice Ltd</t>
  </si>
  <si>
    <t>www.agileifa.co.uk</t>
  </si>
  <si>
    <t>M B Smith &amp; Co Ltd</t>
  </si>
  <si>
    <t>https://www.mbsmith.co.uk/</t>
  </si>
  <si>
    <t>Portus Wealth Limited</t>
  </si>
  <si>
    <t>https://www.portuswealth.co.uk/</t>
  </si>
  <si>
    <t>Blue Fox Wealth Management Limited</t>
  </si>
  <si>
    <t>https://www.bluefoxwealth.co.uk/</t>
  </si>
  <si>
    <t>Philpott Financial Limited</t>
  </si>
  <si>
    <t>https://www.philpottfinancial.com/</t>
  </si>
  <si>
    <t>Our Fees | Financial Planning | Huddersfield</t>
  </si>
  <si>
    <t>PHILPOTT FINANCIAL LIMITED filing history - Find and update company information - GOV.UK</t>
  </si>
  <si>
    <t>Money Flow Ltd</t>
  </si>
  <si>
    <t>Dart Wealth Management Limited</t>
  </si>
  <si>
    <t>https://www.dartwealthmanagement.com/</t>
  </si>
  <si>
    <t>Truscott Wealth Management Limited</t>
  </si>
  <si>
    <t>https://www.truscottwm.co.uk/</t>
  </si>
  <si>
    <t>The Private Office Limited</t>
  </si>
  <si>
    <t>www.theprivateoffice.com</t>
  </si>
  <si>
    <t>Platinum Financial Partners Ltd</t>
  </si>
  <si>
    <t>Saulsbury Independent Financial Planning Ltd</t>
  </si>
  <si>
    <t>https://www.saulsburyifp.co.uk/</t>
  </si>
  <si>
    <t>S D Greenway Ltd</t>
  </si>
  <si>
    <t>https://www.sdgreenway.co.uk/</t>
  </si>
  <si>
    <t>Bramley Financial Planning limited</t>
  </si>
  <si>
    <t>Five Point Consulting Limited</t>
  </si>
  <si>
    <t>https://www.fivepointconsulting.co.uk/</t>
  </si>
  <si>
    <t>Our fees | Five Point Consulting | Wetherby, West Yorkshire</t>
  </si>
  <si>
    <t>FIVE POINT CONSULTING LIMITED filing history - Find and update company information - GOV.UK</t>
  </si>
  <si>
    <t>Nicholas Charles Thompson</t>
  </si>
  <si>
    <t>https://www.thompsonlittle.co.uk/</t>
  </si>
  <si>
    <t>Sancus Retirement Planning Limited</t>
  </si>
  <si>
    <t>www.sancusrp.co.uk</t>
  </si>
  <si>
    <t>Flamingo Capital Limited</t>
  </si>
  <si>
    <t>https://www.flcap.co.uk/</t>
  </si>
  <si>
    <t>Ashtree Financial Services Ltd</t>
  </si>
  <si>
    <t>www.ashtreefinancial.co.uk</t>
  </si>
  <si>
    <t>VCAP Capital Ltd</t>
  </si>
  <si>
    <t>Sanctuary Wealth Planning Limited</t>
  </si>
  <si>
    <t>Plan2 Holdings Ltd</t>
  </si>
  <si>
    <t>https://www.plan-to-retire.co.uk/</t>
  </si>
  <si>
    <t>HB Financial Independence Ltd</t>
  </si>
  <si>
    <t>boosst Limited</t>
  </si>
  <si>
    <t>www.boosst. financial</t>
  </si>
  <si>
    <t>Prosperity Life Planning Ltd</t>
  </si>
  <si>
    <t>https://www.prosperitylifeplanning.co.uk/</t>
  </si>
  <si>
    <t>Evolve Financial Services Ltd</t>
  </si>
  <si>
    <t>Charles Mark Financial Ltd</t>
  </si>
  <si>
    <t>Mottram Financial Services Limited</t>
  </si>
  <si>
    <t>https://www.mottram-fs.co.uk/</t>
  </si>
  <si>
    <t>House Independent Financial Advisers Ltd</t>
  </si>
  <si>
    <t>Claritus Wealth Ltd</t>
  </si>
  <si>
    <t>www.clarituswealth.com</t>
  </si>
  <si>
    <t>Strowz Ltd</t>
  </si>
  <si>
    <t>www.strowz.com</t>
  </si>
  <si>
    <t>Lifestyle Wealth Management Ltd</t>
  </si>
  <si>
    <t>https://www.lifestylewealthmanagement.co.uk/</t>
  </si>
  <si>
    <t>Houlihan Lokey UK Limited</t>
  </si>
  <si>
    <t>www.hl.com</t>
  </si>
  <si>
    <t>Pelham Financial Limited</t>
  </si>
  <si>
    <t>www.pelhamfinancial.com</t>
  </si>
  <si>
    <t>Rossie House Investment Management LLP</t>
  </si>
  <si>
    <t>https://www.rossiehouse.com/</t>
  </si>
  <si>
    <t>RHA Financial Associates</t>
  </si>
  <si>
    <t>D M Financial Advice Limited</t>
  </si>
  <si>
    <t>Gunson and Co Independent Financial Advisers Ltd</t>
  </si>
  <si>
    <t>PDIFS LLP</t>
  </si>
  <si>
    <t>Corellia Financial Services Limited</t>
  </si>
  <si>
    <t>Grosvenor Wealth Ltd</t>
  </si>
  <si>
    <t>gwuk.co.uk</t>
  </si>
  <si>
    <t>Barrow Financial Services Ltd</t>
  </si>
  <si>
    <t>https://barrowfinancialservices.co.uk</t>
  </si>
  <si>
    <t>Powell Financial Planning Ltd</t>
  </si>
  <si>
    <t>https://www.powellfinancialplanning.co.uk/</t>
  </si>
  <si>
    <t>Holmes Independent Financial Advice Limited</t>
  </si>
  <si>
    <t>Hawfinch Financial Services Limited</t>
  </si>
  <si>
    <t>Nightingales Wealth Management Ltd</t>
  </si>
  <si>
    <t>https://www.nightingaleswm.co.uk/</t>
  </si>
  <si>
    <t>Sierra Asset Management Limited</t>
  </si>
  <si>
    <t>Jon Houghton Limited</t>
  </si>
  <si>
    <t>Stewardship Wealth Limited</t>
  </si>
  <si>
    <t>Campbell Alexander Financial Management Ltd</t>
  </si>
  <si>
    <t>https://www.cafinancial.co.uk/</t>
  </si>
  <si>
    <t>Kevin James Smith Wealth Managers LLP</t>
  </si>
  <si>
    <t>Amber Solutions Financial Planning LLP</t>
  </si>
  <si>
    <t>Credencis (IFA) Limited</t>
  </si>
  <si>
    <t>https://www.credencis.co.uk/</t>
  </si>
  <si>
    <t>Bespoke Financial Planning Kent Limited</t>
  </si>
  <si>
    <t>https://www.bespokefinancialplan.co.uk/</t>
  </si>
  <si>
    <t>DSMA Ltd</t>
  </si>
  <si>
    <t>https://www.leithmortgagecentre.co.uk/</t>
  </si>
  <si>
    <t>Clarke Financial Planning Ltd</t>
  </si>
  <si>
    <t>https://www.clarkefinancialplanning.co.uk/</t>
  </si>
  <si>
    <t>Obdios Capital Limited</t>
  </si>
  <si>
    <t>Rothesay Bennett Limited</t>
  </si>
  <si>
    <t>https://www.rothesaybennett.co.uk/</t>
  </si>
  <si>
    <t>AM Mortgage &amp; Financial Services Ltd</t>
  </si>
  <si>
    <t>https://www.ammfs.co.uk/</t>
  </si>
  <si>
    <t>Kensington Place Research Ltd</t>
  </si>
  <si>
    <t>James Hair Group Ltd</t>
  </si>
  <si>
    <t>https://www.jameshair.co.uk/</t>
  </si>
  <si>
    <t>Banyard Independent Advice Services Ltd</t>
  </si>
  <si>
    <t>https://www.banyardifa.co.uk/</t>
  </si>
  <si>
    <t>Buck Wealth Management Limited</t>
  </si>
  <si>
    <t>https://www.buckwealthmanagement.co.uk/</t>
  </si>
  <si>
    <t>ANAND FINANCIAL ARCHITECTURE LTD</t>
  </si>
  <si>
    <t>https://www.anandassociates.com/</t>
  </si>
  <si>
    <t>Better Financial Planning Ltd</t>
  </si>
  <si>
    <t>www.betterfinancialplanning.co.uk</t>
  </si>
  <si>
    <t>Benchmark Wealth Management Limited</t>
  </si>
  <si>
    <t>Giles Sanger</t>
  </si>
  <si>
    <t>https://www.gilmarfinancial.co.uk/</t>
  </si>
  <si>
    <t>S&amp;S Financial Solutions Limited</t>
  </si>
  <si>
    <t>Christian Dean Financial Planning Ltd</t>
  </si>
  <si>
    <t>https://www.christiandean.co.uk/</t>
  </si>
  <si>
    <t>Kingsley Financial Consulting Limited</t>
  </si>
  <si>
    <t>https://www.kingsleyfinancialconsulting.co.uk/</t>
  </si>
  <si>
    <t>Optimum Independent Financial Advisers Limited</t>
  </si>
  <si>
    <t>www.optimum-ifa.co.uk</t>
  </si>
  <si>
    <t>JWA Financial Planning Ltd</t>
  </si>
  <si>
    <t>www.jwafinance.com</t>
  </si>
  <si>
    <t>Irwell Wealth Management Ltd</t>
  </si>
  <si>
    <t>https://www.irwellwealthmanagement.co.uk/</t>
  </si>
  <si>
    <t>Barry W P Bennett Limited</t>
  </si>
  <si>
    <t>https://www.bennettwealthplanning.com/</t>
  </si>
  <si>
    <t>Bowline Advisors Limited</t>
  </si>
  <si>
    <t>bowlineadvisors.com</t>
  </si>
  <si>
    <t>MNM Financial Ltd</t>
  </si>
  <si>
    <t>Featherstone Partners Limited</t>
  </si>
  <si>
    <t>Purely Financial Ltd</t>
  </si>
  <si>
    <t>https://purelypensions.co.uk/</t>
  </si>
  <si>
    <t>Keith Stockdale and Company Limited</t>
  </si>
  <si>
    <t>https://www.stockdale-co.com/</t>
  </si>
  <si>
    <t>Alan Ellis Financial Services Limited</t>
  </si>
  <si>
    <t>https://www.aefsl.co.uk/</t>
  </si>
  <si>
    <t>Robert Moreland Ltd</t>
  </si>
  <si>
    <t>https://www.robert-moreland.co.uk/</t>
  </si>
  <si>
    <t>Carlton Smith Financial Planning Ltd</t>
  </si>
  <si>
    <t>https://www.carltonsmithfinancial.com/</t>
  </si>
  <si>
    <t>Good Green Money Limited</t>
  </si>
  <si>
    <t>https://www.goodgreenmoney.co.uk/</t>
  </si>
  <si>
    <t>Our Fees | Good Green Money | Financial Advisers | Lancashire</t>
  </si>
  <si>
    <t>GOOD GREEN MONEY LIMITED filing history - Find and update company information - GOV.UK</t>
  </si>
  <si>
    <t>Aurum Wealth LLP</t>
  </si>
  <si>
    <t>Cobalt Wealth Limited</t>
  </si>
  <si>
    <t>https://www.cobaltwealth.co.uk/</t>
  </si>
  <si>
    <t>BENTLEY INDEPENDENT FINANCIAL ADVISERS LTD</t>
  </si>
  <si>
    <t>Norton Michael Financial Management Limited</t>
  </si>
  <si>
    <t>D&amp;M Financial Ltd</t>
  </si>
  <si>
    <t>Conroy Financial Planning LLP</t>
  </si>
  <si>
    <t>conroyfinancialplanning.co.uk</t>
  </si>
  <si>
    <t>Investengine (UK) Limited</t>
  </si>
  <si>
    <t>investengine.com</t>
  </si>
  <si>
    <t>Non advice DIY</t>
  </si>
  <si>
    <t>Falco Private Wealth Limited</t>
  </si>
  <si>
    <t>www.falcogroup.co.uk</t>
  </si>
  <si>
    <t>WILLDAY WEALTH MANAGEMENT LIMITED</t>
  </si>
  <si>
    <t>www.willdaywm.co.uk</t>
  </si>
  <si>
    <t>SJW Independent Financial Management Limited</t>
  </si>
  <si>
    <t>sjw-ifm.com</t>
  </si>
  <si>
    <t>Phil Gee Financial Ltd</t>
  </si>
  <si>
    <t>https://www.pgfmoney.com/</t>
  </si>
  <si>
    <t>Continuum (Financial Services) LLP</t>
  </si>
  <si>
    <t>www.mycontinuum.co.uk</t>
  </si>
  <si>
    <t>Gill &amp; Green Financial Planning Ltd</t>
  </si>
  <si>
    <t>https://www.gillandgreen.co.uk/</t>
  </si>
  <si>
    <t>Whinchat Financial Planning Ltd</t>
  </si>
  <si>
    <t>www.wh-fp.com</t>
  </si>
  <si>
    <t>Cranbourne Financial Limited</t>
  </si>
  <si>
    <t>https://www.cranbournefinancial.co.uk/</t>
  </si>
  <si>
    <t>DW Wealth Management Ltd</t>
  </si>
  <si>
    <t>www.dwwealthmangement.co.uk</t>
  </si>
  <si>
    <t>MLA Wealth Management Ltd</t>
  </si>
  <si>
    <t>https://www.mlawealthmanagement.co.uk/</t>
  </si>
  <si>
    <t>KMD Private Wealth Management Limited</t>
  </si>
  <si>
    <t>https://www.kmdpwm.co.uk/</t>
  </si>
  <si>
    <t>Realm Investment Management Limited</t>
  </si>
  <si>
    <t>www.realmim.com</t>
  </si>
  <si>
    <t>Windsor Financial Services</t>
  </si>
  <si>
    <t>https://www.windsorfinancial.co.uk/</t>
  </si>
  <si>
    <t>Jones &amp; Co Advisers Limited</t>
  </si>
  <si>
    <t>www.ifajonesandco.uk</t>
  </si>
  <si>
    <t>Simply Advice Ltd</t>
  </si>
  <si>
    <t>https://www.simplyadvice.co.uk/</t>
  </si>
  <si>
    <t>DP Financial Planning Ltd</t>
  </si>
  <si>
    <t>Elite Financial Advice Ltd</t>
  </si>
  <si>
    <t>https://www.elitefinancialadvice.co.uk/</t>
  </si>
  <si>
    <t>Professional Financial Planning Group Ltd</t>
  </si>
  <si>
    <t>Prosperity Planning Ltd</t>
  </si>
  <si>
    <t>https://prosperityplanning.co.uk/</t>
  </si>
  <si>
    <t>Wealth Protect Ltd</t>
  </si>
  <si>
    <t>Aled Williams Financial Management Ltd</t>
  </si>
  <si>
    <t>Hoyl Independent Advisers Ltd</t>
  </si>
  <si>
    <t>https://www.hoyl.co.uk/</t>
  </si>
  <si>
    <t>Our Fees | Hoyl Independent Advisers Ltd | Cromer, Norfolk</t>
  </si>
  <si>
    <t>HOYL INDEPENDENT ADVISERS LTD filing history - Find and update company information - GOV.UK</t>
  </si>
  <si>
    <t>Halcyon Financial Planning Ltd</t>
  </si>
  <si>
    <t>https://www.halcyonfinancialplanning.co.uk/</t>
  </si>
  <si>
    <t>Citibank UK Limited</t>
  </si>
  <si>
    <t>Investrium Ltd</t>
  </si>
  <si>
    <t>Watson, Wood, and Sillars Limited</t>
  </si>
  <si>
    <t>https://www.watsonwoodfp.co.uk/</t>
  </si>
  <si>
    <t>GQ Independent Ltd</t>
  </si>
  <si>
    <t>https://www.gqiltd.co.uk/</t>
  </si>
  <si>
    <t>JRG Financial Planning Limited</t>
  </si>
  <si>
    <t>David Vance Consulting Ltd</t>
  </si>
  <si>
    <t>https://www.vancefm.co.uk/</t>
  </si>
  <si>
    <t>Navigate Wealth Limited</t>
  </si>
  <si>
    <t>Leeburn Financial Planning (NI) Limited</t>
  </si>
  <si>
    <t>https://www.leeburnfinancial.com/</t>
  </si>
  <si>
    <t>Only ongoing service, no initial financial advice charged</t>
  </si>
  <si>
    <t>Our Fees | Leeburn Financial Planning</t>
  </si>
  <si>
    <t>LEEBURN FINANCIAL PLANNING (NI) LIMITED filing history - Find and update company information - GOV.UK</t>
  </si>
  <si>
    <t>Handelsbanken plc</t>
  </si>
  <si>
    <t>www.handelsbanken.co.uk</t>
  </si>
  <si>
    <t>Poole Townsend Financial Services Ltd</t>
  </si>
  <si>
    <t>Aequus Wealth Management Ltd</t>
  </si>
  <si>
    <t>www.aequuswealth.co.uk</t>
  </si>
  <si>
    <t>Richard Hall</t>
  </si>
  <si>
    <t>https://www.crowoodfs.co.uk/</t>
  </si>
  <si>
    <t>Yellowstone Advisory Limited</t>
  </si>
  <si>
    <t>https://www.yellowstoneadvisory.com/</t>
  </si>
  <si>
    <t>West End Financial Management Ltd</t>
  </si>
  <si>
    <t>https://www.westendfml.co.uk/</t>
  </si>
  <si>
    <t>Sanctuary Financial Ltd</t>
  </si>
  <si>
    <t>www.sanfp.co.uk</t>
  </si>
  <si>
    <t>Parkmore Financial Services Limited</t>
  </si>
  <si>
    <t>Rutherford Hughes Limited</t>
  </si>
  <si>
    <t>www.rutherfordhughes.com</t>
  </si>
  <si>
    <t>Geneva Wealth Limited</t>
  </si>
  <si>
    <t>Brooks Financial Consultancy Ltd</t>
  </si>
  <si>
    <t>https://www.brooksfinancial.co.uk/</t>
  </si>
  <si>
    <t>Allisons Financial Planning Limited</t>
  </si>
  <si>
    <t>https://www.allisonsfinancial.com/</t>
  </si>
  <si>
    <t>Heritage Coast Asset Management ltd</t>
  </si>
  <si>
    <t>www.heritagecoastifa.co.uk</t>
  </si>
  <si>
    <t>Courtlands Wealth Planning Ltd</t>
  </si>
  <si>
    <t>https://www.courtlandswealth.co.uk/</t>
  </si>
  <si>
    <t>Fox-Davies Capital Limited</t>
  </si>
  <si>
    <t>www.istar.capital</t>
  </si>
  <si>
    <t>Inspiring Wealth Limited</t>
  </si>
  <si>
    <t>Harwood Financial Planning Limited</t>
  </si>
  <si>
    <t>Celtic Financial Planning Ltd</t>
  </si>
  <si>
    <t>Unity Financial Consultants LLP</t>
  </si>
  <si>
    <t>https://www.unityconsultants.org/</t>
  </si>
  <si>
    <t>Hentons Wealth Limited</t>
  </si>
  <si>
    <t>www.hentons.com</t>
  </si>
  <si>
    <t>Howarth Financial Limited</t>
  </si>
  <si>
    <t>https://www.howarthfinancial.co.uk/</t>
  </si>
  <si>
    <t>Advisory Investment Services Limited</t>
  </si>
  <si>
    <t>BKD Wealth Management Limited</t>
  </si>
  <si>
    <t>www.bkdfinancial.net</t>
  </si>
  <si>
    <t>Richardson &amp; Associates Independent Financial &amp; Mortgage Services Limited</t>
  </si>
  <si>
    <t>https://www.richardsonassociatesifa.co.uk/</t>
  </si>
  <si>
    <t>Blakes Financial Management Limited</t>
  </si>
  <si>
    <t>https://www.blakesfinancial.com/</t>
  </si>
  <si>
    <t>Yodelar Investments Limited</t>
  </si>
  <si>
    <t>Cartlidge Morland Wealth Management LLP</t>
  </si>
  <si>
    <t>Aurora Financial IFA Limited</t>
  </si>
  <si>
    <t>www.aurorafp.co.uk</t>
  </si>
  <si>
    <t>Iron Wealth Management Limited</t>
  </si>
  <si>
    <t>www.ironwealth.co.uk</t>
  </si>
  <si>
    <t>Forest Financial Services Ltd</t>
  </si>
  <si>
    <t>Goldcrest Financial Planning Ltd</t>
  </si>
  <si>
    <t>Real Life Financial Planning Ltd</t>
  </si>
  <si>
    <t>https://www.reallifefinancialplanning.co.uk/</t>
  </si>
  <si>
    <t>FFS Connect Limited</t>
  </si>
  <si>
    <t>https://www.financialfreedomsooner.co.uk/</t>
  </si>
  <si>
    <t>John Yuille Financial Services Ltd</t>
  </si>
  <si>
    <t>https://www.jyfs.co.uk/</t>
  </si>
  <si>
    <t>Grendon Independent Financial Services Limited</t>
  </si>
  <si>
    <t>https://www.grendonifs.co.uk/</t>
  </si>
  <si>
    <t>Greenland Financial Planning Limited</t>
  </si>
  <si>
    <t>https://www.greenlandfinancialplanning.co.uk/</t>
  </si>
  <si>
    <t>Astute Financial &amp; Mortgage Advisers Ltd</t>
  </si>
  <si>
    <t>https://www.astutefin.co.uk/</t>
  </si>
  <si>
    <t>GPIM Limited</t>
  </si>
  <si>
    <t>http://www.gpimlimited.com/</t>
  </si>
  <si>
    <t>David Gunderson</t>
  </si>
  <si>
    <t>Forth Capital Advisers Limited</t>
  </si>
  <si>
    <t>Henry Spain Investment Services Limited</t>
  </si>
  <si>
    <t>WHN Solicitors Limited</t>
  </si>
  <si>
    <t>Lazenbys Financial Services Limited</t>
  </si>
  <si>
    <t>www.lazenbysfs.co.uk</t>
  </si>
  <si>
    <t>MacBeth Currie Financial Services Limited</t>
  </si>
  <si>
    <t>Edale UK Management Limited</t>
  </si>
  <si>
    <t>https://www.edale.co/</t>
  </si>
  <si>
    <t>Lloyd O'Sullivan Financial Services Ltd</t>
  </si>
  <si>
    <t>https://www.lloydosullivan.co.uk/</t>
  </si>
  <si>
    <t>Consilium Financial Services Limited</t>
  </si>
  <si>
    <t>https://www.consiliumfs.co.uk/</t>
  </si>
  <si>
    <t>Montgomery Estate Planning Limited</t>
  </si>
  <si>
    <t>www.montgomeryep.co.uk</t>
  </si>
  <si>
    <t>Minimum ongoing of 4.25%. Actual minimum investment of 0.5m</t>
  </si>
  <si>
    <t>Our fees | Montgomery Estate Planning Limited | Charitable Trusts and Investing | Estate Planning | Inheritance Tax Planning</t>
  </si>
  <si>
    <t>MONTGOMERY ESTATE PLANNING LIMITED filing history - Find and update company information - GOV.UK</t>
  </si>
  <si>
    <t>Select Wealth Managers Ltd.</t>
  </si>
  <si>
    <t>https://www.selectwealth.co.uk/</t>
  </si>
  <si>
    <t>SMC Financial Services Limited</t>
  </si>
  <si>
    <t>www.lightsidefp.co.uk</t>
  </si>
  <si>
    <t>The Finance Family Limited</t>
  </si>
  <si>
    <t>www.thefinance-family.co.uk</t>
  </si>
  <si>
    <t>Life Map Limited</t>
  </si>
  <si>
    <t>www.mylifemap.co.uk</t>
  </si>
  <si>
    <t>PJL Financial Services Ltd</t>
  </si>
  <si>
    <t>https://www.pjlfinancialservices.co.uk/</t>
  </si>
  <si>
    <t>A&amp;E Wealth Solutions Limited</t>
  </si>
  <si>
    <t>https://www.aewealth.uk/</t>
  </si>
  <si>
    <t>Inverness Financial Advice LLP</t>
  </si>
  <si>
    <t>http://invernessfa.co.uk</t>
  </si>
  <si>
    <t>James Sharp &amp; Co LLP</t>
  </si>
  <si>
    <t>https://www.jamessharp.co.uk/</t>
  </si>
  <si>
    <t>Diem Marshall Wealth Management Limited</t>
  </si>
  <si>
    <t>Mosaac Ltd</t>
  </si>
  <si>
    <t>https://www.mosaacfinancial.uk/</t>
  </si>
  <si>
    <t>OUR FEES | Mosaac Ltd</t>
  </si>
  <si>
    <t>MOSAAC FINANCIAL PLANNING LIMITED filing history - Find and update company information - GOV.UK</t>
  </si>
  <si>
    <t>Fintuity Limited</t>
  </si>
  <si>
    <t>www.fintuity.com</t>
  </si>
  <si>
    <t>Thompson Cavendish Ltd</t>
  </si>
  <si>
    <t>https://www.thompsoncavendishltd.com/</t>
  </si>
  <si>
    <t>HF WEALTH LTD</t>
  </si>
  <si>
    <t>https://www.hfwealth.co.uk/</t>
  </si>
  <si>
    <t>APR Money Ltd</t>
  </si>
  <si>
    <t>www.aprmoney.co.uk</t>
  </si>
  <si>
    <t>Financial Synergy Ltd</t>
  </si>
  <si>
    <t>Meriden Financial Planning Limited</t>
  </si>
  <si>
    <t>https://www.meridenfp.co.uk/</t>
  </si>
  <si>
    <t>Trusted Financial Planning Limited</t>
  </si>
  <si>
    <t>https://www.trustedfinancialplanning.co.uk/</t>
  </si>
  <si>
    <t>SimFin Financial limited</t>
  </si>
  <si>
    <t>https://www.simfin.co.uk/</t>
  </si>
  <si>
    <t>Broadgate Wealth Client Servicing LLP</t>
  </si>
  <si>
    <t>https://www.broadgatewealth.co.uk/</t>
  </si>
  <si>
    <t>Imperial Wealth Advisory Limited</t>
  </si>
  <si>
    <t>imperialwealthadvisory.co.uk</t>
  </si>
  <si>
    <t>MPA Financial Solutions Ltd</t>
  </si>
  <si>
    <t>https://www.mpa-ifa.co.uk/</t>
  </si>
  <si>
    <t>Laurent Wealth Management Limited</t>
  </si>
  <si>
    <t>https://www.lwmifa.co.uk/</t>
  </si>
  <si>
    <t>Bowden Financial Planning Ltd</t>
  </si>
  <si>
    <t>BULLINGER WEALTH LIMITED</t>
  </si>
  <si>
    <t>https://www.bullinger.co.uk/</t>
  </si>
  <si>
    <t>Eadon &amp; Co Ltd</t>
  </si>
  <si>
    <t>https://www.eadon.co/</t>
  </si>
  <si>
    <t>Halen Wealth Limited</t>
  </si>
  <si>
    <t>https://www.halenwealth.co.uk/</t>
  </si>
  <si>
    <t>Wren Investment Office Limited</t>
  </si>
  <si>
    <t>http://www.wreninvestmentoffice.com/</t>
  </si>
  <si>
    <t>Halwyn Capital Ltd</t>
  </si>
  <si>
    <t>Utopia Wealth Planning Ltd</t>
  </si>
  <si>
    <t>https://www.utopiawealth.co.uk/</t>
  </si>
  <si>
    <t>Red Circle Financial Planning Limited</t>
  </si>
  <si>
    <t>https://www.redcirclefp.co.uk/</t>
  </si>
  <si>
    <t>Our fees | Red Circle Financial Planning | South Normanton, Derbyshire</t>
  </si>
  <si>
    <t>RED CIRCLE FINANCIAL PLANNING LIMITED filing history - Find and update company information - GOV.UK</t>
  </si>
  <si>
    <t>Zeus Investment Management Limited</t>
  </si>
  <si>
    <t>https://zeuscapital.co.uk/investment - management/</t>
  </si>
  <si>
    <t>Alexander Bates Campbell Financial Planning Limited</t>
  </si>
  <si>
    <t>https://www.abc-ifa.com/</t>
  </si>
  <si>
    <t>Craufurd Hale Wealth Management Limited</t>
  </si>
  <si>
    <t>https://www.craufurdhalewealth.co.uk/</t>
  </si>
  <si>
    <t>UNLU SECURITIES UK LIMITED</t>
  </si>
  <si>
    <t>https://www.unluco.uk</t>
  </si>
  <si>
    <t>Stratagem Financial Planning Limited</t>
  </si>
  <si>
    <t>https://www.stratagemfp.co.uk/</t>
  </si>
  <si>
    <t>Clarity Advice &amp; Management Ltd</t>
  </si>
  <si>
    <t>https://www.clarityam.com/</t>
  </si>
  <si>
    <t>Foster Bourne Wealth Management Ltd</t>
  </si>
  <si>
    <t>Annetts &amp; Orchard Ltd</t>
  </si>
  <si>
    <t>https://www.annettsandorchard.co.uk/</t>
  </si>
  <si>
    <t>MONOGRAM CAPITAL MANAGEMENT LTD</t>
  </si>
  <si>
    <t>JENSON FUNDING PARTNERS LLP</t>
  </si>
  <si>
    <t>SERENITY FINANCIAL PLANNING LTD</t>
  </si>
  <si>
    <t>https://www.serenityfp.com/</t>
  </si>
  <si>
    <t>Our fees | Serenity Financial Planners | Hertfordshire</t>
  </si>
  <si>
    <t>SERENITY FINANCIAL PLANNING LTD filing history - Find and update company information - GOV.UK</t>
  </si>
  <si>
    <t>Wisley Family Wealth Limited</t>
  </si>
  <si>
    <t>C D G Financial Services Limited</t>
  </si>
  <si>
    <t>The Stonegate Wealth Group Ltd</t>
  </si>
  <si>
    <t>https://www.stonegatewealth.co.uk/</t>
  </si>
  <si>
    <t>Our fees | Stonegate Wealth Management</t>
  </si>
  <si>
    <t>THE STONEGATE WEALTH GROUP LTD filing history - Find and update company information - GOV.UK</t>
  </si>
  <si>
    <t>BlueFinch Wealth Limited</t>
  </si>
  <si>
    <t>www.bluefinchwealth.com</t>
  </si>
  <si>
    <t>Our Fees | Transparent Pricing for Wealth Management Services</t>
  </si>
  <si>
    <t>BLUEFINCH WEALTH LIMITED filing history - Find and update company information - GOV.UK</t>
  </si>
  <si>
    <t>Ethical Market Place Limited</t>
  </si>
  <si>
    <t>https://www.ethicalmarketplace.co.uk/</t>
  </si>
  <si>
    <t>Windsor Private Office Financial Planning LLP</t>
  </si>
  <si>
    <t>Executive Wealth Services Ltd</t>
  </si>
  <si>
    <t>https://www.ewsfinancialadvisers.co.uk/</t>
  </si>
  <si>
    <t>Onyx Capital Advisory Limited</t>
  </si>
  <si>
    <t>https://www.onyxcapitalgroup.com/</t>
  </si>
  <si>
    <t>Plain Savings Ltd</t>
  </si>
  <si>
    <t>www.plainsavings.co.uk</t>
  </si>
  <si>
    <t>CONSOLIDARE WEALTH MANAGEMENT LTD</t>
  </si>
  <si>
    <t>https://www.consolidarewealth.co.uk/</t>
  </si>
  <si>
    <t>King &amp; Shaxson Asset Management Limited</t>
  </si>
  <si>
    <t>https://www.kingandshaxsonethical.co.uk/home.aspx</t>
  </si>
  <si>
    <t>Eighteen48 Partners Limited</t>
  </si>
  <si>
    <t>Ellis Bates Wealth Management Limited</t>
  </si>
  <si>
    <t>Independent Financial Advisers | Ellis Bates Financial Advisers</t>
  </si>
  <si>
    <t>Now part of Shackleton, using Shackleton fees</t>
  </si>
  <si>
    <t>Our fees for financial, pensions and investment advice</t>
  </si>
  <si>
    <t>ELLIS BATES WEALTH MANAGEMENT LTD filing history - Find and update company information - GOV.UK</t>
  </si>
  <si>
    <t>CAM Wealth Group Limited</t>
  </si>
  <si>
    <t>www.camwealth.co.uk</t>
  </si>
  <si>
    <t>Bailey Cook Financial Planning Ltd</t>
  </si>
  <si>
    <t>https://www.baileycookfp.co.uk/</t>
  </si>
  <si>
    <t>MDM Wealth Ltd</t>
  </si>
  <si>
    <t>https://www.mdmwealth.co.uk/</t>
  </si>
  <si>
    <t>Servini Financial Planning Limited</t>
  </si>
  <si>
    <t>https://www.servinifp.co.uk/</t>
  </si>
  <si>
    <t>Colin R Bauld</t>
  </si>
  <si>
    <t>https://www.finchwealth.com/</t>
  </si>
  <si>
    <t>Pyrford Financial Planning Limited</t>
  </si>
  <si>
    <t>https://www.pyrfordfp.com/</t>
  </si>
  <si>
    <t>Using fee range</t>
  </si>
  <si>
    <t>Our financial advice fees - Pyrford Financial Planning</t>
  </si>
  <si>
    <t>PYRFORD FINANCIAL PLANNING LIMITED overview - Find and update company information - GOV.UK</t>
  </si>
  <si>
    <t>Just Financial Planning Ltd</t>
  </si>
  <si>
    <t>www.justfinancialplanning.co.uk</t>
  </si>
  <si>
    <t>Our Financial Planning Fees | Just Financial Planning</t>
  </si>
  <si>
    <t>JUST FINANCIAL PLANNING LTD filing history - Find and update company information - GOV.UK</t>
  </si>
  <si>
    <t>David Michael Crabtree</t>
  </si>
  <si>
    <t>Performance Wealth Management Limited</t>
  </si>
  <si>
    <t>www.pwmsolutions.co.uk</t>
  </si>
  <si>
    <t>WIS Contractor Mortgages Ltd</t>
  </si>
  <si>
    <t>https://www.wismortgages.co.uk/</t>
  </si>
  <si>
    <t>Mayfair International Private Wealth Management Ltd</t>
  </si>
  <si>
    <t>https://www.mayfairprivatewealth.co.uk/</t>
  </si>
  <si>
    <t>Chawton Global Investors LLP</t>
  </si>
  <si>
    <t>https://www.chawtoninvestors.co.uk/</t>
  </si>
  <si>
    <t>Fibonacci Finance Limited</t>
  </si>
  <si>
    <t>https://www.fibonaccifinance.co.uk/</t>
  </si>
  <si>
    <t>E.S.N Financial Services LLP</t>
  </si>
  <si>
    <t>Arthur Browns Wealth Management Ltd</t>
  </si>
  <si>
    <t>www.arthurbrowns.co.uk</t>
  </si>
  <si>
    <t>JM Financial Consultancy Limited</t>
  </si>
  <si>
    <t>BERKSHIRE IFA LIMITED</t>
  </si>
  <si>
    <t>https://www.berkshireifa.com/</t>
  </si>
  <si>
    <t>Â£40,000</t>
  </si>
  <si>
    <t>Yoke Financial Consultants Limited</t>
  </si>
  <si>
    <t>www.yokeandco.com</t>
  </si>
  <si>
    <t>Pure Wealth Management Limited</t>
  </si>
  <si>
    <t>purewealthmanagement.co.uk</t>
  </si>
  <si>
    <t>Acorn Wealth Management Group Limited</t>
  </si>
  <si>
    <t>www.awmg.co.uk</t>
  </si>
  <si>
    <t>Our Process — Acorn Wealth Management Group</t>
  </si>
  <si>
    <t>ACORN WEALTH MANAGEMENT GROUP LIMITED overview - Find and update company information - GOV.UK</t>
  </si>
  <si>
    <t>Tindle Wealth Management Limited</t>
  </si>
  <si>
    <t>https://www.tindlewealth.com/</t>
  </si>
  <si>
    <t>Duchy Private Office LLP</t>
  </si>
  <si>
    <t>Hoxton Capital Management (UK) Ltd</t>
  </si>
  <si>
    <t>https://www.hoxtonwealthglobal.co.uk/</t>
  </si>
  <si>
    <t>CMIS Independent Financial Advisors Limited</t>
  </si>
  <si>
    <t>https://www.cmisifa.co.uk/</t>
  </si>
  <si>
    <t>The Wealth Harbour Limited</t>
  </si>
  <si>
    <t>www.wealthharbour.co.uk</t>
  </si>
  <si>
    <t>Autonomy Wealth Limited</t>
  </si>
  <si>
    <t>www.autonomywealth.com</t>
  </si>
  <si>
    <t>Holistic Financial Advice Limited</t>
  </si>
  <si>
    <t>https://www.blueskymortgages.co.uk/</t>
  </si>
  <si>
    <t>Global WealthMAP Ltd</t>
  </si>
  <si>
    <t>https://www.globalwealthmap.com/</t>
  </si>
  <si>
    <t>The Path Financial Limited</t>
  </si>
  <si>
    <t>https://www.thepath.co.uk/</t>
  </si>
  <si>
    <t>MFM Investment Ltd</t>
  </si>
  <si>
    <t>www.moneyfarm.com</t>
  </si>
  <si>
    <t xml:space="preserve">Removed due to different model they employ </t>
  </si>
  <si>
    <t>Our Service | Moneyfarm</t>
  </si>
  <si>
    <t>MFM INVESTMENT LTD filing history - Find and update company information - GOV.UK</t>
  </si>
  <si>
    <t>John Timoney</t>
  </si>
  <si>
    <t>https://www.thinqviser.com/</t>
  </si>
  <si>
    <t>Platinum Financial Consulting Limited</t>
  </si>
  <si>
    <t>Throgmorton Capital Management Limited</t>
  </si>
  <si>
    <t>https://www.throgmortoncm.co.uk/</t>
  </si>
  <si>
    <t>Objective Wealth Ltd</t>
  </si>
  <si>
    <t>Ethical Investments (SW) Ltd</t>
  </si>
  <si>
    <t>https://www.ethicalinvestments-sw.co.uk/</t>
  </si>
  <si>
    <t>Caledonian Financial Management Limited</t>
  </si>
  <si>
    <t>https://www.caledonianfm.co.uk/</t>
  </si>
  <si>
    <t>Wensons Financial Ltd</t>
  </si>
  <si>
    <t>https://www.wensonsfinancial.com/</t>
  </si>
  <si>
    <t>IFT Wealth Management Ltd</t>
  </si>
  <si>
    <t>https://www.iftwm.com/</t>
  </si>
  <si>
    <t>Case Financial Consulting Limited</t>
  </si>
  <si>
    <t>Daintree Wealth Management Limited</t>
  </si>
  <si>
    <t>Watermark Wealth Management Limited</t>
  </si>
  <si>
    <t>https://www.wwm.ltd/</t>
  </si>
  <si>
    <t>DMA Moneybetter LTD</t>
  </si>
  <si>
    <t>www.dma.world</t>
  </si>
  <si>
    <t>Absolute Sense Independent Financial Advisers Limited</t>
  </si>
  <si>
    <t>https://www.absolutesense.co.uk/</t>
  </si>
  <si>
    <t>PMN Financial Management LLP</t>
  </si>
  <si>
    <t>Cairn Financial Management Limited</t>
  </si>
  <si>
    <t>https://www.cairnfm.co.uk/</t>
  </si>
  <si>
    <t>Welrex Ltd</t>
  </si>
  <si>
    <t>www.welrex.com</t>
  </si>
  <si>
    <t>SM Solutions Ltd.</t>
  </si>
  <si>
    <t>LIA Wealth Advisers Limited</t>
  </si>
  <si>
    <t>https://www.liawealthadvisers.co.uk/</t>
  </si>
  <si>
    <t>Odyssey Financial Planning Ltd</t>
  </si>
  <si>
    <t>www.o-fp.co.uk</t>
  </si>
  <si>
    <t>Moneo Wealth Management Ltd</t>
  </si>
  <si>
    <t>www.moneo-ifa.co.uk</t>
  </si>
  <si>
    <t>minimum advice fee indicated</t>
  </si>
  <si>
    <t>Our Services — Moneo Wealth Management</t>
  </si>
  <si>
    <t>MONEO WEALTH MANAGEMENT LTD filing history - Find and update company information - GOV.UK</t>
  </si>
  <si>
    <t>Stewart Lyon Limited</t>
  </si>
  <si>
    <t>Lifestyle Financial Services (Droitwich) Limited</t>
  </si>
  <si>
    <t>https://www.lifestylefs.co.uk/</t>
  </si>
  <si>
    <t>PUZZLE FINANCIAL SOLUTIONS LLP</t>
  </si>
  <si>
    <t>https://www.puzzlefs.co.uk/</t>
  </si>
  <si>
    <t>Fenshaw Independent Financial Advisers LLP</t>
  </si>
  <si>
    <t>https://www.fenshaw-ifa.com/</t>
  </si>
  <si>
    <t>UK Investment Solutions Ltd</t>
  </si>
  <si>
    <t>http://www.mhwifa.co.uk</t>
  </si>
  <si>
    <t>Name changed to MHW</t>
  </si>
  <si>
    <t>Holistic Wealth Management Limited</t>
  </si>
  <si>
    <t>Andrew Lucas Wealth Management Ltd</t>
  </si>
  <si>
    <t>Paul Young Independent Financial Advisors LLP</t>
  </si>
  <si>
    <t>https://www.paulyoungifa.co.uk/</t>
  </si>
  <si>
    <t>Deen Financial Solutions Ltd</t>
  </si>
  <si>
    <t>https://www.deenfinancialsolutions.com/</t>
  </si>
  <si>
    <t>CS Managers Ltd</t>
  </si>
  <si>
    <t>https://www.csmanagers.com/</t>
  </si>
  <si>
    <t>Hedgley Financial Services Ltd</t>
  </si>
  <si>
    <t>Bowes Financial Services Ltd</t>
  </si>
  <si>
    <t>www.bowesfs.co.uk</t>
  </si>
  <si>
    <t>JDL Wealth Management Limited</t>
  </si>
  <si>
    <t>https://www.jdlwealth.co.uk/</t>
  </si>
  <si>
    <t>BLH Financial Services Limited</t>
  </si>
  <si>
    <t>Premier Clients (Swansea) Limited</t>
  </si>
  <si>
    <t>www.premierclients.co.uk</t>
  </si>
  <si>
    <t>Anculo Ltd</t>
  </si>
  <si>
    <t>https://www.anculo.co.uk/</t>
  </si>
  <si>
    <t>Lifestyle Pensions and Investments Ltd</t>
  </si>
  <si>
    <t>Lloyd Vine Limited</t>
  </si>
  <si>
    <t>www.lloydvine.co.uk</t>
  </si>
  <si>
    <t>WealthTek LLP</t>
  </si>
  <si>
    <t>BEESURE LTD</t>
  </si>
  <si>
    <t>www.bee-sure.co.uk</t>
  </si>
  <si>
    <t>Godiva Wealth Management Limited</t>
  </si>
  <si>
    <t>Elementary Limited</t>
  </si>
  <si>
    <t>https://www.elementaryinvestments.co.uk/</t>
  </si>
  <si>
    <t>Jane Newman Financial Planning Ltd</t>
  </si>
  <si>
    <t>Millbank Financial Solutions Limited</t>
  </si>
  <si>
    <t>www.millbankfs.co.uk</t>
  </si>
  <si>
    <t>Surrey Wealth LTD</t>
  </si>
  <si>
    <t>https://www.surreywealth.co.uk/</t>
  </si>
  <si>
    <t>PlanHappy Investment Management Limited</t>
  </si>
  <si>
    <t>https://www.planhappy.co.uk/</t>
  </si>
  <si>
    <t>Comet Wealth Ltd</t>
  </si>
  <si>
    <t>https://www.cometwealth.uk/</t>
  </si>
  <si>
    <t>Vanderpant Financial Planning (New Malden) Ltd.</t>
  </si>
  <si>
    <t>William Braddock LLP</t>
  </si>
  <si>
    <t>Frazer James Ltd</t>
  </si>
  <si>
    <t>www.frazerjames.co.uk</t>
  </si>
  <si>
    <t>TRF Limited</t>
  </si>
  <si>
    <t>www.optionswealthadvice.co.uk</t>
  </si>
  <si>
    <t>Life Bridging and Commercial Solutions Limited</t>
  </si>
  <si>
    <t>https://www.lifefs.com/</t>
  </si>
  <si>
    <t>Dartington Financials Limited</t>
  </si>
  <si>
    <t>TPIO Limited</t>
  </si>
  <si>
    <t>Fruition Financial Services Ltd</t>
  </si>
  <si>
    <t>https://www.fruitionfs.co.uk/</t>
  </si>
  <si>
    <t>Fortress Financial Services Limited</t>
  </si>
  <si>
    <t>https://www.fortressfinancial.co.uk/</t>
  </si>
  <si>
    <t>ValidPath Financial Limited</t>
  </si>
  <si>
    <t>https://validpath.co.uk</t>
  </si>
  <si>
    <t>Hayman Watkin Davies Ltd</t>
  </si>
  <si>
    <t>http://www.hwdfinancial.co.uk/</t>
  </si>
  <si>
    <t>N2 ASSET MANAGEMENT LIMITED</t>
  </si>
  <si>
    <t>https://www.n2-am.com/</t>
  </si>
  <si>
    <t>Dharmea Financial Planning Ltd</t>
  </si>
  <si>
    <t>https://www.dharmeafp.co.uk/</t>
  </si>
  <si>
    <t>E &amp; S Financial Planning Ltd</t>
  </si>
  <si>
    <t>Lathe &amp; Co Wealth Advisers Ltd</t>
  </si>
  <si>
    <t>www.latheandco.co.uk</t>
  </si>
  <si>
    <t>Forbes Wealth Ltd</t>
  </si>
  <si>
    <t>https://www.spentwell.co.uk/</t>
  </si>
  <si>
    <t>Sunrise Independent Financial Advisers Limited</t>
  </si>
  <si>
    <t>www.sunrise-ifa.co.uk</t>
  </si>
  <si>
    <t>PDT Financial Services Ltd</t>
  </si>
  <si>
    <t>Advice Wise Ltd</t>
  </si>
  <si>
    <t>www.advicewise.com</t>
  </si>
  <si>
    <t>Legal and General Financial Advice Limited</t>
  </si>
  <si>
    <t>www.legalandgeneral.com/contact-us/</t>
  </si>
  <si>
    <t>Reeves Independent Limited</t>
  </si>
  <si>
    <t>www.reevesifa.com</t>
  </si>
  <si>
    <t>Cantium Wealth Management Limited</t>
  </si>
  <si>
    <t>https://www.cantiumwm.co.uk/</t>
  </si>
  <si>
    <t>Dartington Wealth Management Limited</t>
  </si>
  <si>
    <t>https://www.dartingtonwealth.co.uk/</t>
  </si>
  <si>
    <t>Our Services &amp; Fees - Dartington Wealth Management</t>
  </si>
  <si>
    <t>DARTINGTON WEALTH MANAGEMENT LIMITED filing history - Find and update company information - GOV.UK</t>
  </si>
  <si>
    <t>Assured Pensions &amp; Investments Ltd</t>
  </si>
  <si>
    <t>MJS Financial Ltd</t>
  </si>
  <si>
    <t>https://www.mjsfinancialmanagement.co.uk/</t>
  </si>
  <si>
    <t>Meridan Pension Services Limited</t>
  </si>
  <si>
    <t>Howlett Reid Wealth Management</t>
  </si>
  <si>
    <t>https://www.hrh-ifa.co.uk/</t>
  </si>
  <si>
    <t>Headway Wealth ltd</t>
  </si>
  <si>
    <t>https://www.headwaywealth.com/</t>
  </si>
  <si>
    <t>Vital Financial Planning Ltd</t>
  </si>
  <si>
    <t>www.vitalfp.co.uk</t>
  </si>
  <si>
    <t>Key Financial Planning Ltd</t>
  </si>
  <si>
    <t>www.Key-fp.co.uk</t>
  </si>
  <si>
    <t>Kendar Advisors Ltd</t>
  </si>
  <si>
    <t>http://www.kendaradvisors.com/</t>
  </si>
  <si>
    <t>Rosewood Wealth Management Ltd</t>
  </si>
  <si>
    <t>www.rosewoodwealth.co.uk</t>
  </si>
  <si>
    <t>Firmus Wealth Management Limited</t>
  </si>
  <si>
    <t>Dragon Financial Planning Ltd</t>
  </si>
  <si>
    <t>www.dragonfinancialplanning.co.uk</t>
  </si>
  <si>
    <t>Daniel Geach Ltd</t>
  </si>
  <si>
    <t>https://www.dmgfinancial.co.uk/</t>
  </si>
  <si>
    <t>McWilliam IFS Ltd</t>
  </si>
  <si>
    <t>Apex Wealth Management Limited</t>
  </si>
  <si>
    <t>www.apexwm.co.uk</t>
  </si>
  <si>
    <t>Withycombe Financial Services Limited</t>
  </si>
  <si>
    <t>www.wfs. wales</t>
  </si>
  <si>
    <t>Asset Intelligence Portfolio Management Limited</t>
  </si>
  <si>
    <t>www.asset-intelligence.com</t>
  </si>
  <si>
    <t>Veracity Financial Planning Ltd</t>
  </si>
  <si>
    <t>www.veracityfp.co.uk</t>
  </si>
  <si>
    <t>Pension &amp; Investment Advice Fees Nottingham | Veracity Financial Planning</t>
  </si>
  <si>
    <t>VERACITY FINANCIAL PLANNING LTD filing history - Find and update company information - GOV.UK</t>
  </si>
  <si>
    <t>Jenny Lomas</t>
  </si>
  <si>
    <t>Trilogy Financial Planning Limited</t>
  </si>
  <si>
    <t>https://www.trilogyfp.co.uk/</t>
  </si>
  <si>
    <t>Aspen Wealth Management LLP</t>
  </si>
  <si>
    <t>Financial Framework Wealth &amp; Estate Planning Limited</t>
  </si>
  <si>
    <t>https://www.financialframework.co.uk/</t>
  </si>
  <si>
    <t>Ben Thorpe Financial Services Limited</t>
  </si>
  <si>
    <t>https://www.otwm.co.uk/</t>
  </si>
  <si>
    <t>Blake and Day Financial Planning Limited</t>
  </si>
  <si>
    <t>Causeway Financial Management Ltd</t>
  </si>
  <si>
    <t>www.causewayfinancial.co.uk</t>
  </si>
  <si>
    <t>Raeburn Christie Clark &amp; Wallace LLP</t>
  </si>
  <si>
    <t>www.raeburns.co.uk</t>
  </si>
  <si>
    <t>FSS Wealth &amp; Pensions Ltd</t>
  </si>
  <si>
    <t>https://www.fsswap.co.uk/</t>
  </si>
  <si>
    <t>BML Financial Solutions Limited</t>
  </si>
  <si>
    <t>https://www.bmlfs.co.uk/</t>
  </si>
  <si>
    <t>Haven Global Strategies Limited</t>
  </si>
  <si>
    <t>www.havenfinancialplanning.co.uk</t>
  </si>
  <si>
    <t>Financial Connections Wealth Management Ltd</t>
  </si>
  <si>
    <t>Halliday Financial Guidance Limited</t>
  </si>
  <si>
    <t>https://www.hfgni.co.uk/</t>
  </si>
  <si>
    <t>Mackintosh Beardsley Wealth Management Limited</t>
  </si>
  <si>
    <t>Pension Potential Limited</t>
  </si>
  <si>
    <t>www.pensionpotential.co.uk</t>
  </si>
  <si>
    <t>No ongoing, the offer only pension advice</t>
  </si>
  <si>
    <t>Pension Potential | What is advice?</t>
  </si>
  <si>
    <t>Inhouse product with the parent company- Connarcord</t>
  </si>
  <si>
    <t>PENSION POTENTIAL LIMITED filing history - Find and update company information - GOV.UK</t>
  </si>
  <si>
    <t>One2one Financial Advice Limited</t>
  </si>
  <si>
    <t>https://www.one2onefinancialadvice.co.uk/</t>
  </si>
  <si>
    <t>Manning Gee Investments Limited</t>
  </si>
  <si>
    <t>www.mgi-ifa.co.uk</t>
  </si>
  <si>
    <t>Windsor Wealth Management Limited</t>
  </si>
  <si>
    <t>Mackenzie Financial Planning Ltd</t>
  </si>
  <si>
    <t>https://www.mackenzie-fp.co.uk/</t>
  </si>
  <si>
    <t>Phoenix Financial Advisers Limited</t>
  </si>
  <si>
    <t>Imperial Independent Mortgage Services Ltd</t>
  </si>
  <si>
    <t>https://www.imperialfinancial.co.uk/</t>
  </si>
  <si>
    <t>Nucleus Wealth Planning Limited</t>
  </si>
  <si>
    <t>https://www.nucleuswealthplanning.co.uk/</t>
  </si>
  <si>
    <t>CS Wealth Consultancy Limited</t>
  </si>
  <si>
    <t>https://www.cswealth.co.uk/</t>
  </si>
  <si>
    <t>Caroline Anderson IFA LTD</t>
  </si>
  <si>
    <t>De Luca West Financial Planning Ltd</t>
  </si>
  <si>
    <t>www.delucawest.co.uk</t>
  </si>
  <si>
    <t>Christopher J Jones Wealth Management Ltd</t>
  </si>
  <si>
    <t>https://www.cjjwml.com/</t>
  </si>
  <si>
    <t>Rosart Holdings Limited</t>
  </si>
  <si>
    <t>www.rosart.co.uk</t>
  </si>
  <si>
    <t>Stratton Wealth Management Limited</t>
  </si>
  <si>
    <t>https://www.strattonwm.co.uk/</t>
  </si>
  <si>
    <t>Professional Financial Planning Ltd.</t>
  </si>
  <si>
    <t>Butcher &amp; Moody Financial Services Ltd</t>
  </si>
  <si>
    <t>https://www.butchermoody.com/</t>
  </si>
  <si>
    <t>Castle Financial Services (South East) Ltd</t>
  </si>
  <si>
    <t>https://www.castlefs.co.uk/</t>
  </si>
  <si>
    <t>Paul Russell Financial Services Ltd</t>
  </si>
  <si>
    <t>www.paulrussellfinancialservices.com</t>
  </si>
  <si>
    <t>Castra Financial limited</t>
  </si>
  <si>
    <t>https://www.castra.uk/</t>
  </si>
  <si>
    <t>Shaun Keir Watson</t>
  </si>
  <si>
    <t>CIRCA5000 LTD</t>
  </si>
  <si>
    <t>www.circa 5000 .com</t>
  </si>
  <si>
    <t>Akorn Financial Advice Limited</t>
  </si>
  <si>
    <t>Bright Cube Money Ltd</t>
  </si>
  <si>
    <t>www.brightcubemoney.com</t>
  </si>
  <si>
    <t>https://www.fca.org.uk/publication/market-studies/ms15-2-3.pdf</t>
  </si>
  <si>
    <t>Crieff Financial &amp; Mortgage Centre Limited</t>
  </si>
  <si>
    <t>https://www.cpamc.co.uk/</t>
  </si>
  <si>
    <t>B-Advised Ltd</t>
  </si>
  <si>
    <t>www.b-advised.co.uk</t>
  </si>
  <si>
    <t>Starck Uberoi Wealth Ltd</t>
  </si>
  <si>
    <t>https://www.suwealth.co.uk/</t>
  </si>
  <si>
    <t>Weldons Wealth Management Ltd</t>
  </si>
  <si>
    <t>https://www.weldons.co.uk/</t>
  </si>
  <si>
    <t>P J Watts Independent Financial Adviser Ltd</t>
  </si>
  <si>
    <t>https://www.kwlwealth.com/</t>
  </si>
  <si>
    <t>Severnside Financial Planning Ltd</t>
  </si>
  <si>
    <t>www.severnsidefp.co.uk</t>
  </si>
  <si>
    <t>Hundle &amp; Partners Limited</t>
  </si>
  <si>
    <t>www.hundle.co</t>
  </si>
  <si>
    <t>Peter Rooney</t>
  </si>
  <si>
    <t>Xentum Limited</t>
  </si>
  <si>
    <t>Tallow Financial Planning Limited</t>
  </si>
  <si>
    <t>https://www.tallowfp.com/</t>
  </si>
  <si>
    <t>Justin Heaton Limited</t>
  </si>
  <si>
    <t>Bosworth Wealth Management Ltd</t>
  </si>
  <si>
    <t>www.bosworthwm.co.uk</t>
  </si>
  <si>
    <t>Pensions &amp; Investments - Bosworth Wealth Management</t>
  </si>
  <si>
    <t>BOSWORTH WEALTH MANAGEMENT LIMITED overview - Find and update company information - GOV.UK</t>
  </si>
  <si>
    <t>RMS Wealth Management Limited</t>
  </si>
  <si>
    <t>Premier Wealth Solutions Ltd</t>
  </si>
  <si>
    <t>ProPlan Financial Advice Limited</t>
  </si>
  <si>
    <t>www.proplanfa.co.uk</t>
  </si>
  <si>
    <t>Consequential Planning Limited</t>
  </si>
  <si>
    <t>https://www.cnsq.co.uk/</t>
  </si>
  <si>
    <t>Ian Gordon Financial Services (Scotland) LTD</t>
  </si>
  <si>
    <t>A W Financial Services Limited</t>
  </si>
  <si>
    <t>MIWORLD WEALTH MANAGEMENT LIMITED</t>
  </si>
  <si>
    <t>https://www.miworldwm.com/</t>
  </si>
  <si>
    <t>Simon Potter Investments Limited</t>
  </si>
  <si>
    <t>Lytton Financial Limited</t>
  </si>
  <si>
    <t>GK Wealth Ltd</t>
  </si>
  <si>
    <t>About | www.gkwealth.co.uk</t>
  </si>
  <si>
    <t>Cervello Financial Planning Limited</t>
  </si>
  <si>
    <t>https://www.cervellofp.co.uk/</t>
  </si>
  <si>
    <t>Pricing – Cervello FInancial Planning</t>
  </si>
  <si>
    <t>https://find-and-update.company-information.service.gov.uk/company/07571920/filing-history</t>
  </si>
  <si>
    <t>Amulet Private Office Limited</t>
  </si>
  <si>
    <t>Topstone Capital Limited</t>
  </si>
  <si>
    <t>www.topstonecap.com</t>
  </si>
  <si>
    <t>Cooper Brewer Ltd</t>
  </si>
  <si>
    <t>Cala Investments Limited</t>
  </si>
  <si>
    <t>https://www.calainvestments.co.uk/</t>
  </si>
  <si>
    <t>MIT Fiscal Ltd</t>
  </si>
  <si>
    <t>https://www.mitfiscal.co.uk/</t>
  </si>
  <si>
    <t>Iridium Corporate Finance Limited</t>
  </si>
  <si>
    <t>https://www.iridiumcf.com/</t>
  </si>
  <si>
    <t>Darryl Martin Investments Limited</t>
  </si>
  <si>
    <t>Oak Four Limited</t>
  </si>
  <si>
    <t>https://www.oakfour.co.uk/</t>
  </si>
  <si>
    <t>Pricing | Oak Four</t>
  </si>
  <si>
    <t>OAK FOUR LIMITED filing history - Find and update company information - GOV.UK</t>
  </si>
  <si>
    <t>Barker Financial Associates</t>
  </si>
  <si>
    <t>Tony Walker Financial Planning Services Limited</t>
  </si>
  <si>
    <t>www.financialadvisorlancaster.co.uk</t>
  </si>
  <si>
    <t>Universe Financial Advice Ltd</t>
  </si>
  <si>
    <t>https://www.universefa.co.uk/</t>
  </si>
  <si>
    <t>Bowden Financial Consultancy Ltd</t>
  </si>
  <si>
    <t>Andrew Reid</t>
  </si>
  <si>
    <t>Framling Wealth Ltd</t>
  </si>
  <si>
    <t>https://www.framlingwealth.co.uk/</t>
  </si>
  <si>
    <t>Donna Malone Financial Advice Limited</t>
  </si>
  <si>
    <t>https://www.donnamalone.co.uk/</t>
  </si>
  <si>
    <t>Surrey Hills Financial Management Limited</t>
  </si>
  <si>
    <t>https://www.surreyhillsfm.co.uk/</t>
  </si>
  <si>
    <t>Wealthfusion Limited</t>
  </si>
  <si>
    <t>https://www.wealthfusion.co.uk/</t>
  </si>
  <si>
    <t>Thanks Wealth Planning Limited</t>
  </si>
  <si>
    <t>www.thankswp.com</t>
  </si>
  <si>
    <t>PRICING | Thanks WP</t>
  </si>
  <si>
    <t>THANKS WEALTH PLANNING LTD filing history - Find and update company information - GOV.UK</t>
  </si>
  <si>
    <t>Bluesky Financial Planners Limited</t>
  </si>
  <si>
    <t>www.blueskyifas.co.uk</t>
  </si>
  <si>
    <t>Millennial Wealth Ltd</t>
  </si>
  <si>
    <t>https://www.millennial-wm.co.uk/</t>
  </si>
  <si>
    <t>John Christopher Kinch</t>
  </si>
  <si>
    <t>M B Financial Planning Limited</t>
  </si>
  <si>
    <t>https://www.mbfp.co.uk/</t>
  </si>
  <si>
    <t>WKM Wealth Ltd</t>
  </si>
  <si>
    <t>www.wkmwealth.co.uk</t>
  </si>
  <si>
    <t>Lloyds Bank PLC</t>
  </si>
  <si>
    <t>lloydsbank.com</t>
  </si>
  <si>
    <t>With Shroders. If ongoing advice is taking then it’s the 0.65% all in</t>
  </si>
  <si>
    <t>Pricing | Wealth management | Lloyds Bank</t>
  </si>
  <si>
    <t>UCAP Asset Management (UK) Ltd</t>
  </si>
  <si>
    <t>Wealth Planning - UCAP</t>
  </si>
  <si>
    <t>Acumen Pensions and Investments Limited</t>
  </si>
  <si>
    <t>https://www.acumenpensionsandinvestments.co.uk/</t>
  </si>
  <si>
    <t>Aimee Financial Limited</t>
  </si>
  <si>
    <t>https://www.7fp.co.uk/</t>
  </si>
  <si>
    <t>Atkinson Financial Services Limited</t>
  </si>
  <si>
    <t>https://www.atkinsonfs.co.uk/</t>
  </si>
  <si>
    <t>Sage Roxborough Limited</t>
  </si>
  <si>
    <t>https://www.roxboro.co.uk/</t>
  </si>
  <si>
    <t>pricing Pricing Pricing - Roxboro</t>
  </si>
  <si>
    <t>SAGE ROXBOROUGH LIMITED filing history - Find and update company information - GOV.UK</t>
  </si>
  <si>
    <t>Campbell Financial Services Ltd</t>
  </si>
  <si>
    <t>https://www.campbellfs.com/</t>
  </si>
  <si>
    <t>Cortex Wealth Management Ltd</t>
  </si>
  <si>
    <t>https://www.cortexwm.com/</t>
  </si>
  <si>
    <t>Your Future Your Money Limited</t>
  </si>
  <si>
    <t>https://www.yfym.co.uk/</t>
  </si>
  <si>
    <t>Goldstraw Associates Limited</t>
  </si>
  <si>
    <t>https://www.21stc.co.uk/</t>
  </si>
  <si>
    <t>FOREST FINANCIAL PLANNING LIMITED</t>
  </si>
  <si>
    <t>forestfp.co.uk</t>
  </si>
  <si>
    <t>New World Financial Group Ltd</t>
  </si>
  <si>
    <t>https://www.newworldfg.com/</t>
  </si>
  <si>
    <t>Skinner Financial Consultancy Limited</t>
  </si>
  <si>
    <t>WHITMAN ASSET MANAGEMENT LIMITED</t>
  </si>
  <si>
    <t>https://whitman.co.uk</t>
  </si>
  <si>
    <t>Wigmore Associates Wealth Management Ltd</t>
  </si>
  <si>
    <t>Terms Of Use – Titan Wealth Solutions</t>
  </si>
  <si>
    <t xml:space="preserve">Bought by Titan </t>
  </si>
  <si>
    <t>WIGMORE ASSOCIATES WEALTH MANAGEMENT LTD filing history - Find and update company information - GOV.UK</t>
  </si>
  <si>
    <t>Portland Financial Planning Limited</t>
  </si>
  <si>
    <t>https://www.portland-fp.co.uk/</t>
  </si>
  <si>
    <t>Umbra Capital Partners LLP</t>
  </si>
  <si>
    <t>https://www.umbracapital.com/</t>
  </si>
  <si>
    <t>William Highbourne Wealth Management Limited</t>
  </si>
  <si>
    <t>https://www.williamhighbourne.com/</t>
  </si>
  <si>
    <t>Spencer Maynard W M Limited</t>
  </si>
  <si>
    <t>https://www.spencermaynardwm.co.uk/</t>
  </si>
  <si>
    <t>Odin Financial Planning Ltd</t>
  </si>
  <si>
    <t>odinfp.co.uk</t>
  </si>
  <si>
    <t>Michael McKeown Investment Planning Limited</t>
  </si>
  <si>
    <t>Greycoat Financial Services Limited</t>
  </si>
  <si>
    <t>www.money - life - balance.co.uk</t>
  </si>
  <si>
    <t>Spend Time Ltd</t>
  </si>
  <si>
    <t>Thomson Tyndall Limited</t>
  </si>
  <si>
    <t>www.thomsontyndall.com</t>
  </si>
  <si>
    <t>Alexander Wealth Management Limited</t>
  </si>
  <si>
    <t>Wieldmore Investment Management Limited</t>
  </si>
  <si>
    <t>https://www.wieldmore.com</t>
  </si>
  <si>
    <t>Pearson Solicitors and Financial Advisers Ltd</t>
  </si>
  <si>
    <t>https://www.pearsonlegal.co.uk/</t>
  </si>
  <si>
    <t>Bournebridge Financial Services Limited</t>
  </si>
  <si>
    <t>www.bournebridgefs.com</t>
  </si>
  <si>
    <t>Midas Portal Limited</t>
  </si>
  <si>
    <t>https://www.midasportal.co.uk/</t>
  </si>
  <si>
    <t>Woodside Financial Planning Ltd</t>
  </si>
  <si>
    <t>https://www.woodsidefp.co.uk/</t>
  </si>
  <si>
    <t>Edwards Associates Independent Wealth Advisers LTD</t>
  </si>
  <si>
    <t>https://www.edwardsassociates.co.uk/</t>
  </si>
  <si>
    <t>DG Financial Wealth Ltd</t>
  </si>
  <si>
    <t>Promethean Financial Consultants Limited</t>
  </si>
  <si>
    <t>www.prometheanfinancial.co.uk</t>
  </si>
  <si>
    <t>Millward Wealth Management Limited</t>
  </si>
  <si>
    <t>https://www.millwardwealth.com/</t>
  </si>
  <si>
    <t>Hannay Wealth LLP</t>
  </si>
  <si>
    <t>www.hannaywealthllp.com</t>
  </si>
  <si>
    <t>Stepping Stones Financial Solutions Limited</t>
  </si>
  <si>
    <t>Navigate IFA Ltd</t>
  </si>
  <si>
    <t>www.navigateifa.com</t>
  </si>
  <si>
    <t>Sirius Wealth Management LLP</t>
  </si>
  <si>
    <t>Westside Independent Financial Services LLP</t>
  </si>
  <si>
    <t>www.westsidellp.com</t>
  </si>
  <si>
    <t>F1rst Financial Services Ltd</t>
  </si>
  <si>
    <t>https://www.firstfinancialservices.co.uk/</t>
  </si>
  <si>
    <t>Wealthflow Group Ltd</t>
  </si>
  <si>
    <t>https://www.aabwealthflow.uk/</t>
  </si>
  <si>
    <t>Daniel Associates 1989 Ltd</t>
  </si>
  <si>
    <t>https://www.danielassociates.co.uk/</t>
  </si>
  <si>
    <t>Christopher Jones Wealth Management Ltd</t>
  </si>
  <si>
    <t>https://www.christopherjones.co.uk/</t>
  </si>
  <si>
    <t>EBCam Limited</t>
  </si>
  <si>
    <t>https://www.ebcam.co.uk/</t>
  </si>
  <si>
    <t>DW 2020 Limited</t>
  </si>
  <si>
    <t>https://www.doddwealthcare.co.uk/</t>
  </si>
  <si>
    <t>JB Financial Advice Ltd</t>
  </si>
  <si>
    <t>https://www.jbfinancialadviceltd.co.uk/</t>
  </si>
  <si>
    <t>Clarity Independent Wealth Management Limited</t>
  </si>
  <si>
    <t>Collaborative Wealth Limited</t>
  </si>
  <si>
    <t>www.wealth.coop</t>
  </si>
  <si>
    <t>EST Wealth Ltd</t>
  </si>
  <si>
    <t>www.est-group.co.uk</t>
  </si>
  <si>
    <t>Medical Wealthcare Planning Limited</t>
  </si>
  <si>
    <t>Chase de Vere Independent Financial Advisers limited</t>
  </si>
  <si>
    <t>http://www.chasedevere.co.uk</t>
  </si>
  <si>
    <t>Big company likely integrated</t>
  </si>
  <si>
    <t>Private Client Terms of Business</t>
  </si>
  <si>
    <t>MI Charles Stanley Multi Asset Moderate A Acc- Fund Factsheet - Charles Stanley Direct</t>
  </si>
  <si>
    <t>CHASE DE VERE INDEPENDENT FINANCIAL ADVISERS LIMITED filing history - Find and update company information - GOV.UK</t>
  </si>
  <si>
    <t>Paul Forman-Cummings</t>
  </si>
  <si>
    <t>https://www.paulformanfs.co.uk/</t>
  </si>
  <si>
    <t>English Rose Financial Planning Ltd</t>
  </si>
  <si>
    <t>https://www.erfp.co.uk/</t>
  </si>
  <si>
    <t>Clifton Financial Planning Limited</t>
  </si>
  <si>
    <t>https://www.cliftonfp.co.uk/</t>
  </si>
  <si>
    <t>BBT Group Limited</t>
  </si>
  <si>
    <t>https://www.bbtgroup.co.uk/</t>
  </si>
  <si>
    <t>Aspirational Financial Planning Limited</t>
  </si>
  <si>
    <t>https://www.aspirationalfp.co.uk/</t>
  </si>
  <si>
    <t>D L Bloomer Limited</t>
  </si>
  <si>
    <t>www.chasedevere.co.uk</t>
  </si>
  <si>
    <t>David Williams Financial Solutions Limited</t>
  </si>
  <si>
    <t>Richards Financial Limited</t>
  </si>
  <si>
    <t>https://www.richardsfinancial.co.uk/</t>
  </si>
  <si>
    <t>Affinity Financial Associates Ltd</t>
  </si>
  <si>
    <t>Allonby + Partners Ltd</t>
  </si>
  <si>
    <t>www.allonbyandpartners.co.uk</t>
  </si>
  <si>
    <t>Manfield Wealth Management Limited</t>
  </si>
  <si>
    <t>https://www.manfieldwealth.co.uk/</t>
  </si>
  <si>
    <t>Mark Carroll</t>
  </si>
  <si>
    <t>Redpath Financial Planning Limited</t>
  </si>
  <si>
    <t>https://www.redpathfinancialplanning.com/</t>
  </si>
  <si>
    <t>PAF Hereford Ltd</t>
  </si>
  <si>
    <t>https://www.pafhereford.co.uk/</t>
  </si>
  <si>
    <t>Ethical Adviser(UK) Ltd</t>
  </si>
  <si>
    <t>https://www.ethicaladviser.co.uk/</t>
  </si>
  <si>
    <t>Meridiem Investment Management Limited</t>
  </si>
  <si>
    <t>www.naverainvestment.com</t>
  </si>
  <si>
    <t>Alistair Craig Financial Services Ltd</t>
  </si>
  <si>
    <t>Freedom Financial Planning Ltd</t>
  </si>
  <si>
    <t>https://www.freedom-financial.co.uk/</t>
  </si>
  <si>
    <t>56 Wealth Management Limited</t>
  </si>
  <si>
    <t>https://www.56wealth.com/</t>
  </si>
  <si>
    <t>Hartley Ross Ltd</t>
  </si>
  <si>
    <t>https://www.hartleyross.com/</t>
  </si>
  <si>
    <t>Hather Financial Services Limited</t>
  </si>
  <si>
    <t>https://www.hatherfinancial.co.uk/</t>
  </si>
  <si>
    <t>Longhurst Limited</t>
  </si>
  <si>
    <t>https://www.longhurst.co.uk/</t>
  </si>
  <si>
    <t>Gosford Financial Services Ltd</t>
  </si>
  <si>
    <t>https://www.gosfordfs.co.uk/</t>
  </si>
  <si>
    <t>Edenhurst Limited</t>
  </si>
  <si>
    <t>www.edenhurst.com</t>
  </si>
  <si>
    <t>Eclipse Adviser (Pensions &amp; Investments) Ltd</t>
  </si>
  <si>
    <t>Later Life Matters Ltd</t>
  </si>
  <si>
    <t>https://www.laterlifematters.co.uk/</t>
  </si>
  <si>
    <t>John Murphy Financial Management Limited</t>
  </si>
  <si>
    <t>Readymoney Investments Limited</t>
  </si>
  <si>
    <t>https://www.rmi-ifa.co.uk/</t>
  </si>
  <si>
    <t>Avoca Wealth Management Ltd</t>
  </si>
  <si>
    <t>https://www.avocawealth.com/</t>
  </si>
  <si>
    <t>Fairhall Investments Ltd</t>
  </si>
  <si>
    <t>Michael Edwin Harwood</t>
  </si>
  <si>
    <t>https://www.whitehallfinancialservices.co.uk/</t>
  </si>
  <si>
    <t>Artless Wealth Ltd</t>
  </si>
  <si>
    <t>www.artlesswealth.com</t>
  </si>
  <si>
    <t>Hampton Financial Services Ltd</t>
  </si>
  <si>
    <t>https://hamptonfinancial.co.uk</t>
  </si>
  <si>
    <t>B3 Wealth Management Limited</t>
  </si>
  <si>
    <t>https://www.b3wealth.co.uk/</t>
  </si>
  <si>
    <t>Money Matters (Bucks) Limited</t>
  </si>
  <si>
    <t>Fox Heritage Financial Services Limited</t>
  </si>
  <si>
    <t>www.foxheritage.co.uk</t>
  </si>
  <si>
    <t>Edmund Nigel Wallen (T/A KL &amp; EW Financial Services)</t>
  </si>
  <si>
    <t>The Wright Financial Company Ltd</t>
  </si>
  <si>
    <t>Dowgate Wealth Limited</t>
  </si>
  <si>
    <t>dowgatewealth.co.uk</t>
  </si>
  <si>
    <t>Park Lidgett Wealth Management Limited</t>
  </si>
  <si>
    <t>Semiramiss Hosseinian</t>
  </si>
  <si>
    <t>Shields Wealth Planning Ltd</t>
  </si>
  <si>
    <t>Shields Wealth Planning Ltd - General</t>
  </si>
  <si>
    <t>Michael Reed Wealth Management Limited</t>
  </si>
  <si>
    <t>https://www.michaelreedwealthmanagement.co.uk/</t>
  </si>
  <si>
    <t>Robert Sheppard</t>
  </si>
  <si>
    <t>Enigma Strategy Limited</t>
  </si>
  <si>
    <t>www.enigmastrategy.com</t>
  </si>
  <si>
    <t>Cansquared Limited</t>
  </si>
  <si>
    <t>Sixty Three Capital Ltd</t>
  </si>
  <si>
    <t>www.sixtythreecapital.com</t>
  </si>
  <si>
    <t>Interalpha Financial Planning Limited</t>
  </si>
  <si>
    <t>CSense Capital FS Ltd</t>
  </si>
  <si>
    <t>CsenseFS | Csense Financial Services</t>
  </si>
  <si>
    <t>Hesketh Financial Planning Limited</t>
  </si>
  <si>
    <t>hesketh-fp.co.uk</t>
  </si>
  <si>
    <t>D Bragg Financial Solutions Ltd</t>
  </si>
  <si>
    <t>Greenspace Sustainable Financial Planning Ltd</t>
  </si>
  <si>
    <t>https://www.greenspacesfp.com/</t>
  </si>
  <si>
    <t>New Horizon Global Advisory Ltd</t>
  </si>
  <si>
    <t>https://newhorizon - global.com/</t>
  </si>
  <si>
    <t>MB Private Office Ltd</t>
  </si>
  <si>
    <t>www.mulberrybow.com</t>
  </si>
  <si>
    <t>Saunderson House Limited</t>
  </si>
  <si>
    <t>https://www.rathbones.com/saunderson - house - part - rathbones - group - plc</t>
  </si>
  <si>
    <t>Part of Rathbones. Fee structure is bundled as Management fee</t>
  </si>
  <si>
    <t>Rathbones Private Client Brochure.PDF</t>
  </si>
  <si>
    <t>Fund centre - Rathbones Asset Management</t>
  </si>
  <si>
    <t>https://find-and-update.company-information.service.gov.uk/company/00940473/filing-history</t>
  </si>
  <si>
    <t>Financial Life Planning Limited</t>
  </si>
  <si>
    <t>www.flpsolutions.com</t>
  </si>
  <si>
    <t>Broadoak Financial Planning Ltd</t>
  </si>
  <si>
    <t>Method Asset Management Limited</t>
  </si>
  <si>
    <t>https://www.methodam.co.uk/</t>
  </si>
  <si>
    <t>Financial Options (N.E.) Limited</t>
  </si>
  <si>
    <t>Confidential Financial Planning Limited</t>
  </si>
  <si>
    <t>Logical Financial Advice Limited</t>
  </si>
  <si>
    <t>Rathbones Investment Management Limited</t>
  </si>
  <si>
    <t>www.rathbones.com</t>
  </si>
  <si>
    <t>https://find-and-update.company-information.service.gov.uk/company/01448919/filing-history</t>
  </si>
  <si>
    <t>Norman Gray</t>
  </si>
  <si>
    <t>Redland Wealth Management Group Limited</t>
  </si>
  <si>
    <t>RWC Corporate Benefits Limited</t>
  </si>
  <si>
    <t>https://www.rwcltd.co.uk/</t>
  </si>
  <si>
    <t>Ajax Wealth Management Limited</t>
  </si>
  <si>
    <t>www.ajaxwealth.co.uk</t>
  </si>
  <si>
    <t>Dermot Brannigan</t>
  </si>
  <si>
    <t>Allied Financial (W-Ton) Ltd</t>
  </si>
  <si>
    <t>BMSG Wealth Management Limited</t>
  </si>
  <si>
    <t>https://www.bmsgwealth.co.uk/</t>
  </si>
  <si>
    <t>Investec Wealth &amp; Investment Limited</t>
  </si>
  <si>
    <t>www.rathbones.com/investec - wealth - and - investment - part - of - rathbones - group</t>
  </si>
  <si>
    <t>https://find-and-update.company-information.service.gov.uk/company/02122340/filing-history</t>
  </si>
  <si>
    <t>JEM Financial Planning Ltd</t>
  </si>
  <si>
    <t>https://www.jemfinancial.co.uk/</t>
  </si>
  <si>
    <t>Virtu Financial Planning Ltd</t>
  </si>
  <si>
    <t>https://www.virtuplanning.co.uk/</t>
  </si>
  <si>
    <t>Poise Financial Planning Limited</t>
  </si>
  <si>
    <t>https://www.poisefp.co.uk/</t>
  </si>
  <si>
    <t>MAP Financial Planning Ltd</t>
  </si>
  <si>
    <t>www.mapfinancialplanning.co.uk</t>
  </si>
  <si>
    <t>Equilibrium Financial Planning LLP</t>
  </si>
  <si>
    <t>https://www.equilibrium.co.uk/</t>
  </si>
  <si>
    <t>Retail Client Agreement - May 2022.pdf</t>
  </si>
  <si>
    <t>https://markets.ft.com/data/funds/tearsheet/summary?s=GB00BYXHQX09:GBX</t>
  </si>
  <si>
    <t>https://find-and-update.company-information.service.gov.uk/company/OC316532/filing-history</t>
  </si>
  <si>
    <t>Kyle Insurance and Financial Services LLP</t>
  </si>
  <si>
    <t>https://www.kyleinsurance.co.uk/</t>
  </si>
  <si>
    <t>Better World Financial Planning Limited</t>
  </si>
  <si>
    <t>https://www.unavita.co.uk/</t>
  </si>
  <si>
    <t>Ian O'Brien Limited</t>
  </si>
  <si>
    <t>MG Asset Planning Ltd</t>
  </si>
  <si>
    <t>https://www.mgassetplanningltd.uk/</t>
  </si>
  <si>
    <t>Professional Connection (South) Limited</t>
  </si>
  <si>
    <t>SGW Wealth Management Ltd</t>
  </si>
  <si>
    <t>Butterworths Asset Management LLP</t>
  </si>
  <si>
    <t>Barnaby Cecil Financial Planning Limited</t>
  </si>
  <si>
    <t>www.barnabycecil.com</t>
  </si>
  <si>
    <t>Stover Financial Planners Ltd</t>
  </si>
  <si>
    <t>https://www.stoverfp.co.uk/</t>
  </si>
  <si>
    <t>Whiteleys Financial Management LLP</t>
  </si>
  <si>
    <t>ST PAULS FINANCIAL PLANNING LIMITED</t>
  </si>
  <si>
    <t>https://www.stpaulsfinancial.co.uk/</t>
  </si>
  <si>
    <t>Simone Grogan</t>
  </si>
  <si>
    <t>www.curzon-ifa.com</t>
  </si>
  <si>
    <t>Renaissance Financial Ltd</t>
  </si>
  <si>
    <t>https://www.renaissancefinancial.co.uk/</t>
  </si>
  <si>
    <t>Red IFA (Nottingham) Limited</t>
  </si>
  <si>
    <t>https://www.redifa.co.uk/</t>
  </si>
  <si>
    <t>Heronsgate Capital LLP</t>
  </si>
  <si>
    <t>https://www.heronsgatecapital.com</t>
  </si>
  <si>
    <t>Hammond Financial Planning Limited</t>
  </si>
  <si>
    <t>https://www.hammondfp.co.uk/</t>
  </si>
  <si>
    <t>MAP Independent Financial Services Limited</t>
  </si>
  <si>
    <t>https://www.mapifs.co.uk/</t>
  </si>
  <si>
    <t>D Scott Financial Limited</t>
  </si>
  <si>
    <t>https://www.dscottfinancial.co.uk/</t>
  </si>
  <si>
    <t>EVA Capital Management Limited</t>
  </si>
  <si>
    <t>https://www.evacapital.co.uk/</t>
  </si>
  <si>
    <t>Waypoint Corporate Finance Limited</t>
  </si>
  <si>
    <t>https://www.waypointpartners.co.uk/</t>
  </si>
  <si>
    <t>Woodward Financials Limited</t>
  </si>
  <si>
    <t>https://www.woodwardfinancials.co.uk/</t>
  </si>
  <si>
    <t>Roatan Consulting Limited</t>
  </si>
  <si>
    <t>Simply Pensions Ltd</t>
  </si>
  <si>
    <t>Blacksquare Advisory Limited</t>
  </si>
  <si>
    <t>https://www.blacksquareadvisory.com/</t>
  </si>
  <si>
    <t>Mendy &amp; Watt Financial Advisers Limited</t>
  </si>
  <si>
    <t>https://www.mendyandwattfa.co.uk/</t>
  </si>
  <si>
    <t>8point8 Capital Ltd</t>
  </si>
  <si>
    <t>www. 8 point 8 capital.com</t>
  </si>
  <si>
    <t>Advanced Investment &amp; Retirement Planning (Scotland) Ltd</t>
  </si>
  <si>
    <t>https://www.airplimited.co.uk/</t>
  </si>
  <si>
    <t>Emericks Financial Services Limited</t>
  </si>
  <si>
    <t>Consolidatemypensions.com Ltd</t>
  </si>
  <si>
    <t>https://www.stream.co/</t>
  </si>
  <si>
    <t>Entre-Wealth Limited</t>
  </si>
  <si>
    <t>https://www.entrewealth.co.uk/</t>
  </si>
  <si>
    <t>Somerset WM Limited</t>
  </si>
  <si>
    <t>https://www.somersetwm.co.uk/</t>
  </si>
  <si>
    <t>S B Financial Solutions Limited</t>
  </si>
  <si>
    <t>AFM Wealth Management Ltd</t>
  </si>
  <si>
    <t>Gresham Financial Strategies Ltd</t>
  </si>
  <si>
    <t>www.greshamfs.co.uk</t>
  </si>
  <si>
    <t>Temple Bar CFP Limited</t>
  </si>
  <si>
    <t>http://www.templebar - cfp.com/</t>
  </si>
  <si>
    <t>Arborheath Ltd</t>
  </si>
  <si>
    <t>https://www.arborheath.co.uk/</t>
  </si>
  <si>
    <t>Equilibrium Investment Management LLP</t>
  </si>
  <si>
    <t>EQUILIBRIUM INVESTMENT MANAGEMENT LLP filing history - Find and update company information - GOV.UK</t>
  </si>
  <si>
    <t>Advies Private Clients LLP</t>
  </si>
  <si>
    <t>www.advies.co.uk</t>
  </si>
  <si>
    <t>Witham Phoenix Limited</t>
  </si>
  <si>
    <t>https://www.withamphoenix.com/</t>
  </si>
  <si>
    <t>Wealthwise Financial Solutions Ltd</t>
  </si>
  <si>
    <t>https://www.wealthwisefs.co.uk/</t>
  </si>
  <si>
    <t>DOMESTIC &amp; GENERAL INSURANCE EUROPE AG</t>
  </si>
  <si>
    <t>Crawford Drake Wealth Management Limited</t>
  </si>
  <si>
    <t>Wealthway Limited</t>
  </si>
  <si>
    <t>https://www.wealthway.com/</t>
  </si>
  <si>
    <t>Zozma Ltd</t>
  </si>
  <si>
    <t>https://www.plan100.co.uk/</t>
  </si>
  <si>
    <t>London and Capital Asset Management Limited</t>
  </si>
  <si>
    <t>Santorini Financial Planning</t>
  </si>
  <si>
    <t>W1M ASSET MANAGEMENT LIMITED filing history - Find and update company information - GOV.UK</t>
  </si>
  <si>
    <t>Ashbury Financial Ltd</t>
  </si>
  <si>
    <t>https://www.ashleylawstneots.co.uk/</t>
  </si>
  <si>
    <t>A.B.M. Consultancy</t>
  </si>
  <si>
    <t>Faramond UK Limited</t>
  </si>
  <si>
    <t>Wood Kirkbride Independent Financial Advisers Limited</t>
  </si>
  <si>
    <t>https://www.woodkirkbride-ifa.com/</t>
  </si>
  <si>
    <t>Tailored Wealth &amp; Trust Management Limited</t>
  </si>
  <si>
    <t>https://www.tw-tm.co.uk/index.php</t>
  </si>
  <si>
    <t>Gowans Wealth Management Limited</t>
  </si>
  <si>
    <t>https://gowanswealth.co.uk/</t>
  </si>
  <si>
    <t>Robert Milne Financial Advisers Limited</t>
  </si>
  <si>
    <t>Canford and Castle Financial Planning Limited</t>
  </si>
  <si>
    <t>https://www.ccfp.co.uk/</t>
  </si>
  <si>
    <t>Linear Financial Management Ltd</t>
  </si>
  <si>
    <t>https://www.linearfm.com/</t>
  </si>
  <si>
    <t>Mike McGirr Financial Services Limited</t>
  </si>
  <si>
    <t>Bareham Independent Financial Advisers Limited</t>
  </si>
  <si>
    <t>barehamifa.com</t>
  </si>
  <si>
    <t>T.M. Pullen</t>
  </si>
  <si>
    <t>Ptarmigan Capital Limited</t>
  </si>
  <si>
    <t>https://ptarmigancapital.co.uk/</t>
  </si>
  <si>
    <t>Chartered Financial Solutions Limited</t>
  </si>
  <si>
    <t>Rupert Scholes</t>
  </si>
  <si>
    <t>https://www.scholesindependentsolutions.co.uk/</t>
  </si>
  <si>
    <t>First Avenue Financial Ltd</t>
  </si>
  <si>
    <t>Charterhouse Financial Limited</t>
  </si>
  <si>
    <t>https://www.charterhouse.financial/</t>
  </si>
  <si>
    <t>Tony Revans Financial Planning 2000 Limited</t>
  </si>
  <si>
    <t>https://www.tonyrevans.co.uk/</t>
  </si>
  <si>
    <t>Opulence Investment Management Limited</t>
  </si>
  <si>
    <t>https://www.o-im.co.uk/</t>
  </si>
  <si>
    <t>St. Columb Financial Services Ltd</t>
  </si>
  <si>
    <t>https://www.stcolumbfinancialservices.co.uk/</t>
  </si>
  <si>
    <t>Rockmas Capital Management Limited</t>
  </si>
  <si>
    <t>www.rfm.ltd</t>
  </si>
  <si>
    <t>Belmore Financial Planning Ltd</t>
  </si>
  <si>
    <t>https://www.belmorefp.uk/</t>
  </si>
  <si>
    <t>Hymans Robertson Personal Wealth LLP</t>
  </si>
  <si>
    <t>www.hymanspersonalwealth.com</t>
  </si>
  <si>
    <t>Independent Financial Limited</t>
  </si>
  <si>
    <t>MPFS Wealth Management Limited</t>
  </si>
  <si>
    <t>https://www.mpfswealthmanagement.co.uk/</t>
  </si>
  <si>
    <t>Insight Wealth Financial Advisers Ltd</t>
  </si>
  <si>
    <t>www.insightwealth.co.uk</t>
  </si>
  <si>
    <t>The David Hewitt Partnership Limited</t>
  </si>
  <si>
    <t>https://www.davidhewittifa.com/</t>
  </si>
  <si>
    <t>Garwood Wealth Management Limited</t>
  </si>
  <si>
    <t>https://www.garwoodwealthmanagement.co.uk/</t>
  </si>
  <si>
    <t>Corporate Financial Resources LLP</t>
  </si>
  <si>
    <t>www.corporatefinancialresources.co.uk</t>
  </si>
  <si>
    <t>Abacus Wealth Planning Ltd</t>
  </si>
  <si>
    <t>https://www.abacuswealthplanning.com/</t>
  </si>
  <si>
    <t>SC250i24071912180</t>
  </si>
  <si>
    <t>ABACUS WEALTH PLANNING LTD. filing history - Find and update company information - GOV.UK</t>
  </si>
  <si>
    <t>Sonar Financial Services Limited</t>
  </si>
  <si>
    <t>www.sonarfs.co.uk</t>
  </si>
  <si>
    <t>CSM Financial Solutions Limited</t>
  </si>
  <si>
    <t>Stiles &amp; Company Financial Services (Petersfield) Limited</t>
  </si>
  <si>
    <t>Conrad James Ltd</t>
  </si>
  <si>
    <t>https://www.conrad-james.co.uk/</t>
  </si>
  <si>
    <t>Kernow Financial Planning Ltd</t>
  </si>
  <si>
    <t>https://www.kernowfinancialplanning.co.uk/</t>
  </si>
  <si>
    <t>Stem Financial Ltd</t>
  </si>
  <si>
    <t>https://www.stemfinancial.co.uk/</t>
  </si>
  <si>
    <t>Gibbs Denley Financial Services Limited</t>
  </si>
  <si>
    <t>https://www.theprogenygroup.com/</t>
  </si>
  <si>
    <t>Kate Talbot Financial Planning Limited</t>
  </si>
  <si>
    <t>https://www.katetalbotfp.com/</t>
  </si>
  <si>
    <t>Echo Wealth Management Limited</t>
  </si>
  <si>
    <t>https://www.echowealth.co.uk/</t>
  </si>
  <si>
    <t>Think Money Management Limited</t>
  </si>
  <si>
    <t>Derek Tidy Limited</t>
  </si>
  <si>
    <t>Jamie Buchan Wealth Management Limited</t>
  </si>
  <si>
    <t>BB Wealth Limited</t>
  </si>
  <si>
    <t>Bates Independent Limited</t>
  </si>
  <si>
    <t>https://www.batesindependent.co.uk/</t>
  </si>
  <si>
    <t>Pennines IFA Limited</t>
  </si>
  <si>
    <t>https://www.penninesifa.com/</t>
  </si>
  <si>
    <t>Riverglen Financial Associates Ltd</t>
  </si>
  <si>
    <t>https://www.riverglenifa.co.uk/</t>
  </si>
  <si>
    <t>SCDD Jan 13doc.doc</t>
  </si>
  <si>
    <t>RIVERGLEN FINANCIAL ASSOCIATES LTD overview - Find and update company information - GOV.UK</t>
  </si>
  <si>
    <t>Martin Smith Independent Financial Adviser Ltd</t>
  </si>
  <si>
    <t>https://smithifa.co.uk/</t>
  </si>
  <si>
    <t>Pura Wealth Management Ltd</t>
  </si>
  <si>
    <t>Alington Ruthin Stockbrokers and Investment Management Limited</t>
  </si>
  <si>
    <t>https://www.alingtonruthin.com/</t>
  </si>
  <si>
    <t>Clear Future Financial Planners Limited</t>
  </si>
  <si>
    <t>https://www.clearfuturefp.co.uk/</t>
  </si>
  <si>
    <t>Medics Financial Services Limited</t>
  </si>
  <si>
    <t>https://www.medicswealth.com/</t>
  </si>
  <si>
    <t>Service Proposition &amp; Charges</t>
  </si>
  <si>
    <t>MEDICS FINANCIAL SERVICES LIMITED overview - Find and update company information - GOV.UK</t>
  </si>
  <si>
    <t>Lucent Financial Planning Ltd</t>
  </si>
  <si>
    <t>www.lucentfinancialplanning.co.uk</t>
  </si>
  <si>
    <t>Watchorn Financial Services Ltd</t>
  </si>
  <si>
    <t>https://www.watchornfs.co.uk/</t>
  </si>
  <si>
    <t>Purple Wealth Ltd</t>
  </si>
  <si>
    <t>www.purplewm.com</t>
  </si>
  <si>
    <t>Milligan Financial Planning Limited</t>
  </si>
  <si>
    <t>https://www.milliganfinancialplanning.co.uk/</t>
  </si>
  <si>
    <t>Martlets IFA Ltd</t>
  </si>
  <si>
    <t>https://www.martletsifa.com/</t>
  </si>
  <si>
    <t>AJN Financial Services Ltd</t>
  </si>
  <si>
    <t>Butterfly Financial Planning Limited</t>
  </si>
  <si>
    <t>https://www.butterflyfinancialplanning.co.uk/</t>
  </si>
  <si>
    <t>Lexden Wealth Management Limited</t>
  </si>
  <si>
    <t>Lynch Wealth Management Ltd</t>
  </si>
  <si>
    <t>https://www.lynchwealthmanagement.co.uk/</t>
  </si>
  <si>
    <t>Burrows and Foy LLP</t>
  </si>
  <si>
    <t>Windsor Financial Planning Limited</t>
  </si>
  <si>
    <t>www.windsorfinancialplanning.co.uk</t>
  </si>
  <si>
    <t>Broadstreet Wealth Management Limited</t>
  </si>
  <si>
    <t>www.broadstreetwealth.co.uk</t>
  </si>
  <si>
    <t>Newbold Wealth Management Limited</t>
  </si>
  <si>
    <t>newboldwealth.co.uk</t>
  </si>
  <si>
    <t>Michael Anthony Coll</t>
  </si>
  <si>
    <t>Money Principles Ltd</t>
  </si>
  <si>
    <t>https://www.moneyprinciples.co.uk/</t>
  </si>
  <si>
    <t>Compendium Wealth LLP</t>
  </si>
  <si>
    <t>The Rock-Financial Management Companies Ltd</t>
  </si>
  <si>
    <t>therockfmc.co.uk</t>
  </si>
  <si>
    <t>Towers Whitehead Wealth Management Limited</t>
  </si>
  <si>
    <t>Morton-Wilson Associates Limited</t>
  </si>
  <si>
    <t>https://www.mwalimited.com/</t>
  </si>
  <si>
    <t>Services | Morton Wilson Associ</t>
  </si>
  <si>
    <t>MORTON-WILSON ASSOCIATES LIMITED filing history - Find and update company information - GOV.UK</t>
  </si>
  <si>
    <t>Paul Pugsley</t>
  </si>
  <si>
    <t>AMS Wealth Management Ltd</t>
  </si>
  <si>
    <t>https://www.amswm.co.uk/</t>
  </si>
  <si>
    <t>Mallory Wealth Limited</t>
  </si>
  <si>
    <t>www.mallorywealth.com</t>
  </si>
  <si>
    <t>AKC Independent Financial Advisers Ltd</t>
  </si>
  <si>
    <t>https://www.akcifa.com/</t>
  </si>
  <si>
    <t>Blaxsell Financial Planning Ltd</t>
  </si>
  <si>
    <t>https://www.blaxsellfinancial.co.uk/</t>
  </si>
  <si>
    <t>Two10 Investment Services Limited</t>
  </si>
  <si>
    <t>two 10 investmentservices.co.uk</t>
  </si>
  <si>
    <t>Tuckers Legal &amp; Financial Services Ltd</t>
  </si>
  <si>
    <t>Ascend Wealth Management Ltd</t>
  </si>
  <si>
    <t>www.ascendwealth.co.uk</t>
  </si>
  <si>
    <t>SGM Financial Management Ltd</t>
  </si>
  <si>
    <t>https://www.sgmfinancialmanagement.co.uk/</t>
  </si>
  <si>
    <t>RPG CROUCH CHAPMAN FINANCIAL SERVICES LIMITED</t>
  </si>
  <si>
    <t>www.rpgcc.co.uk</t>
  </si>
  <si>
    <t>Neligan Financial Limited</t>
  </si>
  <si>
    <t>https://www.neliganfinancial.co.uk/</t>
  </si>
  <si>
    <t>Bedford Wealth Ltd</t>
  </si>
  <si>
    <t>Halcyon Wealth UK Ltd</t>
  </si>
  <si>
    <t>https://www.halcyonwealth.co.uk/</t>
  </si>
  <si>
    <t>Rushton Ricard LLP</t>
  </si>
  <si>
    <t>Pension Advisers UK Limited</t>
  </si>
  <si>
    <t>Framtiden Wealth Ltd</t>
  </si>
  <si>
    <t>www.framtidenwealth.co.uk</t>
  </si>
  <si>
    <t>Red Star Wealth Management Limited</t>
  </si>
  <si>
    <t>https://www.redstarwealth.co.uk/</t>
  </si>
  <si>
    <t>Ludice Wealth Management Ltd</t>
  </si>
  <si>
    <t>www.ludice.co.uk</t>
  </si>
  <si>
    <t>Gem &amp; Co Financial Services Limited</t>
  </si>
  <si>
    <t>https://www.gemfs.co.uk/</t>
  </si>
  <si>
    <t>St. James's Place Wealth Management Plc</t>
  </si>
  <si>
    <t>St. James's Place | One to One Financial Advice</t>
  </si>
  <si>
    <t>SJPCAT15600_DS_B5_Annual_Charges_Document_RGB_Online.pdf</t>
  </si>
  <si>
    <t>https://find-and-update.company-information.service.gov.uk/company/04113955/filing-history</t>
  </si>
  <si>
    <t>Inglis Financial Advice Ltd</t>
  </si>
  <si>
    <t>https://www.ifascotland.co.uk/</t>
  </si>
  <si>
    <t>MPI Financial Advice Ltd</t>
  </si>
  <si>
    <t>https://www.mpifinancial.co.uk/</t>
  </si>
  <si>
    <t>iPensions Wealth Limited</t>
  </si>
  <si>
    <t>https://www.ipensionswealth.co.uk/</t>
  </si>
  <si>
    <t>Invicta Financial Solutions Ltd</t>
  </si>
  <si>
    <t>https://www.invictafs.co.uk/</t>
  </si>
  <si>
    <t>Coast to Coast Financial Planning Services Limited</t>
  </si>
  <si>
    <t>https://www.cornwallfinancialadviser.co.uk/</t>
  </si>
  <si>
    <t>iWealth Financial Ltd</t>
  </si>
  <si>
    <t>www.iwealth. net</t>
  </si>
  <si>
    <t>Affinity Group Financial Services Limited</t>
  </si>
  <si>
    <t>https://www.affinitygfs.com/</t>
  </si>
  <si>
    <t>Pura Vida Financial Planning Ltd</t>
  </si>
  <si>
    <t>https://www.puravidafp.com/</t>
  </si>
  <si>
    <t>Buchanan &amp; Company Financial Services Limited</t>
  </si>
  <si>
    <t>https://www.buchanan.ltd/</t>
  </si>
  <si>
    <t>Newark Wealth Ltd</t>
  </si>
  <si>
    <t>https://www.newarkwealth.co.uk/</t>
  </si>
  <si>
    <t>Coleshill Mortgage Services Limited</t>
  </si>
  <si>
    <t>www.coleshillmortgages.co.uk</t>
  </si>
  <si>
    <t>Sustainable Wealth Management Ltd</t>
  </si>
  <si>
    <t>Rothschild &amp; Co Equity Markets Solutions Limited</t>
  </si>
  <si>
    <t>Altior Asset Management Ltd</t>
  </si>
  <si>
    <t>https://www.altiorassetmanagement.co.uk/</t>
  </si>
  <si>
    <t>Privalgo Markets Limited</t>
  </si>
  <si>
    <t>https://www.privalgomarkets.co.uk</t>
  </si>
  <si>
    <t>de Lisle Financial Planning Limited</t>
  </si>
  <si>
    <t>www.delislefp.co.uk</t>
  </si>
  <si>
    <t>HKA (FS) Ltd</t>
  </si>
  <si>
    <t>Now under Aviva, hence aviva fund as product</t>
  </si>
  <si>
    <t>SUCCESSION FINANCIAL MANAGEMENT LIMITED filing history - Find and update company information - GOV.UK</t>
  </si>
  <si>
    <t>O'Sullivan Financial Planning Ltd</t>
  </si>
  <si>
    <t>https://osullivanfp.co.uk</t>
  </si>
  <si>
    <t>Daniel Harvey</t>
  </si>
  <si>
    <t>https://www.harvana.co.uk/</t>
  </si>
  <si>
    <t>Blackthorn Financial Services Ltd</t>
  </si>
  <si>
    <t>Philip Carvill &amp; Company Limited</t>
  </si>
  <si>
    <t>Cambridge Financial Services Ltd</t>
  </si>
  <si>
    <t>https://www.cambridgefinancialservices.co.uk/</t>
  </si>
  <si>
    <t>Porters Financial Ltd</t>
  </si>
  <si>
    <t>https://www.portersfinancial.co.uk/</t>
  </si>
  <si>
    <t>Enlighten Financial Services Limited</t>
  </si>
  <si>
    <t>Fraser Backhouse LLP</t>
  </si>
  <si>
    <t>Significant  Financial Limited</t>
  </si>
  <si>
    <t>https://www.moresignificant.co.uk/</t>
  </si>
  <si>
    <t>Blackwell Private Wealth Ltd</t>
  </si>
  <si>
    <t>www.blackwell.pw</t>
  </si>
  <si>
    <t>Kingston Independent Financial Services Ltd</t>
  </si>
  <si>
    <t>https://www.kingston-ifs.com/</t>
  </si>
  <si>
    <t>Grosvenor Corlett Bird Limited</t>
  </si>
  <si>
    <t>https://www.grosvenorcorlettbird.co.uk/</t>
  </si>
  <si>
    <t>Cleveden Park Wealth Ltd</t>
  </si>
  <si>
    <t>https://www.clevedenparkwealth.co.uk/</t>
  </si>
  <si>
    <t>No full fee details, hence removed</t>
  </si>
  <si>
    <t>Bureau of Independent Financial Advice Ltd</t>
  </si>
  <si>
    <t>Succession Financial Management Limited</t>
  </si>
  <si>
    <t>Navigator Financial Planning Limited</t>
  </si>
  <si>
    <t>Navigator Financial Planning redirect to Succession Wealth</t>
  </si>
  <si>
    <t>Graeme Beattie &amp; Carolyn Beattie</t>
  </si>
  <si>
    <t>https://www.graemebeattie.co.uk/</t>
  </si>
  <si>
    <t>Foursquare Financial Management Ltd</t>
  </si>
  <si>
    <t>www.foursquarefm.com</t>
  </si>
  <si>
    <t>The Avis &amp; Keith Partnership</t>
  </si>
  <si>
    <t>Whitebeam Independent Financial Advice Ltd</t>
  </si>
  <si>
    <t>https://www.whitebeamfinancial.co.uk/</t>
  </si>
  <si>
    <t>Eastern Financial Consultants Ltd</t>
  </si>
  <si>
    <t>https://www.easternfinancialconsultants.co.uk/</t>
  </si>
  <si>
    <t>Midland Wealth Solutions Limited</t>
  </si>
  <si>
    <t>www.midlandwealthsolutions.com</t>
  </si>
  <si>
    <t>Whitehall Partnership LLP</t>
  </si>
  <si>
    <t>Goodwin Financial Services Limited</t>
  </si>
  <si>
    <t>https://www.goodwin-financial.co.uk/</t>
  </si>
  <si>
    <t>Anthony Darren Thursfield</t>
  </si>
  <si>
    <t>https://www.thursfieldpfp.com/</t>
  </si>
  <si>
    <t>Velarium Wealth Ltd</t>
  </si>
  <si>
    <t>https://www.velariumwealth.com/</t>
  </si>
  <si>
    <t>A2M Financial &amp; Estate Planning Ltd</t>
  </si>
  <si>
    <t>Falcon Financial Planning Limited</t>
  </si>
  <si>
    <t>https://www.falconfp.com/</t>
  </si>
  <si>
    <t>Financial Succession Limited</t>
  </si>
  <si>
    <t>https://www.financial-succession.co.uk/</t>
  </si>
  <si>
    <t>Scottsbridge Financial Planning Ltd</t>
  </si>
  <si>
    <t>www.scottsbridge.co.uk</t>
  </si>
  <si>
    <t>Martin Escott</t>
  </si>
  <si>
    <t>https://www.morganescott.co.uk/</t>
  </si>
  <si>
    <t>The Money Partnership Limited</t>
  </si>
  <si>
    <t>www.themoneypartnership.com</t>
  </si>
  <si>
    <t>Mangu Wealth Management Limited</t>
  </si>
  <si>
    <t>https://www.manguwealth.com/</t>
  </si>
  <si>
    <t>https://www.manguwealth.com/fees</t>
  </si>
  <si>
    <t>Kinetic Private Investments Limited</t>
  </si>
  <si>
    <t>https://www.kpi.co.uk/</t>
  </si>
  <si>
    <t>Resolute Financial Planning Ltd</t>
  </si>
  <si>
    <t>https://www.resolutefp.co.uk/</t>
  </si>
  <si>
    <t>Deven Yagnic Limited</t>
  </si>
  <si>
    <t>https://www.dywealth.co.uk/</t>
  </si>
  <si>
    <t>INVEST PROTECT INSURE FINANCIAL ADVICE LTD</t>
  </si>
  <si>
    <t>St Matthews Financial Services Ltd</t>
  </si>
  <si>
    <t>Ethical Wealth Planning Ltd</t>
  </si>
  <si>
    <t>Audley Wealth Limited</t>
  </si>
  <si>
    <t>https://www.audleywealth.com/</t>
  </si>
  <si>
    <t>Plena Wealth Management Ltd</t>
  </si>
  <si>
    <t>http://www.plenawm.co.uk/</t>
  </si>
  <si>
    <t>Richmond IFA Ltd</t>
  </si>
  <si>
    <t>Charlcombe Partners Limited</t>
  </si>
  <si>
    <t>Succession Wealth Management Ltd</t>
  </si>
  <si>
    <t>MGY Management Services Limited</t>
  </si>
  <si>
    <t>Start Financial Planning Limited</t>
  </si>
  <si>
    <t>https://www.startfp.co.uk/</t>
  </si>
  <si>
    <t>Mensarius Wealth Ltd</t>
  </si>
  <si>
    <t>Greentree Wealth Management Limited</t>
  </si>
  <si>
    <t>https://www.greentreewealth.co.uk/</t>
  </si>
  <si>
    <t>Claremont Financial Services (NW) Ltd</t>
  </si>
  <si>
    <t>Scott Capital Partners LLP</t>
  </si>
  <si>
    <t>www.scottcp.com</t>
  </si>
  <si>
    <t>Ingoodshape Limited</t>
  </si>
  <si>
    <t>Azimuth Financial (Oxford) Limited</t>
  </si>
  <si>
    <t>https://www.azimuthfin.co.uk/</t>
  </si>
  <si>
    <t>Oracle Financial Advice Ltd</t>
  </si>
  <si>
    <t>https://www.oraclefa.co.uk/</t>
  </si>
  <si>
    <t>Positive Independent Financial Planning Limited</t>
  </si>
  <si>
    <t>www.positiveifp.co.uk</t>
  </si>
  <si>
    <t>Melanie Green Financial Planning Limited</t>
  </si>
  <si>
    <t>Bletchley Financial Ltd</t>
  </si>
  <si>
    <t>www.bletchleys.co.uk</t>
  </si>
  <si>
    <t>C S Financial Planning Limited</t>
  </si>
  <si>
    <t>https://www.csfinancialplanning.co.uk/</t>
  </si>
  <si>
    <t>Venture Financial Services Ltd</t>
  </si>
  <si>
    <t>https://www.venturefinancial.co.uk/</t>
  </si>
  <si>
    <t>Calton Wealth Management Ltd</t>
  </si>
  <si>
    <t>https://www.caltonwm.com/</t>
  </si>
  <si>
    <t>Broadland Consultants Ltd</t>
  </si>
  <si>
    <t>https://www.broadlandconsultants.com/</t>
  </si>
  <si>
    <t>Shepherd Independent Financial Advisers Limited</t>
  </si>
  <si>
    <t>https://www.shepherd4advice.co.uk/</t>
  </si>
  <si>
    <t>Bluesky Independent Wealth Managers Ltd</t>
  </si>
  <si>
    <t>https://www.wealthatbluesky.com/</t>
  </si>
  <si>
    <t>Core/standard service range fee selected</t>
  </si>
  <si>
    <t>Transparent Fees | BlueSky Independent Wealth Managers</t>
  </si>
  <si>
    <t>BLUESKY INDEPENDENT WEALTH MANAGERS LTD overview - Find and update company information - GOV.UK</t>
  </si>
  <si>
    <t>Watson Financial Planning Ltd</t>
  </si>
  <si>
    <t>https://www.watsonfinancialplanning.co.uk/</t>
  </si>
  <si>
    <t>The SE7EN Group Ltd</t>
  </si>
  <si>
    <t>https://www.se7en.me.uk/</t>
  </si>
  <si>
    <t>Belle Financial Services Limited</t>
  </si>
  <si>
    <t>LGT Bank AG</t>
  </si>
  <si>
    <t>www.lgt.com</t>
  </si>
  <si>
    <t>Susan Rowley</t>
  </si>
  <si>
    <t>https://www.scrfinancial.co.uk/</t>
  </si>
  <si>
    <t>MARTIN JAMES CLARK</t>
  </si>
  <si>
    <t>Permanent Wealth Partners LTD</t>
  </si>
  <si>
    <t>www.permanentwealth.co.uk</t>
  </si>
  <si>
    <t>Cove Financial Planning Limited</t>
  </si>
  <si>
    <t>https://www.trigpointfp.com/</t>
  </si>
  <si>
    <t>Ocaris Wealth Management Ltd</t>
  </si>
  <si>
    <t>www.ocaris.co.uk</t>
  </si>
  <si>
    <t>Callabas Financial Services Ltd</t>
  </si>
  <si>
    <t>https://www.callabas.com/</t>
  </si>
  <si>
    <t>Transparent Fees | Callabas Financial</t>
  </si>
  <si>
    <t>CALLABAS FINANCIAL SERVICES LTD filing history - Find and update company information - GOV.UK</t>
  </si>
  <si>
    <t>Waterbridge Financial Planning Limited</t>
  </si>
  <si>
    <t>www.waterbridgewealth.com</t>
  </si>
  <si>
    <t xml:space="preserve">Fees breakdown on attached agreement link on the link </t>
  </si>
  <si>
    <t>Transparent Fees for Financial Planning | Waterbridge Wealth</t>
  </si>
  <si>
    <t>WATERBRIDGE FINANCIAL PLANNING LTD filing history - Find and update company information - GOV.UK</t>
  </si>
  <si>
    <t>Hereford Financial Services Ltd</t>
  </si>
  <si>
    <t>Oakglen Wealth Limited</t>
  </si>
  <si>
    <t>www.oakglenwealth.com</t>
  </si>
  <si>
    <t>Hutchinson Financial Management Limited</t>
  </si>
  <si>
    <t>www.hutchinsonfm.co.uk</t>
  </si>
  <si>
    <t>Basma Wealth Management Limited</t>
  </si>
  <si>
    <t>Home | BASMA WEALTH MANAGEMENT</t>
  </si>
  <si>
    <t>Edgar Financial Advice Limited</t>
  </si>
  <si>
    <t>Life Planning Ltd</t>
  </si>
  <si>
    <t>https://www.lifeplanning.ltd/</t>
  </si>
  <si>
    <t>Gneiss Energy Limited</t>
  </si>
  <si>
    <t>www.gneissenergy.com</t>
  </si>
  <si>
    <t>The Cosgrove Partnership LLP</t>
  </si>
  <si>
    <t>www.cosgrovepartnership.com</t>
  </si>
  <si>
    <t>Transparent Fees for Independent Financial Advice | Cosgrove Partnership</t>
  </si>
  <si>
    <t>THE COSGROVE PARTNERSHIP LLP filing history - Find and update company information - GOV.UK</t>
  </si>
  <si>
    <t>Johnstone and Co Financial Services Limited</t>
  </si>
  <si>
    <t>https://www.johnstone.uk.net/</t>
  </si>
  <si>
    <t>Walmsley Baker (UK) Limited</t>
  </si>
  <si>
    <t>Kimbolton Financial Planning Limited</t>
  </si>
  <si>
    <t>https://www.kimboltonfp.co.uk/</t>
  </si>
  <si>
    <t>C A Financial Services Ltd</t>
  </si>
  <si>
    <t>https://www.cafinancialservices.co.uk/</t>
  </si>
  <si>
    <t>Money Penny Wealth Management Limited</t>
  </si>
  <si>
    <t>www.mpwealth.co.uk</t>
  </si>
  <si>
    <t>KP Wealth Ltd</t>
  </si>
  <si>
    <t>www.kpwealthltd.co.uk</t>
  </si>
  <si>
    <t>William Stuart James Goodwin</t>
  </si>
  <si>
    <t>https://www.customerfirstfinancialservices.co.uk/</t>
  </si>
  <si>
    <t>Modulus Financial Planning Ltd</t>
  </si>
  <si>
    <t>https://www.modulusfp.com/</t>
  </si>
  <si>
    <t>Boyd Young</t>
  </si>
  <si>
    <t>London Financial Consultants Limited</t>
  </si>
  <si>
    <t>https://www.londonfinancialconsultants.co.uk/</t>
  </si>
  <si>
    <t>Beryllus Capital (UK) Limited</t>
  </si>
  <si>
    <t>www.berylluscapital.com</t>
  </si>
  <si>
    <t>G &amp; B Associates Independent Financial Advisers LLP</t>
  </si>
  <si>
    <t>www.gandbassociates.co.uk</t>
  </si>
  <si>
    <t>Convera UK Financial Limited</t>
  </si>
  <si>
    <t>www.convera.com/en - gb/</t>
  </si>
  <si>
    <t>Gratitude Financial Planning Limited</t>
  </si>
  <si>
    <t>https://www.gratitudefp.co.uk/</t>
  </si>
  <si>
    <t>Bluestone Financial Planning Limited</t>
  </si>
  <si>
    <t>OWM Limited</t>
  </si>
  <si>
    <t>Old Mill Financial Planning Limited</t>
  </si>
  <si>
    <t>https://www.om.uk/</t>
  </si>
  <si>
    <t>Parallel Lines - The Advisor Collective Ltd</t>
  </si>
  <si>
    <t>https://www.pltac.co.uk/</t>
  </si>
  <si>
    <t>Y Tree Limited</t>
  </si>
  <si>
    <t>https://www.y-tree.com/</t>
  </si>
  <si>
    <t>Sebright Financial Services Limited</t>
  </si>
  <si>
    <t>Centricity Wealth Management Limited</t>
  </si>
  <si>
    <t>https://www.centricity-wm.com/</t>
  </si>
  <si>
    <t>Crowe Corporate Finance UK Limited</t>
  </si>
  <si>
    <t>www.crowe.com/uk</t>
  </si>
  <si>
    <t>TFAS Wealth Ltd</t>
  </si>
  <si>
    <t>https://www.tfaswealth.com/</t>
  </si>
  <si>
    <t>Claritas Financial Planning Ltd</t>
  </si>
  <si>
    <t>https://www.tobymansfield.co.uk/</t>
  </si>
  <si>
    <t>Hilborne House Ltd</t>
  </si>
  <si>
    <t>https://www.hilbornehouse.com/</t>
  </si>
  <si>
    <t>Cadro Technologies Limited</t>
  </si>
  <si>
    <t>www.cadro.com</t>
  </si>
  <si>
    <t>PerryJones Financial Planning Limited</t>
  </si>
  <si>
    <t>www.perryjones.uk</t>
  </si>
  <si>
    <t>Transparent Fees for Your Financial Confidence | UK</t>
  </si>
  <si>
    <t>PERRYJONES FINANCIAL PLANNING LIMITED filing history - Find and update company information - GOV.UK</t>
  </si>
  <si>
    <t>Bounty Financial Planning Limited</t>
  </si>
  <si>
    <t>https://www.bountyfp.co.uk/</t>
  </si>
  <si>
    <t>Aventur Wealth Ltd</t>
  </si>
  <si>
    <t>www.aventur.co.uk</t>
  </si>
  <si>
    <t>Impact Lens Financial Planning Limited</t>
  </si>
  <si>
    <t>https://www.harmonicfp.com/</t>
  </si>
  <si>
    <t>Ravenshead Independent Financial Services Limited</t>
  </si>
  <si>
    <t>www.ravensheadifs.co.uk</t>
  </si>
  <si>
    <t>Continuity Financial Planning Ltd</t>
  </si>
  <si>
    <t>www.continuityfp.co.uk</t>
  </si>
  <si>
    <t>Redd Wealth Management Limited</t>
  </si>
  <si>
    <t>https://www.reddwealth.com/</t>
  </si>
  <si>
    <t>William James Financial Services Limited</t>
  </si>
  <si>
    <t>https://www.williamjamesfs.co.uk/</t>
  </si>
  <si>
    <t>Direct Financial Planning (UK) Limited</t>
  </si>
  <si>
    <t>https://www.directfp.co.uk/</t>
  </si>
  <si>
    <t>Bespoke Wealth Limited</t>
  </si>
  <si>
    <t>https://www.bespokewealth.co.uk/</t>
  </si>
  <si>
    <t>Prerak Financial Services Ltd</t>
  </si>
  <si>
    <t>Auctus Advisors LLP</t>
  </si>
  <si>
    <t>https://www.auctusadvisors.co.uk/</t>
  </si>
  <si>
    <t>GSB Capital Ltd</t>
  </si>
  <si>
    <t>www.gsbglobal.com</t>
  </si>
  <si>
    <t>Knightsgate Wealth Management Ltd</t>
  </si>
  <si>
    <t>www.kgwm.co.uk</t>
  </si>
  <si>
    <t>Williams Farrall Woodward Ltd</t>
  </si>
  <si>
    <t>https://www.wfw.co.uk/</t>
  </si>
  <si>
    <t>Leading Edge Wealth Planning Ltd</t>
  </si>
  <si>
    <t>Craig Kilgour Independent Financial Planning Limited</t>
  </si>
  <si>
    <t>Periscope Financial Limited</t>
  </si>
  <si>
    <t>Chase Financial Management Limited</t>
  </si>
  <si>
    <t>https://www.chasefm.co.uk/</t>
  </si>
  <si>
    <t>Goldman Sachs Bank Europe SE</t>
  </si>
  <si>
    <t>https://www.goldmansachs.com/disclosures/gsbank - europe - se - disclosures.html</t>
  </si>
  <si>
    <t>Forte Financial Consultancy Ltd</t>
  </si>
  <si>
    <t>MWC Group UK</t>
  </si>
  <si>
    <t>https://www.mwcgroup.ch/</t>
  </si>
  <si>
    <t>Blyth-Richmond Investment Managers Limited</t>
  </si>
  <si>
    <t>https://www.blyth-richmond.co.uk/</t>
  </si>
  <si>
    <t>Gemstone Wealth Ltd</t>
  </si>
  <si>
    <t>Juniper Wealth Management Limited</t>
  </si>
  <si>
    <t>www.juniperwealth.co.uk</t>
  </si>
  <si>
    <t>Andrew Hawker Financial Management Limited</t>
  </si>
  <si>
    <t>Argyll Independent Ltd</t>
  </si>
  <si>
    <t>https://argyllfinancial.co.uk/about-us/</t>
  </si>
  <si>
    <t xml:space="preserve">Higher range selected service level not indicated. No ongoing </t>
  </si>
  <si>
    <t>Piccadilly Wealth Management Limited</t>
  </si>
  <si>
    <t>https://www.piccadillywealth.com/</t>
  </si>
  <si>
    <t>Sage Advice Limited</t>
  </si>
  <si>
    <t>McAlpine Brown Smyth Ltd</t>
  </si>
  <si>
    <t>www.mbsifp.com</t>
  </si>
  <si>
    <t>Rapid Innovation Group Limited</t>
  </si>
  <si>
    <t>www.rapidinnovation.co.uk</t>
  </si>
  <si>
    <t>J Clarke &amp; Co Ltd</t>
  </si>
  <si>
    <t>Lifetime Wealth Ltd</t>
  </si>
  <si>
    <t>https://www.lifetime-ifa.co.uk/</t>
  </si>
  <si>
    <t>Transparent Financial Advice Fee Structure - Lifetime IFA</t>
  </si>
  <si>
    <t>LIFETIME WEALTH LTD filing history - Find and update company information - GOV.UK</t>
  </si>
  <si>
    <t>PARADIGM INVESTMENT PARTNERS LTD.</t>
  </si>
  <si>
    <t>paradigmip.net</t>
  </si>
  <si>
    <t>Zodiac Wealth Management Limited</t>
  </si>
  <si>
    <t>Financial Planning</t>
  </si>
  <si>
    <t>Adira Financial Services Ltd</t>
  </si>
  <si>
    <t>https://www.adirafinancialservicesltd.co.uk/</t>
  </si>
  <si>
    <t>Stratiphy Limited</t>
  </si>
  <si>
    <t>www.stratiphy.io</t>
  </si>
  <si>
    <t>Munich Re Risk Solutions Ireland</t>
  </si>
  <si>
    <t>Peter Hillman</t>
  </si>
  <si>
    <t>Chadwicks Limited</t>
  </si>
  <si>
    <t>www.chadwicks.co.uk</t>
  </si>
  <si>
    <t>Only ongoing charged</t>
  </si>
  <si>
    <t>Transparent Financial Advice Fees | Norwich | Chadwicks</t>
  </si>
  <si>
    <t>CHADWICKS LIMITED filing history - Find and update company information - GOV.UK</t>
  </si>
  <si>
    <t>Forgue Financial Services Ltd</t>
  </si>
  <si>
    <t>https://www.forguefinancialservices.co.uk/</t>
  </si>
  <si>
    <t>JGP Financial Services LLP</t>
  </si>
  <si>
    <t>Cube Capital Limited</t>
  </si>
  <si>
    <t>Colin Baldock</t>
  </si>
  <si>
    <t>https://www.capitalfs.co.uk/</t>
  </si>
  <si>
    <t>Honest Wealth Management Ltd</t>
  </si>
  <si>
    <t>https://www.honestwealth.co.uk/</t>
  </si>
  <si>
    <t>Cornerstone Financial Planning Ltd</t>
  </si>
  <si>
    <t>https://www.cornerstonecfp.co.uk/</t>
  </si>
  <si>
    <t>AAF Financial Ltd</t>
  </si>
  <si>
    <t>https://www.aaffinancial.co.uk/</t>
  </si>
  <si>
    <t>Sky Wealth Management Limited</t>
  </si>
  <si>
    <t>Long Row Wealth Advisory Limited</t>
  </si>
  <si>
    <t>https://www.longrowwealth.com/</t>
  </si>
  <si>
    <t>Cardinal Financial Planning and Wealth Management Limited</t>
  </si>
  <si>
    <t>https://www.cardinalwealth.co.uk/</t>
  </si>
  <si>
    <t>Can not locate this fee on the page</t>
  </si>
  <si>
    <t>Acumen Investment and Pension Solutions Ltd</t>
  </si>
  <si>
    <t>https://www.acumenifasolutions.co.uk/</t>
  </si>
  <si>
    <t>One Life Wealth Planning Ltd</t>
  </si>
  <si>
    <t>https://www.onelifewealth.co.uk/</t>
  </si>
  <si>
    <t>Initial fee is a range of 2.5-5k</t>
  </si>
  <si>
    <t>Transparent Financial Planning Fees | One Life Wealth Planning</t>
  </si>
  <si>
    <t>ONE LIFE WEALTH PLANNING LTD filing history - Find and update company information - GOV.UK</t>
  </si>
  <si>
    <t>Oliver Wealth Ltd</t>
  </si>
  <si>
    <t>Martin Randal</t>
  </si>
  <si>
    <t>Maplewood Training Solutions Ltd</t>
  </si>
  <si>
    <t>Robinson Rose Wealth Management Ltd</t>
  </si>
  <si>
    <t>https://www.robinsonrosewealth.co.uk/</t>
  </si>
  <si>
    <t>APG Wealth Management Ltd</t>
  </si>
  <si>
    <t>https://www.apgwealth.co.uk/</t>
  </si>
  <si>
    <t>Astute Wealth Planning Limited</t>
  </si>
  <si>
    <t>https://www.astutewealthplanning.com/</t>
  </si>
  <si>
    <t>Blyth Wealth Management Limited</t>
  </si>
  <si>
    <t>https://www.blythwealth.co.uk/</t>
  </si>
  <si>
    <t>Principled Limited</t>
  </si>
  <si>
    <t>https://www.principled.eco/</t>
  </si>
  <si>
    <t>PSD Financial Services Ltd</t>
  </si>
  <si>
    <t>Ayrshire Financial Services Ltd</t>
  </si>
  <si>
    <t>https://www.afsltd.co.uk/</t>
  </si>
  <si>
    <t>Petra Financial Planning Limited</t>
  </si>
  <si>
    <t>https://www.petra.financial/</t>
  </si>
  <si>
    <t>I For Change Ltd</t>
  </si>
  <si>
    <t>www.i - for - change.co.uk</t>
  </si>
  <si>
    <t>Six Q Financial Planning Limited</t>
  </si>
  <si>
    <t>https://www.sixqfinancialplanning.co.uk/</t>
  </si>
  <si>
    <t>MALBURY FINANCIAL PLANNING LIMITED</t>
  </si>
  <si>
    <t>https://www.malbury.co.uk/</t>
  </si>
  <si>
    <t>Odin Wealth Hub Ltd</t>
  </si>
  <si>
    <t>www.odinwh.com</t>
  </si>
  <si>
    <t>Sidekick Money Ltd</t>
  </si>
  <si>
    <t>https://www.sidekickmoney.com/</t>
  </si>
  <si>
    <t>Mirabaud &amp; Cie (Europe) S.A. (UK branch)</t>
  </si>
  <si>
    <t>https://www.mirabaud.com/en/wealth - management</t>
  </si>
  <si>
    <t>CBFP UK Ltd</t>
  </si>
  <si>
    <t>https://www.cbfp.co.uk/</t>
  </si>
  <si>
    <t>Polaris Wealth Management Limited</t>
  </si>
  <si>
    <t>http://www.polariswealth.co.uk/</t>
  </si>
  <si>
    <t>Standard/focused advice selected</t>
  </si>
  <si>
    <t>Transparent Financial Planning Fees | Polaris Wealth</t>
  </si>
  <si>
    <t>POLARIS WEALTH MANAGEMENT LTD filing history - Find and update company information - GOV.UK</t>
  </si>
  <si>
    <t>Oakcean Capital Limited</t>
  </si>
  <si>
    <t>www.oakceancapital.com</t>
  </si>
  <si>
    <t>Grafton Wealth Management (UK) Limited</t>
  </si>
  <si>
    <t>https://www.graftonwm.co.uk/</t>
  </si>
  <si>
    <t>Robinson Investment Solutions Ltd</t>
  </si>
  <si>
    <t>https://robinsoninvestmentsolutions.co.uk</t>
  </si>
  <si>
    <t>Vita Financial Planning Ltd</t>
  </si>
  <si>
    <t>https://www.vitafp.co.uk/</t>
  </si>
  <si>
    <t>Investment Quorum Limited</t>
  </si>
  <si>
    <t>www.investmentquorum.com</t>
  </si>
  <si>
    <t>Transparent Pricing for Financial Services | Investment Quorum</t>
  </si>
  <si>
    <t>INVESTMENT QUORUM LIMITED filing history - Find and update company information - GOV.UK</t>
  </si>
  <si>
    <t>The Prestige Family Ltd</t>
  </si>
  <si>
    <t>www.prestigefamily.co.uk</t>
  </si>
  <si>
    <t>Beaufort Wealth Management Limited</t>
  </si>
  <si>
    <t>https://www.beaufortwmltd.co.uk/</t>
  </si>
  <si>
    <t>Darsco Wealth MGMT Limited</t>
  </si>
  <si>
    <t>https://www.darscowealth.co.uk/</t>
  </si>
  <si>
    <t>Arborfield Wealth Limited</t>
  </si>
  <si>
    <t>https://www.arborfieldwealth.com/</t>
  </si>
  <si>
    <t>Lann Finance Limited</t>
  </si>
  <si>
    <t>https://www.lannfinance.co.uk/</t>
  </si>
  <si>
    <t>Bloom Financial Consulting Limited</t>
  </si>
  <si>
    <t>https://bloomfinancialconsulting.co.uk/</t>
  </si>
  <si>
    <t>Cannizaro Wealth Management (MGM) Limited</t>
  </si>
  <si>
    <t>www.cannizarowealth.com</t>
  </si>
  <si>
    <t>Haverfords Limited</t>
  </si>
  <si>
    <t>https://www.haverfords.co.uk/</t>
  </si>
  <si>
    <t>Raven Wealth Planning Ltd</t>
  </si>
  <si>
    <t>www.ravengroup. global</t>
  </si>
  <si>
    <t>Bluebell Financial Management Limited</t>
  </si>
  <si>
    <t>https://www.bluebellfinancialmanagement.co.uk/</t>
  </si>
  <si>
    <t>Lumin Wealth Management Limited</t>
  </si>
  <si>
    <t>https://www.luminwealth.co.uk/</t>
  </si>
  <si>
    <t>Value of our expertise - Lumin Wealth Management</t>
  </si>
  <si>
    <t>Select 	Full accounts made up to 31 December 2024</t>
  </si>
  <si>
    <t>OT Wealth Limited</t>
  </si>
  <si>
    <t>www.otwealth.co.uk</t>
  </si>
  <si>
    <t>Investing Ideas Ltd</t>
  </si>
  <si>
    <t>https://www.investingideas.co.uk/</t>
  </si>
  <si>
    <t>Stanbridge Wealth Limited</t>
  </si>
  <si>
    <t>https://www.stanbridge-wealth.co.uk/</t>
  </si>
  <si>
    <t>Veritycorp Ltd</t>
  </si>
  <si>
    <t>www.verity.capital</t>
  </si>
  <si>
    <t>Lumin Wealth Limited</t>
  </si>
  <si>
    <t>LUMIN WEALTH MANAGEMENT LIMITED overview - Find and update company information - GOV.UK</t>
  </si>
  <si>
    <t>Parallel Employee Benefits Limited</t>
  </si>
  <si>
    <t>parallel - eb.co.uk</t>
  </si>
  <si>
    <t>Smith and Co Financial Services Ltd</t>
  </si>
  <si>
    <t>https://www.smithandcocfp.co.uk/</t>
  </si>
  <si>
    <t>Abode Financial Planning Limited</t>
  </si>
  <si>
    <t>HWIFM Ltd</t>
  </si>
  <si>
    <t>https://www.hwifm.co.uk/</t>
  </si>
  <si>
    <t>Townends Wealth Management Limited</t>
  </si>
  <si>
    <t>https://www.townendswealth.co.uk/</t>
  </si>
  <si>
    <t>Grafton Court Wealth Management Limited</t>
  </si>
  <si>
    <t>www.graftoncourt.co.uk</t>
  </si>
  <si>
    <t>Right Financial Management Ltd</t>
  </si>
  <si>
    <t>www.rightwealthmanagement.com</t>
  </si>
  <si>
    <t>Eriskay Wealth Ltd</t>
  </si>
  <si>
    <t>https://www.headsupwealth.co.uk/</t>
  </si>
  <si>
    <t>Oakhurst Financial Services Limited</t>
  </si>
  <si>
    <t>https://www.oakhurst-ifa.co.uk/</t>
  </si>
  <si>
    <t>Charlton Wealth Management Limited</t>
  </si>
  <si>
    <t>https://www.charltonwealth.com/</t>
  </si>
  <si>
    <t>RJ Asset Management Ltd</t>
  </si>
  <si>
    <t>https://www.rj-am.co.uk/</t>
  </si>
  <si>
    <t>InCred Global Wealth Limited</t>
  </si>
  <si>
    <t>www.incredwealth.uk</t>
  </si>
  <si>
    <t>Coleman FS Limited</t>
  </si>
  <si>
    <t>Field Hamlin Wealth Management Limited</t>
  </si>
  <si>
    <t>https://www.fieldhamlin.co.uk/</t>
  </si>
  <si>
    <t>Steven John O'Neill</t>
  </si>
  <si>
    <t>https://www.sbcfinancial.co.uk/</t>
  </si>
  <si>
    <t>Cooper Park Wealth Management Ltd</t>
  </si>
  <si>
    <t>www.cooperpark.co.uk</t>
  </si>
  <si>
    <t>NHS only advice not widely available to everyone</t>
  </si>
  <si>
    <t>Wealth Management for Dentists - PFM Dental</t>
  </si>
  <si>
    <t>COOPER PARK WEALTH MANAGEMENT LIMITED filing history - Find and update company information - GOV.UK</t>
  </si>
  <si>
    <t>initial not stipulated</t>
  </si>
  <si>
    <t>Everys Financial Services Limited</t>
  </si>
  <si>
    <t>www.execapman.com</t>
  </si>
  <si>
    <t>Fairway Financial Planning Limited</t>
  </si>
  <si>
    <t>www.fairwayfinancial.co.uk</t>
  </si>
  <si>
    <t>Vivid Wealth Ltd</t>
  </si>
  <si>
    <t>https://www.vividwealth.co.uk/</t>
  </si>
  <si>
    <t>LCH Wealth Ltd</t>
  </si>
  <si>
    <t>www.lchwealth.co.uk</t>
  </si>
  <si>
    <t>Bates Financial Solutions Limited</t>
  </si>
  <si>
    <t>www.batesfs.com</t>
  </si>
  <si>
    <t>Two Shires Wealth Management Ltd</t>
  </si>
  <si>
    <t>https://www.2shires.uk/</t>
  </si>
  <si>
    <t>Fortis Medical Finance Ltd</t>
  </si>
  <si>
    <t>fortis - medical.co.uk</t>
  </si>
  <si>
    <t>Nineteen Wealth Management Ltd</t>
  </si>
  <si>
    <t>Liberate Wealth Limited</t>
  </si>
  <si>
    <t>www.liberatewealth.co.uk</t>
  </si>
  <si>
    <t>Castlegate Capital Limited</t>
  </si>
  <si>
    <t>www.castlegatecapital.co.uk</t>
  </si>
  <si>
    <t>MacKenzie Webb Associates Limited</t>
  </si>
  <si>
    <t>https://www.mackenziewebb.co.uk/</t>
  </si>
  <si>
    <t>Foyle Financial Ltd</t>
  </si>
  <si>
    <t>https://www.foylefinancial.co.uk/</t>
  </si>
  <si>
    <t>Dixon Financial Planning Ltd</t>
  </si>
  <si>
    <t>https://www.dixonfinancial.co.uk/</t>
  </si>
  <si>
    <t>Elite Private Wealth Management Limited</t>
  </si>
  <si>
    <t>www.elitepwm.co.uk</t>
  </si>
  <si>
    <t>Verity Financial Planners Ltd</t>
  </si>
  <si>
    <t>www.verityfpl.co.uk</t>
  </si>
  <si>
    <t>Platinum Financial Planning Limited</t>
  </si>
  <si>
    <t>www.platinumgroup.co.uk</t>
  </si>
  <si>
    <t>Prosperity Financial Management Limited</t>
  </si>
  <si>
    <t>https://www.prosperity-ifa.co.uk/</t>
  </si>
  <si>
    <t>Weatherbys Bank Limited</t>
  </si>
  <si>
    <t>https://www.weatherbys.bank/</t>
  </si>
  <si>
    <t>Weatherbys-Private-Bank-Investment-and-Wealth-Advice-Schedule-of-Charges.pdf</t>
  </si>
  <si>
    <t>WEATHERBYS BANK LIMITED filing history - Find and update company information - GOV.UK</t>
  </si>
  <si>
    <t>Utmost International Distribution Services Limited</t>
  </si>
  <si>
    <t>AWIPR0029_UK_Adviser_Charges_Summary_EN_0325.pdf</t>
  </si>
  <si>
    <t>57 North Financial Planning Ltd</t>
  </si>
  <si>
    <t>https://57northfp.com/</t>
  </si>
  <si>
    <t>McCreath Financial Partners Limited</t>
  </si>
  <si>
    <t>https://www.mfpartners.co.uk/</t>
  </si>
  <si>
    <t>Sired Ltd</t>
  </si>
  <si>
    <t>https://www.adsumusfs.co.uk/</t>
  </si>
  <si>
    <t>Joosten Financial Planning Ltd</t>
  </si>
  <si>
    <t>www.joostenfinancialplanning.co.uk</t>
  </si>
  <si>
    <t>Radcliffe and Newlands Wealth Limited</t>
  </si>
  <si>
    <t>Financial Planning | Radcliffe &amp; Newlands Wealth</t>
  </si>
  <si>
    <t>Gerard Davis Financial Ltd</t>
  </si>
  <si>
    <t>Nicholas Paul Wealth Management Limited</t>
  </si>
  <si>
    <t>www.npwm.co.uk</t>
  </si>
  <si>
    <t>All Aspects Financial Planning Limited</t>
  </si>
  <si>
    <t>https://www.allaspectsfinancial.co.uk/</t>
  </si>
  <si>
    <t>Ellis Davies Financial Planning Limited</t>
  </si>
  <si>
    <t>www.ellisdaviesfp.co.uk</t>
  </si>
  <si>
    <t>Cant see fee on this page</t>
  </si>
  <si>
    <t>What It Costs | Ellis Davies Financial Planning | Top-Rated Financial Planners | Clifton | Bristol</t>
  </si>
  <si>
    <t>ELLIS DAVIES FINANCIAL PLANNING LIMITED filing history - Find and update company information - GOV.UK</t>
  </si>
  <si>
    <t>CW Executive Finance Limited</t>
  </si>
  <si>
    <t>www.wadewp.co.uk</t>
  </si>
  <si>
    <t>Gavin Porritt</t>
  </si>
  <si>
    <t>www.teylufp.com</t>
  </si>
  <si>
    <t>KBS CAPITAL MARKETS LIMITED</t>
  </si>
  <si>
    <t>Yule Financial Services Ltd</t>
  </si>
  <si>
    <t>Howard Wright Ltd</t>
  </si>
  <si>
    <t>www.howardwright.co.uk</t>
  </si>
  <si>
    <t>What We Do &amp; How We Charge - Howard Wright</t>
  </si>
  <si>
    <t>No revenue on abridged account made up to 31 December 2024-Net asset used to derive revenue</t>
  </si>
  <si>
    <t>Jackson (Life &amp; Pensions) Limited</t>
  </si>
  <si>
    <t>https://www.jacksons.life/</t>
  </si>
  <si>
    <t>What will it cost? | Jacksons</t>
  </si>
  <si>
    <t>JACKSON (LIFE &amp; PENSIONS) LIMITED filing history - Find and update company information - GOV.UK</t>
  </si>
  <si>
    <t>London and Capital Wealth Advisers Limited</t>
  </si>
  <si>
    <t>Privacy error</t>
  </si>
  <si>
    <t>Webpage unreachable</t>
  </si>
  <si>
    <t>Asperand Wealth Limited</t>
  </si>
  <si>
    <t>www.asperandwealth.co.uk</t>
  </si>
  <si>
    <t>No initial fee, one of the lowest fees</t>
  </si>
  <si>
    <t>ASPERAND WEALTH LIMITED filing history - Find and update company information - GOV.UK</t>
  </si>
  <si>
    <t>Hill Oldridge Limited</t>
  </si>
  <si>
    <t>Monahans Financial Services Limited</t>
  </si>
  <si>
    <t>https://www.shipmanmwm.co.uk/</t>
  </si>
  <si>
    <t>Qatar National Bank (Q.P.S.C.)</t>
  </si>
  <si>
    <t>https://www.qnb.com/</t>
  </si>
  <si>
    <t>Abbot Associates Ltd</t>
  </si>
  <si>
    <t>https://www.abbotassociates.com/</t>
  </si>
  <si>
    <t>Bernard Barrett Associates Ltd.</t>
  </si>
  <si>
    <t>https://www.cravenstreetwealth.co.uk/</t>
  </si>
  <si>
    <t>Shaw Gibbs Financial Services Limited</t>
  </si>
  <si>
    <t>https://www.shawgibbs.com/</t>
  </si>
  <si>
    <t>Euro-IB Limited</t>
  </si>
  <si>
    <t>https://www.euro-ib.com/</t>
  </si>
  <si>
    <t>Vintage Investment Services</t>
  </si>
  <si>
    <t>https://www.vintage-fp.com/</t>
  </si>
  <si>
    <t>Fieldings Investment Management Ltd</t>
  </si>
  <si>
    <t>https://www.fiskeplc.com/</t>
  </si>
  <si>
    <t>Marchmaine</t>
  </si>
  <si>
    <t>https://www.marchmaine.com/</t>
  </si>
  <si>
    <t>The Whitehall Partnership Limited</t>
  </si>
  <si>
    <t>https://www.whitehallpartnership.ltd/</t>
  </si>
  <si>
    <t>Cessation of Providing Financial Advice Services</t>
  </si>
  <si>
    <t>WR Simon Ashley Silver Independent Financial Advisor LImited</t>
  </si>
  <si>
    <t>https://www.sasifa.co.uk/</t>
  </si>
  <si>
    <t>Fyshe Horton Finney Ltd</t>
  </si>
  <si>
    <t>https://www.fyshe.co.uk/</t>
  </si>
  <si>
    <t>DBS Bank Limited</t>
  </si>
  <si>
    <t>https://www.dbs.com/</t>
  </si>
  <si>
    <t>Portfolio &amp; Pension Management Ltd</t>
  </si>
  <si>
    <t>https://www.websiteclosed/</t>
  </si>
  <si>
    <t>Adam &amp; Company Investment Management Limited</t>
  </si>
  <si>
    <t>https://www.adamandcompany.co.uk/ canaccord-wealth</t>
  </si>
  <si>
    <t>Clear Markets Europe Limited</t>
  </si>
  <si>
    <t>https://www.clear-markets.com/</t>
  </si>
  <si>
    <t>Harwood Capital LLP</t>
  </si>
  <si>
    <t>https://www.harwoodcapital.co.uk/</t>
  </si>
  <si>
    <t>Houlihan Lokey Advisory Limited</t>
  </si>
  <si>
    <t>https://www.hl.com/</t>
  </si>
  <si>
    <t>Ecofin Advisors Limited</t>
  </si>
  <si>
    <t>https://www.ecofininvest.com/</t>
  </si>
  <si>
    <t>Regent Capital Limited</t>
  </si>
  <si>
    <t>https://www.regentcap.co.uk/</t>
  </si>
  <si>
    <t>Access Equity Management Limited</t>
  </si>
  <si>
    <t>https://www.access-em.com/</t>
  </si>
  <si>
    <t>Character Financial Services Limited</t>
  </si>
  <si>
    <t>https://www.characterfs.com/</t>
  </si>
  <si>
    <t>Midas Fides</t>
  </si>
  <si>
    <t>https://www.midasfides.co.uk/</t>
  </si>
  <si>
    <t>Hines Associates Ltd</t>
  </si>
  <si>
    <t>https://www.hinesassociates.com/</t>
  </si>
  <si>
    <t>Throgmorton Financial Services Ltd</t>
  </si>
  <si>
    <t>https://www.throgmortonfs.co.uk/</t>
  </si>
  <si>
    <t>Sage Independent Advisers Ltd</t>
  </si>
  <si>
    <t>https://www.sageindadvisers.co.uk/</t>
  </si>
  <si>
    <t>SAB Securities Limited</t>
  </si>
  <si>
    <t>https://www.sabsecurities.co.uk/</t>
  </si>
  <si>
    <t>Bedrock Asset Management (UK) Limited</t>
  </si>
  <si>
    <t>https://www.bedrockgroup.com/</t>
  </si>
  <si>
    <t>Fredericks Michael &amp; Co Limited</t>
  </si>
  <si>
    <t>https://www.fm-co.com/</t>
  </si>
  <si>
    <t>G11 Financial Management Limited</t>
  </si>
  <si>
    <t>https://www.g11financial.co.uk/</t>
  </si>
  <si>
    <t>Stephen James Associates Ltd</t>
  </si>
  <si>
    <t>https://www.sjaltd.com/</t>
  </si>
  <si>
    <t>MAP Financial Ltd</t>
  </si>
  <si>
    <t>https://www.mapfinancial.co.uk/</t>
  </si>
  <si>
    <t>Alex M Grant &amp; Company Limited</t>
  </si>
  <si>
    <t>https://www.your-financial-adviser.com/</t>
  </si>
  <si>
    <t>Kench &amp; Co Financial Services Ltd</t>
  </si>
  <si>
    <t>https://www.kench-financial.co.uk/</t>
  </si>
  <si>
    <t>William St Clare Limited</t>
  </si>
  <si>
    <t>https://www.williamstclare.co.uk/</t>
  </si>
  <si>
    <t>Global Investment Strategy UK Ltd</t>
  </si>
  <si>
    <t>https://www.gisukltd.com/</t>
  </si>
  <si>
    <t>Clayden Financial Planning Limited</t>
  </si>
  <si>
    <t>https://www.claydens.com/</t>
  </si>
  <si>
    <t>Quilter Mortgage Planning Limited</t>
  </si>
  <si>
    <t>Mortgage business</t>
  </si>
  <si>
    <t>Mortgage biz, typical fee selected an no ongoing</t>
  </si>
  <si>
    <t>https://find-and-update.company-information.service.gov.uk/company/05495327/filing-history</t>
  </si>
  <si>
    <t>Hawley &amp; Wood Limited</t>
  </si>
  <si>
    <t>https://www.hawley-wood.co.uk/</t>
  </si>
  <si>
    <t>Mr Peter Gann</t>
  </si>
  <si>
    <t>https://www.ashdalefinancial.co.uk/</t>
  </si>
  <si>
    <t>Whites Financial Management Ltd</t>
  </si>
  <si>
    <t>https://www.whitesfm.co.uk/</t>
  </si>
  <si>
    <t>BlacklerSnelling Financial Planning Limited</t>
  </si>
  <si>
    <t>https://www.blacklersnelling.co.uk/</t>
  </si>
  <si>
    <t>Manchester Independent Mortgages Limited</t>
  </si>
  <si>
    <t>https://www.manim.co.uk/</t>
  </si>
  <si>
    <t>Kevin Cotterell Financial Services Limited</t>
  </si>
  <si>
    <t>https://www.kcotterellfs.trustedadviser.info/</t>
  </si>
  <si>
    <t>Mortgage Solutions Merseyside</t>
  </si>
  <si>
    <t>https://www.m-s-m.co/</t>
  </si>
  <si>
    <t>NS ASSET MANAGEMENT UK LTD</t>
  </si>
  <si>
    <t>https://www.nspgroup.com/</t>
  </si>
  <si>
    <t>Fundamental Asset Management Ltd</t>
  </si>
  <si>
    <t>https://www.fundamentalasset.com/</t>
  </si>
  <si>
    <t>Hallidays Wealth Management Limited</t>
  </si>
  <si>
    <t>https://www.hallidays.co.uk/</t>
  </si>
  <si>
    <t>Atul Narharidas Patel</t>
  </si>
  <si>
    <t>https://www.principals.biz/</t>
  </si>
  <si>
    <t>Gibson Lamb &amp; Co. LLP</t>
  </si>
  <si>
    <t>https://www.gibsonlamb.co.uk/</t>
  </si>
  <si>
    <t>UK Structured Finance Limited</t>
  </si>
  <si>
    <t>https://www.uksf.co.uk/</t>
  </si>
  <si>
    <t>Synergy Financial Planning Limited</t>
  </si>
  <si>
    <t>Market Position Limited</t>
  </si>
  <si>
    <t>https://www.market-position.com/</t>
  </si>
  <si>
    <t>Tejara Capital Limited</t>
  </si>
  <si>
    <t>https://www.tejaracapital.com/</t>
  </si>
  <si>
    <t>Harbour Wealth Limited</t>
  </si>
  <si>
    <t>https://www.harbourwealth.co.uk/</t>
  </si>
  <si>
    <t>DKB Management (UK) Limited</t>
  </si>
  <si>
    <t>https://www.dkbm.co.uk/</t>
  </si>
  <si>
    <t>£99</t>
  </si>
  <si>
    <t>Endeavour Ventures Limited</t>
  </si>
  <si>
    <t>https://www.endven.com/</t>
  </si>
  <si>
    <t>Independent Financial Strategies (Horley) LLP</t>
  </si>
  <si>
    <t>https://www.ifstr.com/</t>
  </si>
  <si>
    <t>Dormant webpage domain</t>
  </si>
  <si>
    <t>RMC Wealth Management LLP</t>
  </si>
  <si>
    <t>https://www.rmcwealth.co.uk/</t>
  </si>
  <si>
    <t>DAI MAGISTER LIMITED</t>
  </si>
  <si>
    <t>https://www.daimagister.com/</t>
  </si>
  <si>
    <t>Alpha Financial Services</t>
  </si>
  <si>
    <t>https://www.alphafs.co.uk/</t>
  </si>
  <si>
    <t>Reich Life Ltd</t>
  </si>
  <si>
    <t>https://www.reichinsurance.co.uk/</t>
  </si>
  <si>
    <t>Mulberry Financial Ltd</t>
  </si>
  <si>
    <t>https://www.mulberryfinancial.co.uk/</t>
  </si>
  <si>
    <t>EJS Financial Planners Ltd</t>
  </si>
  <si>
    <t>https://www.ejsfp.co.uk/</t>
  </si>
  <si>
    <t>Infinity Asset Management LLP</t>
  </si>
  <si>
    <t>https://www.infinityllp.com/</t>
  </si>
  <si>
    <t>Clocktower Fund Management Limited</t>
  </si>
  <si>
    <t>https://www.clocktowerfm.com/</t>
  </si>
  <si>
    <t>TNW Financial Services Ltd</t>
  </si>
  <si>
    <t>https://www.tnwfs.co.uk/</t>
  </si>
  <si>
    <t>Corporate Benefits Consulting Ltd</t>
  </si>
  <si>
    <t>https://www.corporatebenefits.co.uk/</t>
  </si>
  <si>
    <t>Stafford &amp; Co Ltd</t>
  </si>
  <si>
    <t>https://www.pfgl.co.uk/</t>
  </si>
  <si>
    <t>WP Financial Services Ltd</t>
  </si>
  <si>
    <t>https://www.wpfinancialservices.co.uk/</t>
  </si>
  <si>
    <t>CF Partners (UK) LLP</t>
  </si>
  <si>
    <t>https://www.cf-partners.com/</t>
  </si>
  <si>
    <t>Rainbird &amp; Co IFA Ltd</t>
  </si>
  <si>
    <t>https://www.rainbirdandco.co.uk/</t>
  </si>
  <si>
    <t>Retirement &amp; Investment Solutions Limited</t>
  </si>
  <si>
    <t>https://www.retinvest.co.uk/</t>
  </si>
  <si>
    <t>Money Matters (North East) Limited</t>
  </si>
  <si>
    <t>https://www.moneymattersne.co.uk/</t>
  </si>
  <si>
    <t>Pettecrew Financial Planning Ltd</t>
  </si>
  <si>
    <t>https://www.myfinancepage.co.uk/</t>
  </si>
  <si>
    <t>Dial Partners LLP</t>
  </si>
  <si>
    <t>https://www.dialpartnersllp.com/</t>
  </si>
  <si>
    <t>Fiduciary Wealth Management Limited</t>
  </si>
  <si>
    <t>https://www.fiduciarywealth.gi/</t>
  </si>
  <si>
    <t>Barkestone Associates (Wealth Management) Limited</t>
  </si>
  <si>
    <t>https://www.barkestoneassociates.com/</t>
  </si>
  <si>
    <t>Quay Financial Advice Limited</t>
  </si>
  <si>
    <t>https://www.quayfinancial.co.uk/</t>
  </si>
  <si>
    <t>Oasis Crescent Wealth (UK) Limited</t>
  </si>
  <si>
    <t>https://www.oasiscrescent.co.uk/</t>
  </si>
  <si>
    <t>Efficient Portfolio Wealth Management Ltd</t>
  </si>
  <si>
    <t>https://www.efficientportfolio.co.uk/</t>
  </si>
  <si>
    <t>FS247 Ltd</t>
  </si>
  <si>
    <t>https://www.ff-p.co.uk/</t>
  </si>
  <si>
    <t>Sovereign Asset Management (Bristol) Ltd</t>
  </si>
  <si>
    <t>https://www.sovereignam.co.uk/</t>
  </si>
  <si>
    <t>Ethicalfin Limited</t>
  </si>
  <si>
    <t>https://www.ethicalfin.com/</t>
  </si>
  <si>
    <t>Tate Consultancy Limited</t>
  </si>
  <si>
    <t>https://www.tateconsultancy.com/</t>
  </si>
  <si>
    <t>Matrix Financial Limited</t>
  </si>
  <si>
    <t>https://www.matrixfinancial.co.uk/</t>
  </si>
  <si>
    <t>IRIS Advisory Limited</t>
  </si>
  <si>
    <t>https://www.iris-advisory.com/</t>
  </si>
  <si>
    <t>Axis Bank UK Limited</t>
  </si>
  <si>
    <t>https://www.axisbankuk.co.uk/</t>
  </si>
  <si>
    <t>Banking only - non-Fin advice</t>
  </si>
  <si>
    <t>AKL Financial Management Limited</t>
  </si>
  <si>
    <t>https://www.aklfm.co.uk/</t>
  </si>
  <si>
    <t>The First Choice Insurance Consultants Ltd</t>
  </si>
  <si>
    <t>https://www.1stchoiceconsultants.co.uk/</t>
  </si>
  <si>
    <t>Montagu Ltd</t>
  </si>
  <si>
    <t>https://www.montagu-online.com/</t>
  </si>
  <si>
    <t>T.H. March Financial Planning Limited</t>
  </si>
  <si>
    <t>https://www.thmarchfinancialplanning.co.uk/</t>
  </si>
  <si>
    <t>Friend-James Limited</t>
  </si>
  <si>
    <t>https://www.friend-james.com/</t>
  </si>
  <si>
    <t>Breed Elliott LLP</t>
  </si>
  <si>
    <t>https://www.breedelliott.com/</t>
  </si>
  <si>
    <t>Maxlyte Financial Limited</t>
  </si>
  <si>
    <t>https://www.maxlyte.co.uk/</t>
  </si>
  <si>
    <t>Arcanum Asset Management Ltd</t>
  </si>
  <si>
    <t>https://www.arcanum.co.uk/</t>
  </si>
  <si>
    <t>The Children's ISA Limited</t>
  </si>
  <si>
    <t>https://www.thechildrensisa.com/</t>
  </si>
  <si>
    <t>Ridgeway Capital LLP</t>
  </si>
  <si>
    <t>https://www.ridgewaycapital.co.uk/</t>
  </si>
  <si>
    <t>Darren Davidson</t>
  </si>
  <si>
    <t>https://www.claritywealthservices.co.uk/</t>
  </si>
  <si>
    <t>Allen Tomas &amp; Co Financial Management Ltd</t>
  </si>
  <si>
    <t>https://www.allentomasfinancial.co.uk/</t>
  </si>
  <si>
    <t>J Stern &amp; Co. LLP</t>
  </si>
  <si>
    <t>https://www.jsternco.com/</t>
  </si>
  <si>
    <t>Ambrose Fisher Ltd</t>
  </si>
  <si>
    <t>https://www.ambrosefisher.co.uk/</t>
  </si>
  <si>
    <t>Lampiers Financial Planning Ltd</t>
  </si>
  <si>
    <t>www.lampiers.com</t>
  </si>
  <si>
    <t>Define Financial Planning Limited</t>
  </si>
  <si>
    <t>https://www.definewealth.co.uk/</t>
  </si>
  <si>
    <t>DJC Financial Services</t>
  </si>
  <si>
    <t>https://www.djcfinancialservices.co.uk/</t>
  </si>
  <si>
    <t>Bygo Limited</t>
  </si>
  <si>
    <t>https://www.tradeonline.org.uk/</t>
  </si>
  <si>
    <t>Buzz Financial Ltd</t>
  </si>
  <si>
    <t>https://www.buzzfinancial.co.uk/</t>
  </si>
  <si>
    <t>Audere Solutions Ltd</t>
  </si>
  <si>
    <t>https://www.auderesolutions.com/</t>
  </si>
  <si>
    <t>Gavin Tansey Financial Services Limited</t>
  </si>
  <si>
    <t>https://www.gtcpc.co.uk/</t>
  </si>
  <si>
    <t>Pilling Financial Ltd</t>
  </si>
  <si>
    <t>https://www.pillingfinancial.co.uk/</t>
  </si>
  <si>
    <t>Ongoing charge not disclosed</t>
  </si>
  <si>
    <t>Clarity Wealth Management Solutions Ltd</t>
  </si>
  <si>
    <t>https://www.clarityifa.net/</t>
  </si>
  <si>
    <t>Alpha One Strategies Limited</t>
  </si>
  <si>
    <t>https://www.alphaonestrategies.com/</t>
  </si>
  <si>
    <t>Charter Wealth Management Limited</t>
  </si>
  <si>
    <t>https://www.cfpllp.com/</t>
  </si>
  <si>
    <t>Buchanan &amp; Associates Financial Planning Limited</t>
  </si>
  <si>
    <t>https://www.buchananadvice.co.uk/</t>
  </si>
  <si>
    <t>West Bridgford Wealth Management Ltd</t>
  </si>
  <si>
    <t>https://www.westbridgfordwm.co.uk/</t>
  </si>
  <si>
    <t>Lewis Capital Management Ltd</t>
  </si>
  <si>
    <t>https://www.lewiscapital.co.uk/</t>
  </si>
  <si>
    <t>Mercia Financial Planning Limited</t>
  </si>
  <si>
    <t>https://www.merciafp.com/</t>
  </si>
  <si>
    <t>Riverfort Global Capital Ltd</t>
  </si>
  <si>
    <t>https://www.riverfort.com/</t>
  </si>
  <si>
    <t>Earlyworld Capital Limited</t>
  </si>
  <si>
    <t>https://www.earlyworld-capital.co.uk/</t>
  </si>
  <si>
    <t>Ferguson Hill Asset Management Limited</t>
  </si>
  <si>
    <t>https://www.fergusonhillam.com/</t>
  </si>
  <si>
    <t>Pembroke Financial Services (Staplefield) Limited</t>
  </si>
  <si>
    <t>Peak Wealth Management Limited</t>
  </si>
  <si>
    <t>https://www.peakwm.co.uk/</t>
  </si>
  <si>
    <t>Investment &amp; Pension Advisory Ltd</t>
  </si>
  <si>
    <t>https://www.iandpa.com/</t>
  </si>
  <si>
    <t>Sama Wealth Limited</t>
  </si>
  <si>
    <t>https://www.samawealth.com/</t>
  </si>
  <si>
    <t>Webpage showing Error</t>
  </si>
  <si>
    <t>Fadders Consultancy Ltd</t>
  </si>
  <si>
    <t>https://www.faddersconsultancy.com/</t>
  </si>
  <si>
    <t>Aletheia Analyst Network Limited</t>
  </si>
  <si>
    <t>https://www.aletheia-capital.com/</t>
  </si>
  <si>
    <t>Clear Buy 2 Let Limited</t>
  </si>
  <si>
    <t>https://www.clearbuy2let.com/</t>
  </si>
  <si>
    <t>P N M Financial Management Limited</t>
  </si>
  <si>
    <t>www.pnmuk.co.uk</t>
  </si>
  <si>
    <t>Brackenbury (IFA) Limited</t>
  </si>
  <si>
    <t>https://www.rjbfinance.co.uk/</t>
  </si>
  <si>
    <t>Fulcrum Private Clients Limited</t>
  </si>
  <si>
    <t>https://www.fulcrum.london/ insightifa.</t>
  </si>
  <si>
    <t>Devizes Financial Services Ltd</t>
  </si>
  <si>
    <t>https://www.devizesfs.co.uk/</t>
  </si>
  <si>
    <t>The Medical Partnership (South West) Limited</t>
  </si>
  <si>
    <t>https://www.themedicalpartnership.com/</t>
  </si>
  <si>
    <t>Easi Route Ltd</t>
  </si>
  <si>
    <t>https://www.easiroute.co.uk/</t>
  </si>
  <si>
    <t>Anthony Ketteringham</t>
  </si>
  <si>
    <t>https://www.assetifa.co.uk/</t>
  </si>
  <si>
    <t>claim3000 ltd</t>
  </si>
  <si>
    <t>https://www.claim3000.co.uk/</t>
  </si>
  <si>
    <t>Masson Glennie LLP</t>
  </si>
  <si>
    <t>https://www.massonglennie.co.uk/</t>
  </si>
  <si>
    <t>Chetwood Investment Management Ltd</t>
  </si>
  <si>
    <t>https://www.chetwoodim.co.uk/</t>
  </si>
  <si>
    <t>FPM Advice Centre Limited</t>
  </si>
  <si>
    <t>https://www.fpmac.co.uk/</t>
  </si>
  <si>
    <t>Queens Gate Capital Advisors Limited</t>
  </si>
  <si>
    <t>https://www.qgcap.com/</t>
  </si>
  <si>
    <t>Asset Management Advice</t>
  </si>
  <si>
    <t>https://www.assetmanagementadvice.co.uk/</t>
  </si>
  <si>
    <t>Staverton Garage Limited</t>
  </si>
  <si>
    <t>https://www.stavertongarage.com/</t>
  </si>
  <si>
    <t>Pole Arnold Financial Management Ltd</t>
  </si>
  <si>
    <t>https://www.polearnold.co.uk/ mattioliwoods</t>
  </si>
  <si>
    <t>Nectar Wealth Limited</t>
  </si>
  <si>
    <t>https://www.nectarwealth.co.uk/</t>
  </si>
  <si>
    <t>Independent, Advanced &amp; Clear Ltd</t>
  </si>
  <si>
    <t>https://www.foundationfp.com/</t>
  </si>
  <si>
    <t>Kilkee Financial Services Limited</t>
  </si>
  <si>
    <t>Atlantic House Investments Limited</t>
  </si>
  <si>
    <t>https://www.atlantichousegroup.com/</t>
  </si>
  <si>
    <t>Barclay &amp; Bond Financial Planners LLP</t>
  </si>
  <si>
    <t>https://www.barclaybond.co.uk/</t>
  </si>
  <si>
    <t>BOS Wealth Management Europe S.A.</t>
  </si>
  <si>
    <t>https://www.bankofsingapore.com/bos-wealth-management-europe.html</t>
  </si>
  <si>
    <t>Highfield Mortgages Ltd</t>
  </si>
  <si>
    <t>https://www.highfieldmortgagesuk.com/</t>
  </si>
  <si>
    <t>Bloomfield Financial Limited</t>
  </si>
  <si>
    <t>https://www.bloomfieldfinancial.co.uk/</t>
  </si>
  <si>
    <t>James &amp; Co Wealth Management Limited</t>
  </si>
  <si>
    <t>https://www.jacwm.co.uk/</t>
  </si>
  <si>
    <t>Orion Ridge Capital Ltd</t>
  </si>
  <si>
    <t>https://www.orionridgecapital.co.uk/</t>
  </si>
  <si>
    <t>UR Mortgage London Ltd</t>
  </si>
  <si>
    <t>https://www.urmortgage.co.uk/</t>
  </si>
  <si>
    <t>Millfield Osceola Financial Consultancy Limited</t>
  </si>
  <si>
    <t>https://www.osceola.co.uk/</t>
  </si>
  <si>
    <t>Hamilton Court Foreign Exchange Limited</t>
  </si>
  <si>
    <t>https://www.hamiltoncourtfx.com/</t>
  </si>
  <si>
    <t>Lowndes Capital Limited</t>
  </si>
  <si>
    <t>https://www.lowndescap.com/</t>
  </si>
  <si>
    <t>Integer Advisors LLP</t>
  </si>
  <si>
    <t>https://www.integer-advisors.com/</t>
  </si>
  <si>
    <t>Barras Capital Management Limited</t>
  </si>
  <si>
    <t>https://www.barrascapital.com/</t>
  </si>
  <si>
    <t>K3 Advisory Limited</t>
  </si>
  <si>
    <t>https://www.k3advisory.com/</t>
  </si>
  <si>
    <t>Voyager Asset Management Ltd</t>
  </si>
  <si>
    <t>https://www.voyageram.co.uk/</t>
  </si>
  <si>
    <t>Mander Duffill Financial Services Ltd</t>
  </si>
  <si>
    <t>https://www.manderduffill.com/</t>
  </si>
  <si>
    <t>Stolworthy Pilling Ltd</t>
  </si>
  <si>
    <t>https://www.spallp.co.uk/</t>
  </si>
  <si>
    <t>Hamish Leng &amp; Company Limited</t>
  </si>
  <si>
    <t>www.hamishleng.co.uk</t>
  </si>
  <si>
    <t>Massive outlier, data omitted</t>
  </si>
  <si>
    <t>https://find-and-update.company-information.service.gov.uk/company/05960871</t>
  </si>
  <si>
    <t>24/7 Investment Management Ltd</t>
  </si>
  <si>
    <t>2TIX Ltd</t>
  </si>
  <si>
    <t>http://www.2tix.ltd/</t>
  </si>
  <si>
    <t>Above Wealth Management  LLP</t>
  </si>
  <si>
    <t>http://www.abovewealth.com</t>
  </si>
  <si>
    <t>Absolute AW Limited</t>
  </si>
  <si>
    <t>AGB &amp; Associates Ltd</t>
  </si>
  <si>
    <t>Agency Partners LLP</t>
  </si>
  <si>
    <t>https://www.agencypartners.co.uk/</t>
  </si>
  <si>
    <t>AIB Group (UK) Plc</t>
  </si>
  <si>
    <t>https://aibgb.co.uk/</t>
  </si>
  <si>
    <t>Airgead Financial Services Ltd</t>
  </si>
  <si>
    <t>AK WEALTH HOLDINGS LIMITED</t>
  </si>
  <si>
    <t>Allied Irish Banks Plc</t>
  </si>
  <si>
    <t>London branch</t>
  </si>
  <si>
    <t>Almond &amp; Jenkinson Financial Planning Ltd</t>
  </si>
  <si>
    <t>Apogee Financial Planning Limited</t>
  </si>
  <si>
    <t>Argent Wealth Limited</t>
  </si>
  <si>
    <t>Argentis Financial Management Ltd</t>
  </si>
  <si>
    <t>Ashmore Financial Services Limited</t>
  </si>
  <si>
    <t>Atlantic House Group Limited</t>
  </si>
  <si>
    <t>http://www.atlantichousegroup.com/</t>
  </si>
  <si>
    <t>Bank J. Safra Sarasin (Gibraltar) Ltd</t>
  </si>
  <si>
    <t>Bank Pictet &amp; Cie (Europe) AG</t>
  </si>
  <si>
    <t>https://www.pictet.com/uk/en</t>
  </si>
  <si>
    <t>Bartholomew Financial Limited</t>
  </si>
  <si>
    <t>Better Retirement Group Ltd</t>
  </si>
  <si>
    <t>C&amp;M Global Capital Management Limited</t>
  </si>
  <si>
    <t>Cadogan Wilson Limited</t>
  </si>
  <si>
    <t>Capital &amp; Income Solutions Ltd</t>
  </si>
  <si>
    <t>Capital Assets (North) Limited</t>
  </si>
  <si>
    <t>https://huntercapital.co.uk/</t>
  </si>
  <si>
    <t>Unreachable website</t>
  </si>
  <si>
    <t>Carrick IFC Ltd</t>
  </si>
  <si>
    <t>Catterall Keating Financial Planning Limited</t>
  </si>
  <si>
    <t>CFE (UK) Ltd</t>
  </si>
  <si>
    <t>CFP Energy (UK) Ltd.</t>
  </si>
  <si>
    <t>https://www.cfp.energy/</t>
  </si>
  <si>
    <t>Charterhouse London Mortgages Ltd</t>
  </si>
  <si>
    <t>Chase Financial Limited</t>
  </si>
  <si>
    <t>Civvals Financial Services Ltd</t>
  </si>
  <si>
    <t>CMS Financial Management Limited</t>
  </si>
  <si>
    <t>Colin Jones &amp; Associates Ltd</t>
  </si>
  <si>
    <t>Constellation Financial Solutions Limited</t>
  </si>
  <si>
    <t>Copia Wealth Management Ltd</t>
  </si>
  <si>
    <t>Copthorne Financial Services Ltd</t>
  </si>
  <si>
    <t>County Capital Wealth Management Limited</t>
  </si>
  <si>
    <t>Currencies Direct Financial Markets Limited</t>
  </si>
  <si>
    <t>D&amp;J McGuinness Personal Finance Ltd</t>
  </si>
  <si>
    <t>Dean Young</t>
  </si>
  <si>
    <t>Denis Hugh Gilgallon</t>
  </si>
  <si>
    <t>Dickinson &amp; Company Limited</t>
  </si>
  <si>
    <t>Everest Mortgage Services Ltd</t>
  </si>
  <si>
    <t>Fieldstone Private Capital Group Ltd</t>
  </si>
  <si>
    <t>Finance Together Limited</t>
  </si>
  <si>
    <t>Financialmum Ltd</t>
  </si>
  <si>
    <t>Fortress Financial LTD</t>
  </si>
  <si>
    <t>Gerald Morgan</t>
  </si>
  <si>
    <t>Gerard Savary Mortgages Ltd</t>
  </si>
  <si>
    <t>https://www.gerardsavarymortgages.com/</t>
  </si>
  <si>
    <t>Mortgage only</t>
  </si>
  <si>
    <t>Gibbons Wealth Management Limited</t>
  </si>
  <si>
    <t>Global Business Finance</t>
  </si>
  <si>
    <t>Global Preservation Strategies Limited</t>
  </si>
  <si>
    <t>Goldman Sachs International Bank</t>
  </si>
  <si>
    <t>Graeme James Dick</t>
  </si>
  <si>
    <t>Graeme Morrison Mackay</t>
  </si>
  <si>
    <t>Graham Curtis and Company</t>
  </si>
  <si>
    <t>Grant Financial Planning Ltd</t>
  </si>
  <si>
    <t>GRC Financial Management Limited</t>
  </si>
  <si>
    <t>Grosvenor Financial Services (South West) Limited</t>
  </si>
  <si>
    <t>Hamilton Rose Wealth Management Limited</t>
  </si>
  <si>
    <t>Hastings Financial Planning Limited</t>
  </si>
  <si>
    <t>Holistic Pension Transfer Specialists Limited</t>
  </si>
  <si>
    <t>IF Wealth Limited</t>
  </si>
  <si>
    <t>Inter-UK Financial Services Limited</t>
  </si>
  <si>
    <t>Invesco Asset Management Limited</t>
  </si>
  <si>
    <t>http://www.invesco.co.uk/</t>
  </si>
  <si>
    <t>J Buckley Investment Planning Services</t>
  </si>
  <si>
    <t>JB Management (UK) LLP</t>
  </si>
  <si>
    <t>John Charcol Limited</t>
  </si>
  <si>
    <t>http://www.charcol.co.uk/</t>
  </si>
  <si>
    <t>Julie McGee</t>
  </si>
  <si>
    <t>https://juliemcgee.co.uk/</t>
  </si>
  <si>
    <t>Kanaka Advisors Limited</t>
  </si>
  <si>
    <t>Kieldsen McLean Financial Services</t>
  </si>
  <si>
    <t>Lamont Financial</t>
  </si>
  <si>
    <t>LMN Capital Limited</t>
  </si>
  <si>
    <t>Logic Investments Ltd</t>
  </si>
  <si>
    <t>Lombard Street Research Financial Services Ltd</t>
  </si>
  <si>
    <t>http://www.tslombard.com</t>
  </si>
  <si>
    <t>Lyon Griffiths (Financial Services) Limited</t>
  </si>
  <si>
    <t>M. Emanuel</t>
  </si>
  <si>
    <t>M. Thurlow &amp; Co (Insurance) Brokers</t>
  </si>
  <si>
    <t>Macfarlane Wealth Management Ltd</t>
  </si>
  <si>
    <t>Maia Asset Management Limited</t>
  </si>
  <si>
    <t>http://www.maia-am.co.uk/</t>
  </si>
  <si>
    <t>Investment manager</t>
  </si>
  <si>
    <t>Malikks of Bellshill</t>
  </si>
  <si>
    <t>Mallinson Wealth Management Limited</t>
  </si>
  <si>
    <t>Marlowe Capital Limited</t>
  </si>
  <si>
    <t>http://www.marlowecapital.co.uk</t>
  </si>
  <si>
    <t>McDowell Financial Services Ltd</t>
  </si>
  <si>
    <t>mcdowellfs.com</t>
  </si>
  <si>
    <t>McLean's</t>
  </si>
  <si>
    <t>Meliora Asset Management Ltd</t>
  </si>
  <si>
    <t>Mike Callaghan</t>
  </si>
  <si>
    <t>Mike Norris Financial Services Limited</t>
  </si>
  <si>
    <t>Misland Capital Limited</t>
  </si>
  <si>
    <t>Home - Misland Capital</t>
  </si>
  <si>
    <t>Money Matters Independent Ltd</t>
  </si>
  <si>
    <t>Monster Insurance Services Ltd</t>
  </si>
  <si>
    <t>Mr Alan Stephen McMahon</t>
  </si>
  <si>
    <t>Murdoch Asset Management Limited</t>
  </si>
  <si>
    <t>Norrix Financial Services Limited</t>
  </si>
  <si>
    <t>Nouveau Wealth Management Ltd</t>
  </si>
  <si>
    <t>Oakhouse Financial Services Limited</t>
  </si>
  <si>
    <t>Orlando Heron</t>
  </si>
  <si>
    <t>holistcsfm.com</t>
  </si>
  <si>
    <t>Pace Financial Management Limited</t>
  </si>
  <si>
    <t>Pauline McCalmont</t>
  </si>
  <si>
    <t>Penny Lane Credit Services Ltd</t>
  </si>
  <si>
    <t>http://www.pennylanepawnbrokers.co.uk/</t>
  </si>
  <si>
    <t>Peter Hoare &amp; Company (Insurance Brokers) Limited</t>
  </si>
  <si>
    <t>Plan 2 Protect Limited</t>
  </si>
  <si>
    <t>https://trinitycapitalpartners.co.uk/</t>
  </si>
  <si>
    <t>Prosper Fintech Limited</t>
  </si>
  <si>
    <t>Protean Capital LLP</t>
  </si>
  <si>
    <t>protean-capital.com</t>
  </si>
  <si>
    <t>PS Financial Advisers Ltd</t>
  </si>
  <si>
    <t>Qiying Financial Limited</t>
  </si>
  <si>
    <t>Reyl &amp; Co (UK) LLP</t>
  </si>
  <si>
    <t>Russell Young IFA Limited</t>
  </si>
  <si>
    <t>S &amp; M Hughes Limited</t>
  </si>
  <si>
    <t>Samuel Bath Ltd</t>
  </si>
  <si>
    <t>Sara Louise Wilkinson</t>
  </si>
  <si>
    <t>Scodie Deyong Financial Services LLP</t>
  </si>
  <si>
    <t>Sentinel Portfolio Management Limited</t>
  </si>
  <si>
    <t>https://sentinelportfoliomanagement.co.uk/</t>
  </si>
  <si>
    <t>Simon Jeremy Bailey</t>
  </si>
  <si>
    <t>Simply Mortgages (NW) Ltd</t>
  </si>
  <si>
    <t>https://simplymortgages.co.uk/</t>
  </si>
  <si>
    <t>Mortgage broker</t>
  </si>
  <si>
    <t>Squared Limited</t>
  </si>
  <si>
    <t>Sterling Wealth Ltd</t>
  </si>
  <si>
    <t>Strass Capital Limited</t>
  </si>
  <si>
    <t>Swee Li</t>
  </si>
  <si>
    <t>The Big Picture Wealth Management Ltd</t>
  </si>
  <si>
    <t>The Mortgage Market UK Ltd</t>
  </si>
  <si>
    <t>Thomas Financial Limited</t>
  </si>
  <si>
    <t>Thomas Joseph Charters</t>
  </si>
  <si>
    <t>Thornbridge Investment Management LLP</t>
  </si>
  <si>
    <t>http://www.thornbridge.com/</t>
  </si>
  <si>
    <t>TILNEY DISCRETIONARY PORTFOLIO MANAGEMENT LIMITED</t>
  </si>
  <si>
    <t>Transatlantic Life Assurance Company Limited</t>
  </si>
  <si>
    <t>TRUST DFM LIMITED</t>
  </si>
  <si>
    <t>William O'Neil &amp; Co. Incorporated</t>
  </si>
  <si>
    <t>4 THE RECORD COMPLIANCE LTD</t>
  </si>
  <si>
    <t>www.moneyhoneyfp.co.uk</t>
  </si>
  <si>
    <t>https://5581eb61-677a-472c-b5d8-ebf87f51476f.filesusr.com/ugd/2c7088_7e8b931fc0164a56a904ce474e508293.pdf</t>
  </si>
  <si>
    <t>https://find-and-update.company-information.service.gov.uk/company/08107961/filing-history</t>
  </si>
  <si>
    <t>Ahli United Bank (UK) PLC</t>
  </si>
  <si>
    <t>www.uk.kfh.com</t>
  </si>
  <si>
    <t>Non advice mostly banking</t>
  </si>
  <si>
    <t>AJD Financial Services Ltd</t>
  </si>
  <si>
    <t>ajdfs.co.uk</t>
  </si>
  <si>
    <t>Alan Donald &amp; Company Limited</t>
  </si>
  <si>
    <t>www.alandonald.co.uk</t>
  </si>
  <si>
    <t>https://alandonald.co.uk/faqs</t>
  </si>
  <si>
    <t>https://find-and-update.company-information.service.gov.uk/company/09068172/filing-history</t>
  </si>
  <si>
    <t>Anders Bayley Scott Limited</t>
  </si>
  <si>
    <t>www.andersbayleyscott.co.uk</t>
  </si>
  <si>
    <t>https://www.andersbayleyscott.co.uk/image/data/2020%20ABS%20Client%20Agreement%20for%20Investments%20_June%202020_-min.pdf</t>
  </si>
  <si>
    <t>https://find-and-update.company-information.service.gov.uk/company/07889267</t>
  </si>
  <si>
    <t>Archytas Strategic Planning Ltd</t>
  </si>
  <si>
    <t>https://www.archytas-strategic.com/</t>
  </si>
  <si>
    <t>Ashton Mortgage &amp; Financial Solutions Ltd</t>
  </si>
  <si>
    <t>www.amfsltd.co.uk</t>
  </si>
  <si>
    <t>Barclays Bank Plc</t>
  </si>
  <si>
    <t>www.barclays.com</t>
  </si>
  <si>
    <t>Bastow &amp; Co Ltd</t>
  </si>
  <si>
    <t>www.bastowandco.ltd.uk</t>
  </si>
  <si>
    <t>BBI Independent Financial Advisers Ltd</t>
  </si>
  <si>
    <t>www.bbi-ifa.co.uk</t>
  </si>
  <si>
    <t>Berry Financial Planning Ltd</t>
  </si>
  <si>
    <t>www.berryfinancialplanning.co.uk</t>
  </si>
  <si>
    <t>Big River Ltd</t>
  </si>
  <si>
    <t>CANTAB ASSET MANAGEMENT LIMITED</t>
  </si>
  <si>
    <t>www.cantabam.com</t>
  </si>
  <si>
    <t>Capel Court Public Limited Company</t>
  </si>
  <si>
    <t>https://capelcourt.cliftonwp.co.uk/</t>
  </si>
  <si>
    <t>Capital Markets Strategy Ltd</t>
  </si>
  <si>
    <t>Capital Professional Limited</t>
  </si>
  <si>
    <t>Cartwright Benefit Solutions Ltd</t>
  </si>
  <si>
    <t>www.cartwright.co.uk</t>
  </si>
  <si>
    <t>Chaldon Fox Associates Ltd</t>
  </si>
  <si>
    <t>https://www.chaldonfoxassociates.co.uk/</t>
  </si>
  <si>
    <t>Clarity Independant Financial Advisors Ltd</t>
  </si>
  <si>
    <t>www.clarityifa.com</t>
  </si>
  <si>
    <t>Cozens and Bird Financial Services Ltd</t>
  </si>
  <si>
    <t>Cradle Overseas Pensions Ltd</t>
  </si>
  <si>
    <t>https://www.cradleltd.co.uk/</t>
  </si>
  <si>
    <t>Darnells Wealth Management Ltd</t>
  </si>
  <si>
    <t>https://www.darnellswm.co.uk/</t>
  </si>
  <si>
    <t>Delaunay Wealth Management Ltd</t>
  </si>
  <si>
    <t>www.delaunaywealth.com</t>
  </si>
  <si>
    <t>https://delaunaywealth.com/our-fees/</t>
  </si>
  <si>
    <t>https://find-and-update.company-information.service.gov.uk/company/08107472/filing-history</t>
  </si>
  <si>
    <t>Douglas Hope Financial Management</t>
  </si>
  <si>
    <t>www.dhfm.co.uk</t>
  </si>
  <si>
    <t>https://dhfm.co.uk/wealth-management/</t>
  </si>
  <si>
    <t>https://find-and-update.company-information.service.gov.uk/search?q=Douglas+Hope+Financial+Management</t>
  </si>
  <si>
    <t>Eastcote Wealth Management Limited</t>
  </si>
  <si>
    <t>https://partnerswealthmanagement.co.uk/</t>
  </si>
  <si>
    <t>EGB Financial Ltd</t>
  </si>
  <si>
    <t>https://www.thereviewbusiness.co.uk/</t>
  </si>
  <si>
    <t>Eurotrade Capital Ltd</t>
  </si>
  <si>
    <t>www.euro.capital</t>
  </si>
  <si>
    <t>Non retail advice</t>
  </si>
  <si>
    <t>Expatriate Advisory Services Plc</t>
  </si>
  <si>
    <t>Faraday Financial Planning Ltd</t>
  </si>
  <si>
    <t>www.faradayfinancial.co.uk</t>
  </si>
  <si>
    <t>Fox &amp; Co Financial Management Ltd</t>
  </si>
  <si>
    <t>www.foxandco.com</t>
  </si>
  <si>
    <t>Fraser Spy Financial Services Ltd</t>
  </si>
  <si>
    <t>www.fraserspy.co.uk</t>
  </si>
  <si>
    <t>G G Lewis and Company</t>
  </si>
  <si>
    <t>GB &amp; Partners Ltd</t>
  </si>
  <si>
    <t>Gnosco Financial Planning Limited</t>
  </si>
  <si>
    <t>www.gnoscofp.com</t>
  </si>
  <si>
    <t>Handford Aitkenhead &amp; Walker Ltd</t>
  </si>
  <si>
    <t>https://optimumpath.co.uk</t>
  </si>
  <si>
    <t>https://optimumpath.co.uk/fees/</t>
  </si>
  <si>
    <t>https://find-and-update.company-information.service.gov.uk/company/01377493/filing-history</t>
  </si>
  <si>
    <t>Horlock Holdcroft Financial Consultants Ltd</t>
  </si>
  <si>
    <t>www.horlockholdcroft.co.uk</t>
  </si>
  <si>
    <t>Hottinger &amp; Co Limited</t>
  </si>
  <si>
    <t>http://www.hottinger.co.uk/</t>
  </si>
  <si>
    <t>IM Asset Management Ltd</t>
  </si>
  <si>
    <t>Imperious Capital Partners Ltd</t>
  </si>
  <si>
    <t>https://www.imperious-capital.co.uk/</t>
  </si>
  <si>
    <t>Jackson Hodge Wealth Management Services Limited</t>
  </si>
  <si>
    <t>www.acaciawealth.co.uk</t>
  </si>
  <si>
    <t>Jim Paul and Associates Limited</t>
  </si>
  <si>
    <t>JLS Associates Independent Financial Advisers Ltd</t>
  </si>
  <si>
    <t>Kingfurness and Associates Ltd</t>
  </si>
  <si>
    <t>www.kingfurness.co.uk</t>
  </si>
  <si>
    <t>https://kingfurness.co.uk/wp-content/uploads/2024/07/KFA-Terms-of-Business_Private-Client_11042024.pdf</t>
  </si>
  <si>
    <t>https://find-and-update.company-information.service.gov.uk/company/03855110</t>
  </si>
  <si>
    <t>Kymin Financial Services Ltd</t>
  </si>
  <si>
    <t>www.kymin.co.uk</t>
  </si>
  <si>
    <t>Laurus Associates Limited</t>
  </si>
  <si>
    <t>Lomond Financial Management Limited</t>
  </si>
  <si>
    <t>www.ritewealth.co.uk</t>
  </si>
  <si>
    <t>Manor House Financial Services Ltd</t>
  </si>
  <si>
    <t>www.msgifa.co.uk</t>
  </si>
  <si>
    <t>Mattioli Woods PLC</t>
  </si>
  <si>
    <t>McHardy Financial Limited</t>
  </si>
  <si>
    <t>www.mchb.co.uk</t>
  </si>
  <si>
    <t>MHA Caves Wealth Limited</t>
  </si>
  <si>
    <t>www.mha.co.uk</t>
  </si>
  <si>
    <t>Non retail financial advice</t>
  </si>
  <si>
    <t>Michael Forward Financial Services Ltd</t>
  </si>
  <si>
    <t>www.michaelforward.co.uk</t>
  </si>
  <si>
    <t>Miller Associates Limited</t>
  </si>
  <si>
    <t>www.millerassociates.co.uk</t>
  </si>
  <si>
    <t>Milne Craig</t>
  </si>
  <si>
    <t>Mitchell Prockter Financial Services Limited</t>
  </si>
  <si>
    <t>www.mitchellprockter.co.uk</t>
  </si>
  <si>
    <t>NFP Wealth Management Limited</t>
  </si>
  <si>
    <t>Niven Financial Ltd</t>
  </si>
  <si>
    <t>ww.nivenfinancial.co.uk</t>
  </si>
  <si>
    <t>Octave Financial Planning Ltd</t>
  </si>
  <si>
    <t>www.octavefinancial.co.uk</t>
  </si>
  <si>
    <t>P M Independent Financial Services</t>
  </si>
  <si>
    <t>www.stableinvestment.co.uk</t>
  </si>
  <si>
    <t>Perspective (Northants &amp; Cambs) Ltd</t>
  </si>
  <si>
    <t>www.pfgl.co.uk/pcel</t>
  </si>
  <si>
    <t>Perspective (Thornton Springer) Ltd</t>
  </si>
  <si>
    <t>www.pfgl.co.uk/thorntonspringer</t>
  </si>
  <si>
    <t>PIPER SANDLER LTD</t>
  </si>
  <si>
    <t>http://www.pipersandler.com/</t>
  </si>
  <si>
    <t>R Sheridan &amp; Co</t>
  </si>
  <si>
    <t>Rose Financial Services Ltd</t>
  </si>
  <si>
    <t>www.rosefinancialservices.co.uk</t>
  </si>
  <si>
    <t>Savvy Wealth Management Limited</t>
  </si>
  <si>
    <t>https://savvywealth.wales/</t>
  </si>
  <si>
    <t>Skerritt Consultants Limited</t>
  </si>
  <si>
    <t>Springfield Financial Services Limited</t>
  </si>
  <si>
    <t>Structured Financial Planning Ltd</t>
  </si>
  <si>
    <t>www.sfp-ifa.co.uk</t>
  </si>
  <si>
    <t>Style Insurance &amp; Mortgage Services Ltd</t>
  </si>
  <si>
    <t>https://styleinsurance.ifa-web.co.uk/</t>
  </si>
  <si>
    <t>Tavistock Partners Limited</t>
  </si>
  <si>
    <t>www.abacusadvisers.co.uk</t>
  </si>
  <si>
    <t>Saltus</t>
  </si>
  <si>
    <t>The Dorchester Finance</t>
  </si>
  <si>
    <t>The Saltus Partnership Limited</t>
  </si>
  <si>
    <t>https://www.saltus.co.uk/partnership-programme</t>
  </si>
  <si>
    <t>Tiger Financial &amp; Asset Management Ltd</t>
  </si>
  <si>
    <t>www.marygoldandco.uk</t>
  </si>
  <si>
    <t>Tower Associates</t>
  </si>
  <si>
    <t>TW11 Wealth Management Ltd</t>
  </si>
  <si>
    <t>www.octopusmoney.com</t>
  </si>
  <si>
    <t>Tyburn Asset Management Limited</t>
  </si>
  <si>
    <t>www.tyburnam.co.uk</t>
  </si>
  <si>
    <t>Whiteleaf Financial Plc</t>
  </si>
  <si>
    <t>https://zomiwealth.com/</t>
  </si>
  <si>
    <t>WPS Financial Group Limited</t>
  </si>
  <si>
    <t>M4FG.com</t>
  </si>
  <si>
    <t>Fund cost is an average of range provided</t>
  </si>
  <si>
    <t>https://sipwealthmanagement.co.uk/client-documents/client-agreement-and-service-proposition/</t>
  </si>
  <si>
    <t>Blackrock MyMap 5 Fund D GBP Acc, GB00BFBFYQ25:GBP summary - FT.com</t>
  </si>
  <si>
    <t>Ongoing plus initial charge in one</t>
  </si>
  <si>
    <t>Discretionary management fee as product cost</t>
  </si>
  <si>
    <t>No separated ongoing charge. No product manufactured</t>
  </si>
  <si>
    <t>GIA and ISA implementation fee band selected (as this is investment advice) and ongoing based on the Model discretionary</t>
  </si>
  <si>
    <t>Class as IT due to the large range of third party product available to fidelity advisors</t>
  </si>
  <si>
    <t>Ongoing not compulsory but review service are available, ongoing is the review charge for a standard service</t>
  </si>
  <si>
    <t>Advice fee from 500/20k investment indicated and ongoing is wrapped in platform fee</t>
  </si>
  <si>
    <t>Part of Schroder and Cazenove</t>
  </si>
  <si>
    <t>Dissolved</t>
  </si>
  <si>
    <t>Part of Ascot Lloyd</t>
  </si>
  <si>
    <t xml:space="preserve">Now part of Ascot Lloyd, at lease one adviser assigned as no adviser count is available </t>
  </si>
  <si>
    <t>Fund charge included product/platform charge</t>
  </si>
  <si>
    <t>Variable</t>
  </si>
  <si>
    <t>N</t>
  </si>
  <si>
    <t>Mean</t>
  </si>
  <si>
    <t>SE Mean</t>
  </si>
  <si>
    <t>StDev</t>
  </si>
  <si>
    <t>Minimum</t>
  </si>
  <si>
    <t>Q1</t>
  </si>
  <si>
    <t>Median</t>
  </si>
  <si>
    <t xml:space="preserve"> </t>
  </si>
  <si>
    <t>FC</t>
  </si>
  <si>
    <t>PR</t>
  </si>
  <si>
    <t>Q3</t>
  </si>
  <si>
    <t>Maximum</t>
  </si>
  <si>
    <t xml:space="preserve"> N</t>
  </si>
  <si>
    <t>PC/FC</t>
  </si>
  <si>
    <t>OngoingFee (plus platform fee)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</si>
</sst>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\-??_-;_-@_-"/>
    <numFmt numFmtId="165" formatCode="0.000%"/>
    <numFmt numFmtId="166" formatCode="0.0%"/>
    <numFmt numFmtId="167" formatCode="0.000"/>
    <numFmt numFmtId="168" formatCode="0.0"/>
  </numFmts>
  <fonts count="17" x14ac:knownFonts="1">
    <font>
      <sz val="11"/>
      <color rgb="FF000000"/>
      <name val="Aptos Narrow"/>
      <family val="2"/>
      <charset val="1"/>
    </font>
    <font>
      <sz val="11"/>
      <color theme="1"/>
      <name val="Aptos Narrow"/>
      <family val="2"/>
      <scheme val="minor"/>
    </font>
    <font>
      <b/>
      <sz val="15"/>
      <color rgb="FF0E2841"/>
      <name val="Aptos Narrow"/>
      <family val="2"/>
      <charset val="1"/>
    </font>
    <font>
      <b/>
      <sz val="12"/>
      <color rgb="FF0E2841"/>
      <name val="Times New Roman"/>
      <family val="1"/>
      <charset val="1"/>
    </font>
    <font>
      <sz val="11"/>
      <color rgb="FF000000"/>
      <name val="Aptos Narrow"/>
      <family val="2"/>
      <charset val="1"/>
    </font>
    <font>
      <u/>
      <sz val="11"/>
      <color rgb="FF467886"/>
      <name val="Aptos Narrow"/>
      <family val="2"/>
      <charset val="1"/>
    </font>
    <font>
      <sz val="8"/>
      <color rgb="FF000000"/>
      <name val="Aptos Narrow"/>
      <family val="2"/>
      <charset val="1"/>
    </font>
    <font>
      <u/>
      <sz val="8"/>
      <color rgb="FF467886"/>
      <name val="Aptos Narrow"/>
      <family val="2"/>
      <charset val="1"/>
    </font>
    <font>
      <sz val="5"/>
      <color rgb="FF000000"/>
      <name val="Arial"/>
      <family val="2"/>
      <charset val="1"/>
    </font>
    <font>
      <sz val="11"/>
      <color rgb="FFE97132"/>
      <name val="Aptos Narrow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Times New Roman"/>
      <family val="1"/>
      <charset val="1"/>
    </font>
    <font>
      <sz val="11"/>
      <color rgb="FFFF0000"/>
      <name val="Aptos Narrow"/>
      <family val="2"/>
      <charset val="1"/>
    </font>
    <font>
      <sz val="10"/>
      <color rgb="FF000000"/>
      <name val="Arial"/>
      <family val="2"/>
      <charset val="1"/>
    </font>
    <font>
      <sz val="8"/>
      <color rgb="FF000000"/>
      <name val="Verdana"/>
      <family val="2"/>
      <charset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C000"/>
      </patternFill>
    </fill>
    <fill>
      <patternFill patternType="solid">
        <fgColor rgb="FF595959"/>
        <bgColor rgb="FF404040"/>
      </patternFill>
    </fill>
    <fill>
      <patternFill patternType="solid">
        <fgColor rgb="FFD1D1D1"/>
        <bgColor rgb="FFBFBFBF"/>
      </patternFill>
    </fill>
    <fill>
      <patternFill patternType="solid">
        <fgColor rgb="FFE59EDD"/>
        <bgColor rgb="FFF2AA84"/>
      </patternFill>
    </fill>
    <fill>
      <patternFill patternType="solid">
        <fgColor rgb="FFFF0000"/>
        <bgColor rgb="FF800000"/>
      </patternFill>
    </fill>
    <fill>
      <patternFill patternType="solid">
        <fgColor rgb="FF156082"/>
        <bgColor rgb="FF0070C0"/>
      </patternFill>
    </fill>
    <fill>
      <patternFill patternType="solid">
        <fgColor rgb="FFC2F1C8"/>
        <bgColor rgb="FFD9F2D0"/>
      </patternFill>
    </fill>
    <fill>
      <patternFill patternType="solid">
        <fgColor rgb="FF7F7F7F"/>
        <bgColor rgb="FF747474"/>
      </patternFill>
    </fill>
    <fill>
      <patternFill patternType="solid">
        <fgColor rgb="FFF2CFEE"/>
        <bgColor rgb="FFFBE3D6"/>
      </patternFill>
    </fill>
    <fill>
      <patternFill patternType="solid">
        <fgColor rgb="FF84E291"/>
        <bgColor rgb="FFB4E5A2"/>
      </patternFill>
    </fill>
    <fill>
      <patternFill patternType="solid">
        <fgColor rgb="FFE5FFB7"/>
        <bgColor rgb="FFD9F2D0"/>
      </patternFill>
    </fill>
    <fill>
      <patternFill patternType="solid">
        <fgColor rgb="FFE97132"/>
        <bgColor rgb="FFC04F15"/>
      </patternFill>
    </fill>
    <fill>
      <patternFill patternType="solid">
        <fgColor rgb="FF0070C0"/>
        <bgColor rgb="FF156082"/>
      </patternFill>
    </fill>
    <fill>
      <patternFill patternType="solid">
        <fgColor rgb="FF78206E"/>
        <bgColor rgb="FF993366"/>
      </patternFill>
    </fill>
    <fill>
      <patternFill patternType="solid">
        <fgColor rgb="FFD86ECC"/>
        <bgColor rgb="FFE59EDD"/>
      </patternFill>
    </fill>
    <fill>
      <patternFill patternType="solid">
        <fgColor rgb="FFAEAEAE"/>
        <bgColor rgb="FFB2B2B2"/>
      </patternFill>
    </fill>
    <fill>
      <patternFill patternType="solid">
        <fgColor rgb="FF404040"/>
        <bgColor rgb="FF333300"/>
      </patternFill>
    </fill>
    <fill>
      <patternFill patternType="solid">
        <fgColor rgb="FFE8E8E8"/>
        <bgColor rgb="FFDCEAF7"/>
      </patternFill>
    </fill>
    <fill>
      <patternFill patternType="solid">
        <fgColor rgb="FFFBE3D6"/>
        <bgColor rgb="FFE8E8E8"/>
      </patternFill>
    </fill>
    <fill>
      <patternFill patternType="solid">
        <fgColor theme="7" tint="0.59999389629810485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rgb="FF156082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indexed="64"/>
      </bottom>
      <diagonal/>
    </border>
    <border>
      <left/>
      <right/>
      <top style="medium">
        <color theme="4"/>
      </top>
      <bottom style="medium">
        <color indexed="64"/>
      </bottom>
      <diagonal/>
    </border>
    <border>
      <left/>
      <right style="medium">
        <color theme="4"/>
      </right>
      <top style="medium">
        <color theme="4"/>
      </top>
      <bottom style="medium">
        <color indexed="6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4"/>
      </right>
      <top style="medium">
        <color indexed="64"/>
      </top>
      <bottom style="medium">
        <color indexed="64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</borders>
  <cellStyleXfs count="6">
    <xf numFmtId="0" fontId="0" fillId="0" borderId="0"/>
    <xf numFmtId="164" fontId="4" fillId="0" borderId="0" applyBorder="0" applyProtection="0"/>
    <xf numFmtId="9" fontId="4" fillId="0" borderId="0" applyBorder="0" applyProtection="0"/>
    <xf numFmtId="0" fontId="5" fillId="0" borderId="0" applyBorder="0" applyProtection="0"/>
    <xf numFmtId="0" fontId="2" fillId="0" borderId="1" applyProtection="0"/>
    <xf numFmtId="0" fontId="1" fillId="21" borderId="0" applyNumberFormat="0" applyBorder="0" applyAlignment="0" applyProtection="0"/>
  </cellStyleXfs>
  <cellXfs count="153">
    <xf numFmtId="0" fontId="0" fillId="0" borderId="0" xfId="0"/>
    <xf numFmtId="0" fontId="3" fillId="0" borderId="1" xfId="4" applyFont="1" applyAlignment="1" applyProtection="1">
      <alignment wrapText="1"/>
    </xf>
    <xf numFmtId="0" fontId="5" fillId="0" borderId="0" xfId="3" applyBorder="1" applyProtection="1"/>
    <xf numFmtId="10" fontId="0" fillId="0" borderId="0" xfId="0" applyNumberFormat="1"/>
    <xf numFmtId="10" fontId="4" fillId="0" borderId="0" xfId="2" applyNumberFormat="1" applyBorder="1" applyProtection="1"/>
    <xf numFmtId="0" fontId="6" fillId="0" borderId="0" xfId="0" applyFont="1"/>
    <xf numFmtId="164" fontId="4" fillId="0" borderId="0" xfId="1" applyBorder="1" applyProtection="1"/>
    <xf numFmtId="9" fontId="0" fillId="0" borderId="0" xfId="0" applyNumberFormat="1"/>
    <xf numFmtId="0" fontId="0" fillId="2" borderId="0" xfId="0" applyFill="1"/>
    <xf numFmtId="10" fontId="0" fillId="3" borderId="0" xfId="0" applyNumberFormat="1" applyFill="1"/>
    <xf numFmtId="2" fontId="0" fillId="0" borderId="0" xfId="0" applyNumberFormat="1"/>
    <xf numFmtId="3" fontId="0" fillId="0" borderId="0" xfId="0" applyNumberFormat="1"/>
    <xf numFmtId="9" fontId="0" fillId="2" borderId="0" xfId="0" applyNumberFormat="1" applyFill="1"/>
    <xf numFmtId="10" fontId="0" fillId="2" borderId="0" xfId="0" applyNumberFormat="1" applyFill="1"/>
    <xf numFmtId="0" fontId="0" fillId="4" borderId="0" xfId="0" applyFill="1"/>
    <xf numFmtId="0" fontId="5" fillId="4" borderId="0" xfId="3" applyFill="1" applyBorder="1" applyProtection="1"/>
    <xf numFmtId="10" fontId="0" fillId="4" borderId="0" xfId="0" applyNumberFormat="1" applyFill="1"/>
    <xf numFmtId="10" fontId="4" fillId="4" borderId="0" xfId="2" applyNumberFormat="1" applyFill="1" applyBorder="1" applyProtection="1"/>
    <xf numFmtId="164" fontId="4" fillId="4" borderId="0" xfId="1" applyFill="1" applyBorder="1" applyProtection="1"/>
    <xf numFmtId="0" fontId="0" fillId="5" borderId="0" xfId="0" applyFill="1"/>
    <xf numFmtId="10" fontId="0" fillId="5" borderId="0" xfId="0" applyNumberFormat="1" applyFill="1"/>
    <xf numFmtId="0" fontId="0" fillId="6" borderId="0" xfId="0" applyFill="1"/>
    <xf numFmtId="0" fontId="0" fillId="7" borderId="0" xfId="0" applyFill="1"/>
    <xf numFmtId="9" fontId="0" fillId="5" borderId="0" xfId="0" applyNumberFormat="1" applyFill="1"/>
    <xf numFmtId="0" fontId="0" fillId="8" borderId="0" xfId="0" applyFill="1"/>
    <xf numFmtId="165" fontId="0" fillId="0" borderId="0" xfId="0" applyNumberFormat="1"/>
    <xf numFmtId="0" fontId="0" fillId="3" borderId="0" xfId="0" applyFill="1"/>
    <xf numFmtId="0" fontId="5" fillId="0" borderId="0" xfId="3" applyBorder="1" applyAlignment="1" applyProtection="1">
      <alignment vertical="center" wrapText="1"/>
    </xf>
    <xf numFmtId="0" fontId="0" fillId="9" borderId="0" xfId="0" applyFill="1"/>
    <xf numFmtId="0" fontId="5" fillId="9" borderId="0" xfId="3" applyFill="1" applyBorder="1" applyProtection="1"/>
    <xf numFmtId="10" fontId="0" fillId="9" borderId="0" xfId="0" applyNumberFormat="1" applyFill="1"/>
    <xf numFmtId="10" fontId="4" fillId="9" borderId="0" xfId="2" applyNumberFormat="1" applyFill="1" applyBorder="1" applyProtection="1"/>
    <xf numFmtId="2" fontId="0" fillId="9" borderId="0" xfId="0" applyNumberFormat="1" applyFill="1"/>
    <xf numFmtId="166" fontId="0" fillId="0" borderId="0" xfId="0" applyNumberFormat="1"/>
    <xf numFmtId="0" fontId="0" fillId="10" borderId="0" xfId="0" applyFill="1"/>
    <xf numFmtId="9" fontId="0" fillId="10" borderId="0" xfId="0" applyNumberFormat="1" applyFill="1"/>
    <xf numFmtId="10" fontId="0" fillId="10" borderId="0" xfId="0" applyNumberFormat="1" applyFill="1"/>
    <xf numFmtId="2" fontId="0" fillId="10" borderId="0" xfId="0" applyNumberFormat="1" applyFill="1"/>
    <xf numFmtId="0" fontId="0" fillId="11" borderId="0" xfId="0" applyFill="1"/>
    <xf numFmtId="0" fontId="5" fillId="12" borderId="0" xfId="3" applyFill="1" applyBorder="1" applyProtection="1"/>
    <xf numFmtId="0" fontId="0" fillId="13" borderId="0" xfId="0" applyFill="1"/>
    <xf numFmtId="0" fontId="5" fillId="13" borderId="0" xfId="3" applyFill="1" applyBorder="1" applyProtection="1"/>
    <xf numFmtId="0" fontId="0" fillId="14" borderId="0" xfId="0" applyFill="1"/>
    <xf numFmtId="10" fontId="0" fillId="14" borderId="0" xfId="0" applyNumberFormat="1" applyFill="1"/>
    <xf numFmtId="0" fontId="0" fillId="15" borderId="0" xfId="0" applyFill="1"/>
    <xf numFmtId="10" fontId="0" fillId="15" borderId="0" xfId="0" applyNumberFormat="1" applyFill="1"/>
    <xf numFmtId="0" fontId="0" fillId="16" borderId="0" xfId="0" applyFill="1"/>
    <xf numFmtId="0" fontId="5" fillId="5" borderId="0" xfId="3" applyFill="1" applyBorder="1" applyProtection="1"/>
    <xf numFmtId="0" fontId="9" fillId="0" borderId="0" xfId="0" applyFont="1"/>
    <xf numFmtId="9" fontId="0" fillId="16" borderId="0" xfId="0" applyNumberFormat="1" applyFill="1"/>
    <xf numFmtId="10" fontId="0" fillId="17" borderId="0" xfId="0" applyNumberFormat="1" applyFill="1"/>
    <xf numFmtId="0" fontId="0" fillId="0" borderId="2" xfId="0" applyBorder="1"/>
    <xf numFmtId="9" fontId="0" fillId="0" borderId="2" xfId="0" applyNumberFormat="1" applyBorder="1"/>
    <xf numFmtId="10" fontId="0" fillId="18" borderId="0" xfId="0" applyNumberFormat="1" applyFill="1"/>
    <xf numFmtId="10" fontId="0" fillId="0" borderId="2" xfId="0" applyNumberFormat="1" applyBorder="1"/>
    <xf numFmtId="0" fontId="7" fillId="9" borderId="0" xfId="3" applyFont="1" applyFill="1" applyBorder="1" applyProtection="1"/>
    <xf numFmtId="3" fontId="0" fillId="9" borderId="0" xfId="0" applyNumberFormat="1" applyFill="1"/>
    <xf numFmtId="0" fontId="0" fillId="18" borderId="0" xfId="0" applyFill="1"/>
    <xf numFmtId="10" fontId="4" fillId="18" borderId="0" xfId="2" applyNumberFormat="1" applyFill="1" applyBorder="1" applyProtection="1"/>
    <xf numFmtId="0" fontId="5" fillId="18" borderId="0" xfId="3" applyFill="1" applyBorder="1" applyProtection="1"/>
    <xf numFmtId="2" fontId="0" fillId="18" borderId="0" xfId="0" applyNumberFormat="1" applyFill="1"/>
    <xf numFmtId="2" fontId="0" fillId="4" borderId="0" xfId="0" applyNumberFormat="1" applyFill="1"/>
    <xf numFmtId="0" fontId="0" fillId="19" borderId="0" xfId="0" applyFill="1"/>
    <xf numFmtId="10" fontId="4" fillId="19" borderId="0" xfId="2" applyNumberFormat="1" applyFill="1" applyBorder="1" applyProtection="1"/>
    <xf numFmtId="10" fontId="0" fillId="19" borderId="0" xfId="0" applyNumberFormat="1" applyFill="1"/>
    <xf numFmtId="0" fontId="12" fillId="9" borderId="0" xfId="0" applyFont="1" applyFill="1"/>
    <xf numFmtId="0" fontId="0" fillId="20" borderId="0" xfId="0" applyFill="1"/>
    <xf numFmtId="0" fontId="5" fillId="2" borderId="0" xfId="3" applyFill="1" applyBorder="1" applyProtection="1"/>
    <xf numFmtId="0" fontId="5" fillId="0" borderId="0" xfId="3"/>
    <xf numFmtId="0" fontId="12" fillId="0" borderId="0" xfId="0" applyFont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9" xfId="0" applyBorder="1"/>
    <xf numFmtId="2" fontId="0" fillId="0" borderId="0" xfId="0" applyNumberFormat="1" applyBorder="1"/>
    <xf numFmtId="10" fontId="0" fillId="0" borderId="0" xfId="0" applyNumberFormat="1" applyBorder="1" applyAlignment="1">
      <alignment horizontal="center"/>
    </xf>
    <xf numFmtId="0" fontId="15" fillId="21" borderId="3" xfId="5" applyFont="1" applyBorder="1"/>
    <xf numFmtId="0" fontId="15" fillId="21" borderId="4" xfId="5" applyFont="1" applyBorder="1"/>
    <xf numFmtId="0" fontId="15" fillId="21" borderId="5" xfId="5" applyFont="1" applyBorder="1"/>
    <xf numFmtId="0" fontId="16" fillId="0" borderId="6" xfId="0" applyFont="1" applyBorder="1"/>
    <xf numFmtId="0" fontId="16" fillId="0" borderId="0" xfId="0" applyFont="1" applyBorder="1" applyAlignment="1">
      <alignment horizontal="center"/>
    </xf>
    <xf numFmtId="166" fontId="16" fillId="0" borderId="0" xfId="0" applyNumberFormat="1" applyFont="1" applyBorder="1" applyAlignment="1">
      <alignment horizontal="center"/>
    </xf>
    <xf numFmtId="166" fontId="16" fillId="0" borderId="7" xfId="0" applyNumberFormat="1" applyFont="1" applyBorder="1" applyAlignment="1">
      <alignment horizontal="center"/>
    </xf>
    <xf numFmtId="168" fontId="16" fillId="0" borderId="0" xfId="0" applyNumberFormat="1" applyFont="1" applyBorder="1" applyAlignment="1">
      <alignment horizontal="center"/>
    </xf>
    <xf numFmtId="168" fontId="16" fillId="0" borderId="7" xfId="0" applyNumberFormat="1" applyFont="1" applyBorder="1" applyAlignment="1">
      <alignment horizontal="center"/>
    </xf>
    <xf numFmtId="0" fontId="16" fillId="0" borderId="0" xfId="0" applyFont="1" applyBorder="1"/>
    <xf numFmtId="2" fontId="16" fillId="0" borderId="0" xfId="0" applyNumberFormat="1" applyFont="1" applyBorder="1"/>
    <xf numFmtId="0" fontId="16" fillId="0" borderId="7" xfId="0" applyFont="1" applyBorder="1"/>
    <xf numFmtId="0" fontId="16" fillId="0" borderId="12" xfId="0" applyFont="1" applyBorder="1"/>
    <xf numFmtId="0" fontId="16" fillId="0" borderId="2" xfId="0" applyFont="1" applyBorder="1"/>
    <xf numFmtId="2" fontId="16" fillId="0" borderId="2" xfId="0" applyNumberFormat="1" applyFont="1" applyBorder="1"/>
    <xf numFmtId="0" fontId="16" fillId="0" borderId="13" xfId="0" applyFont="1" applyBorder="1"/>
    <xf numFmtId="0" fontId="16" fillId="0" borderId="8" xfId="0" applyFont="1" applyBorder="1"/>
    <xf numFmtId="0" fontId="16" fillId="0" borderId="9" xfId="0" applyFont="1" applyBorder="1"/>
    <xf numFmtId="2" fontId="16" fillId="0" borderId="9" xfId="0" applyNumberFormat="1" applyFont="1" applyBorder="1"/>
    <xf numFmtId="0" fontId="16" fillId="0" borderId="10" xfId="0" applyFont="1" applyBorder="1"/>
    <xf numFmtId="10" fontId="0" fillId="0" borderId="0" xfId="0" applyNumberFormat="1" applyBorder="1"/>
    <xf numFmtId="0" fontId="15" fillId="21" borderId="4" xfId="5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1" borderId="14" xfId="5" applyBorder="1"/>
    <xf numFmtId="0" fontId="1" fillId="21" borderId="15" xfId="5" applyBorder="1"/>
    <xf numFmtId="0" fontId="1" fillId="21" borderId="11" xfId="5" applyBorder="1"/>
    <xf numFmtId="0" fontId="0" fillId="0" borderId="16" xfId="0" applyBorder="1"/>
    <xf numFmtId="0" fontId="15" fillId="21" borderId="18" xfId="5" applyFont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15" fillId="21" borderId="22" xfId="5" applyFont="1" applyBorder="1"/>
    <xf numFmtId="0" fontId="15" fillId="21" borderId="23" xfId="5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0" fontId="4" fillId="0" borderId="0" xfId="2" applyNumberFormat="1" applyBorder="1"/>
    <xf numFmtId="10" fontId="4" fillId="0" borderId="21" xfId="2" applyNumberFormat="1" applyBorder="1"/>
    <xf numFmtId="2" fontId="0" fillId="0" borderId="21" xfId="0" applyNumberFormat="1" applyBorder="1"/>
    <xf numFmtId="166" fontId="4" fillId="0" borderId="0" xfId="2" applyNumberFormat="1" applyBorder="1"/>
    <xf numFmtId="166" fontId="4" fillId="0" borderId="21" xfId="2" applyNumberFormat="1" applyBorder="1"/>
    <xf numFmtId="10" fontId="0" fillId="0" borderId="25" xfId="0" applyNumberFormat="1" applyBorder="1"/>
    <xf numFmtId="0" fontId="15" fillId="21" borderId="17" xfId="5" applyFont="1" applyBorder="1" applyAlignment="1">
      <alignment horizontal="center"/>
    </xf>
    <xf numFmtId="0" fontId="15" fillId="21" borderId="19" xfId="5" applyFont="1" applyBorder="1" applyAlignment="1">
      <alignment horizontal="center"/>
    </xf>
    <xf numFmtId="10" fontId="4" fillId="0" borderId="0" xfId="2" applyNumberFormat="1" applyBorder="1" applyAlignment="1">
      <alignment horizontal="center"/>
    </xf>
    <xf numFmtId="10" fontId="0" fillId="0" borderId="25" xfId="0" applyNumberFormat="1" applyBorder="1" applyAlignment="1">
      <alignment horizontal="center"/>
    </xf>
    <xf numFmtId="0" fontId="3" fillId="0" borderId="1" xfId="4" applyFont="1" applyFill="1" applyAlignment="1" applyProtection="1">
      <alignment horizontal="center" vertical="top" wrapText="1"/>
    </xf>
    <xf numFmtId="0" fontId="3" fillId="0" borderId="1" xfId="4" applyFont="1" applyFill="1" applyAlignment="1" applyProtection="1">
      <alignment wrapText="1"/>
    </xf>
    <xf numFmtId="164" fontId="3" fillId="0" borderId="1" xfId="4" applyNumberFormat="1" applyFont="1" applyFill="1" applyAlignment="1" applyProtection="1">
      <alignment wrapText="1"/>
    </xf>
    <xf numFmtId="0" fontId="0" fillId="0" borderId="0" xfId="0" applyFill="1"/>
    <xf numFmtId="0" fontId="5" fillId="0" borderId="0" xfId="3" applyFill="1" applyBorder="1" applyProtection="1"/>
    <xf numFmtId="10" fontId="0" fillId="0" borderId="0" xfId="0" applyNumberFormat="1" applyFill="1"/>
    <xf numFmtId="10" fontId="4" fillId="0" borderId="0" xfId="2" applyNumberFormat="1" applyFill="1" applyBorder="1" applyProtection="1"/>
    <xf numFmtId="0" fontId="5" fillId="0" borderId="0" xfId="3" applyFill="1"/>
    <xf numFmtId="2" fontId="0" fillId="0" borderId="0" xfId="0" applyNumberFormat="1" applyFill="1"/>
    <xf numFmtId="164" fontId="4" fillId="0" borderId="0" xfId="1" applyFill="1" applyBorder="1" applyProtection="1"/>
    <xf numFmtId="0" fontId="7" fillId="0" borderId="0" xfId="3" applyFont="1" applyFill="1" applyBorder="1" applyProtection="1"/>
    <xf numFmtId="3" fontId="0" fillId="0" borderId="0" xfId="0" applyNumberFormat="1" applyFill="1"/>
    <xf numFmtId="3" fontId="0" fillId="0" borderId="0" xfId="0" applyNumberFormat="1" applyFill="1" applyAlignment="1">
      <alignment wrapText="1"/>
    </xf>
    <xf numFmtId="164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0" fontId="5" fillId="0" borderId="0" xfId="3" applyFill="1" applyBorder="1" applyAlignment="1" applyProtection="1">
      <alignment wrapText="1"/>
    </xf>
    <xf numFmtId="9" fontId="4" fillId="0" borderId="0" xfId="2" applyFill="1" applyBorder="1" applyProtection="1"/>
    <xf numFmtId="0" fontId="8" fillId="0" borderId="0" xfId="0" applyFont="1" applyFill="1" applyAlignment="1">
      <alignment vertical="center" wrapText="1"/>
    </xf>
    <xf numFmtId="0" fontId="6" fillId="0" borderId="0" xfId="0" applyFont="1" applyFill="1"/>
    <xf numFmtId="167" fontId="0" fillId="0" borderId="0" xfId="0" applyNumberFormat="1" applyFill="1"/>
    <xf numFmtId="4" fontId="0" fillId="0" borderId="0" xfId="0" applyNumberFormat="1" applyFill="1"/>
    <xf numFmtId="0" fontId="0" fillId="0" borderId="0" xfId="0" applyFill="1" applyAlignment="1">
      <alignment wrapText="1"/>
    </xf>
    <xf numFmtId="3" fontId="10" fillId="0" borderId="0" xfId="0" applyNumberFormat="1" applyFont="1" applyFill="1"/>
    <xf numFmtId="3" fontId="11" fillId="0" borderId="0" xfId="0" applyNumberFormat="1" applyFont="1" applyFill="1"/>
    <xf numFmtId="1" fontId="0" fillId="0" borderId="0" xfId="0" applyNumberFormat="1" applyFill="1"/>
    <xf numFmtId="164" fontId="4" fillId="0" borderId="0" xfId="1" applyFill="1" applyBorder="1" applyAlignment="1" applyProtection="1">
      <alignment wrapText="1"/>
    </xf>
    <xf numFmtId="3" fontId="13" fillId="0" borderId="0" xfId="0" applyNumberFormat="1" applyFont="1" applyFill="1" applyAlignment="1">
      <alignment horizontal="right" vertical="center" wrapText="1"/>
    </xf>
    <xf numFmtId="3" fontId="13" fillId="0" borderId="0" xfId="0" applyNumberFormat="1" applyFont="1" applyFill="1"/>
    <xf numFmtId="3" fontId="14" fillId="0" borderId="0" xfId="0" applyNumberFormat="1" applyFont="1" applyFill="1"/>
    <xf numFmtId="0" fontId="5" fillId="0" borderId="0" xfId="3" applyFill="1" applyBorder="1" applyAlignment="1" applyProtection="1">
      <alignment vertical="center" wrapText="1"/>
    </xf>
  </cellXfs>
  <cellStyles count="6">
    <cellStyle name="40% - Accent4" xfId="5" builtinId="43"/>
    <cellStyle name="Comma" xfId="1" builtinId="3"/>
    <cellStyle name="Excel Built-in Heading 1" xfId="4" xr:uid="{64999D25-B1A5-4DF0-B475-8C61409A261F}"/>
    <cellStyle name="Hyperlink" xfId="3" builtinId="8"/>
    <cellStyle name="Normal" xfId="0" builtinId="0"/>
    <cellStyle name="Per cent" xfId="2" builtinId="5"/>
  </cellStyles>
  <dxfs count="6">
    <dxf>
      <fill>
        <patternFill patternType="none">
          <bgColor auto="1"/>
        </patternFill>
      </fill>
    </dxf>
    <dxf>
      <font>
        <sz val="11"/>
        <color rgb="FF000000"/>
        <name val="Aptos Narrow"/>
        <family val="2"/>
        <charset val="1"/>
      </font>
      <alignment horizontal="general" vertical="bottom" textRotation="0" wrapText="0" indent="0" shrinkToFit="0"/>
    </dxf>
    <dxf>
      <fill>
        <patternFill>
          <bgColor rgb="FFC04F15"/>
        </patternFill>
      </fill>
    </dxf>
    <dxf>
      <font>
        <sz val="11"/>
        <color rgb="FF000000"/>
        <name val="Aptos Narrow"/>
        <family val="2"/>
        <charset val="1"/>
      </font>
      <alignment horizontal="general" vertical="bottom" textRotation="0" wrapText="0" indent="0" shrinkToFit="0"/>
    </dxf>
    <dxf>
      <fill>
        <patternFill>
          <bgColor rgb="FFC04F15"/>
        </patternFill>
      </fill>
    </dxf>
    <dxf>
      <fill>
        <patternFill>
          <bgColor rgb="FFE9713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EA32FEE-2BCD-408E-AA54-FF0DE1CBFB88}" name="Table34" displayName="Table34" ref="A1:XDC5685" totalsRowShown="0">
  <autoFilter ref="A1:XDC5685" xr:uid="{00000000-0009-0000-0100-00001B000000}"/>
  <tableColumns count="16331">
    <tableColumn id="1" xr3:uid="{5B12CDED-0CD0-40D7-9336-F48A8F650D89}" name="FRN"/>
    <tableColumn id="2" xr3:uid="{767D3C5B-094B-4482-853A-20B4046CA547}" name="FirmName"/>
    <tableColumn id="3" xr3:uid="{9A369F74-857C-4878-BF12-DFA2C8242EF8}" name="Website"/>
    <tableColumn id="4" xr3:uid="{B999DC6B-9743-4BFC-AD10-F6B5CDB08903}" name="Staff size"/>
    <tableColumn id="6" xr3:uid="{4C98E748-E5BC-4675-B33A-23E22EBC1ABD}" name="INT"/>
    <tableColumn id="8" xr3:uid="{C9213EE4-148C-411E-A81E-47394B1DD453}" name="PC" dataDxfId="0"/>
    <tableColumn id="9" xr3:uid="{5B538CC9-C6B1-4E70-AED3-9A49AD5AE09B}" name="InitialFee"/>
    <tableColumn id="10" xr3:uid="{F36EAFB0-43CA-4C60-83F4-9734FDFA8401}" name="OngoingFee (plus platform fee)"/>
    <tableColumn id="11" xr3:uid="{EAE72D95-5EE0-4378-B423-2BE6A4A61E67}" name="PDF_initial fee"/>
    <tableColumn id="12" xr3:uid="{D707D5BA-47F7-499D-A04B-31DA925D952B}" name="PDF ongoing fee"/>
    <tableColumn id="13" xr3:uid="{C8AC26B1-5428-40E5-BD20-304F06E95BC2}" name="TC"/>
    <tableColumn id="14" xr3:uid="{E3B8C1E0-2DD5-4FC6-84BB-072224F53CD3}" name="Column2"/>
    <tableColumn id="15" xr3:uid="{72CCAA64-25EB-4FCE-9565-67DC4D74E074}" name="Fee plus product annual cost"/>
    <tableColumn id="16" xr3:uid="{5065EFFC-2F0B-445A-B943-0294E73BAF17}" name="Comments and back up"/>
    <tableColumn id="17" xr3:uid="{69DB5F74-48A6-44F2-ACCB-082F1A74E9BD}" name="TC backup"/>
    <tableColumn id="18" xr3:uid="{4DFBB630-1CFB-4D1D-AFE9-50D050140FB9}" name="PC backup"/>
    <tableColumn id="19" xr3:uid="{509E0C29-4E87-41A3-AA6F-06A2529E972C}" name="Total Asset"/>
    <tableColumn id="20" xr3:uid="{7467C856-CD2E-45A2-A747-FF6BF1E984D0}" name="Listed"/>
    <tableColumn id="21" xr3:uid="{487FD91F-ECC7-4198-9931-91200F3BEF99}" name="Net Asset"/>
    <tableColumn id="22" xr3:uid="{821C233D-C11F-4951-80D0-F4956632C398}" name="Net Asset/Total Assets"/>
    <tableColumn id="23" xr3:uid="{485CE95A-E4AD-4E9E-B8AD-EC59AAD7918F}" name="Network"/>
    <tableColumn id="24" xr3:uid="{12BB3015-84B2-43DA-B479-D88E7BE2B05C}" name="financial stm backup  (2024 data)"/>
    <tableColumn id="26" xr3:uid="{8F9FF9E7-B19D-4210-B664-6C4065A797AE}" name="Fixed Fee"/>
    <tableColumn id="29" xr3:uid="{9F324A1F-09EA-4366-AEF7-C01F742CCFA5}" name="Low Fee"/>
    <tableColumn id="78" xr3:uid="{9E8617B6-9DD4-41DA-81F3-668749D862FB}" name="Column51"/>
    <tableColumn id="79" xr3:uid="{4FD9BDEA-8791-42D7-8572-14B342147B57}" name="Column52"/>
    <tableColumn id="80" xr3:uid="{73BC11CE-E1F2-4CB7-951D-B4C0A4E791E0}" name="Column53"/>
    <tableColumn id="81" xr3:uid="{ECF2CB0A-F4AC-4D59-93BB-D8544CEFC879}" name="Column54"/>
    <tableColumn id="82" xr3:uid="{586D6271-5371-482A-8082-37C093FBD160}" name="Column55"/>
    <tableColumn id="83" xr3:uid="{29FF5930-80F7-4DEE-B6D3-9619AB00DEB4}" name="Column56"/>
    <tableColumn id="84" xr3:uid="{70F1DA20-0BEF-41E0-A7ED-2AEF0409E11E}" name="Column57"/>
    <tableColumn id="85" xr3:uid="{E6EAD128-C555-4A0C-8249-E7CA1FE9E742}" name="Column58"/>
    <tableColumn id="86" xr3:uid="{4685C93E-394E-483B-A780-0679A331A4F9}" name="Column59"/>
    <tableColumn id="87" xr3:uid="{7E31B136-B3C0-427A-9D0E-4DCB8E4A5637}" name="Column60"/>
    <tableColumn id="88" xr3:uid="{99B95FF0-695B-4734-856B-5AD12555B259}" name="Column61"/>
    <tableColumn id="89" xr3:uid="{D939D217-3B68-43FA-814D-D631E5873005}" name="Column62"/>
    <tableColumn id="90" xr3:uid="{50FBE35C-7F84-4B4A-AE59-65449E9C8A7E}" name="Column63"/>
    <tableColumn id="91" xr3:uid="{1123A917-85A0-4430-A90B-47271970D45F}" name="Column64"/>
    <tableColumn id="92" xr3:uid="{A4186314-B61F-4008-ADCD-557E42C7B333}" name="Column65"/>
    <tableColumn id="93" xr3:uid="{352C4879-AF78-4D83-B18D-56FF8FD732EA}" name="Column66"/>
    <tableColumn id="94" xr3:uid="{957424A9-A78C-4EDE-8111-89BFD1D23836}" name="Column67"/>
    <tableColumn id="95" xr3:uid="{8A2E1B09-4020-4D2C-8A01-029E7301EF51}" name="Column68"/>
    <tableColumn id="96" xr3:uid="{4079C722-FD33-4FF6-BF6E-E833988D04C1}" name="Column69"/>
    <tableColumn id="97" xr3:uid="{18528ABF-037D-46FC-B629-7624BD62E3A7}" name="Column70"/>
    <tableColumn id="98" xr3:uid="{BB8D7C9E-5675-4291-95B4-BAA4DB647B65}" name="Column71"/>
    <tableColumn id="99" xr3:uid="{2B4AEAB8-23A4-4F42-A932-901FEBEC25E6}" name="Column72"/>
    <tableColumn id="100" xr3:uid="{3D0D4034-9A25-4740-B9C4-9E40A41B4B64}" name="Column73"/>
    <tableColumn id="101" xr3:uid="{B601D993-9363-4ED2-8E5E-FD808F7F5645}" name="Column74"/>
    <tableColumn id="102" xr3:uid="{3A82A5CA-6CF2-402F-A276-C778F77260D4}" name="Column75"/>
    <tableColumn id="103" xr3:uid="{5D4A0928-8A3E-44A8-853C-A47F0B856554}" name="Column76"/>
    <tableColumn id="104" xr3:uid="{37FA1D68-B881-4F06-BC67-72034C674D0C}" name="Column77"/>
    <tableColumn id="105" xr3:uid="{F6190E95-DDDA-4822-B510-2275364D0AA5}" name="Column78"/>
    <tableColumn id="106" xr3:uid="{75EA3C80-CD07-4684-B845-9026A6AECA44}" name="Column79"/>
    <tableColumn id="107" xr3:uid="{A4102580-E2CC-4232-870B-F1F9FAEE6DAF}" name="Column80"/>
    <tableColumn id="108" xr3:uid="{04879180-8736-4BBF-81D8-A10F8A3F5E00}" name="Column81"/>
    <tableColumn id="109" xr3:uid="{7ACB76A1-3F6F-4300-B014-B0AD9FA1A395}" name="Column82"/>
    <tableColumn id="110" xr3:uid="{B09239C5-A219-4BB3-AD43-A61BAFCD0273}" name="Column83"/>
    <tableColumn id="111" xr3:uid="{9B3F240C-1373-4C61-B251-2697B58CA0E1}" name="Column84"/>
    <tableColumn id="112" xr3:uid="{91EAF0E3-FF0C-4D4A-B2AC-45B195B1ABF0}" name="Column85"/>
    <tableColumn id="113" xr3:uid="{1E0B0B5D-39C4-42B9-BC8C-287B7D3353D6}" name="Column86"/>
    <tableColumn id="114" xr3:uid="{36E4B2C5-A72F-4DEB-AE6E-86F86A239D3A}" name="Column87"/>
    <tableColumn id="115" xr3:uid="{B956241C-7BF7-4F8C-B3F4-19C4743D9862}" name="Column88"/>
    <tableColumn id="116" xr3:uid="{4B676C50-E515-450D-9820-9F9147909A37}" name="Column89"/>
    <tableColumn id="117" xr3:uid="{6C1644C1-9D2F-402D-AFAB-F4C5AF765BF0}" name="Column90"/>
    <tableColumn id="118" xr3:uid="{9F56507C-0339-4E92-94E5-9B23D317DF78}" name="Column91"/>
    <tableColumn id="119" xr3:uid="{0E14D9CF-343B-4879-8F89-D9D48CF1E9C6}" name="Column92"/>
    <tableColumn id="120" xr3:uid="{A2C3FDBB-F850-423D-9536-E48FE55F21B1}" name="Column93"/>
    <tableColumn id="121" xr3:uid="{5A6EB692-7FE2-435A-853F-F9354DD5EF5C}" name="Column94"/>
    <tableColumn id="122" xr3:uid="{85B5B1F3-2689-41C9-9328-4B19916837FC}" name="Column95"/>
    <tableColumn id="123" xr3:uid="{3508BD93-5B6C-4E84-A871-95156D0FCCBE}" name="Column96"/>
    <tableColumn id="124" xr3:uid="{EF17D806-7064-44DF-8FC4-788CA4112E15}" name="Column97"/>
    <tableColumn id="125" xr3:uid="{9EC94C91-6281-4989-9352-9FA415E591D2}" name="Column98"/>
    <tableColumn id="126" xr3:uid="{58EFE8FF-C245-4D48-AEEC-B004FD2A85E8}" name="Column99"/>
    <tableColumn id="127" xr3:uid="{620D2CC0-3B04-4F65-8519-F00E6E6AEDC8}" name="Column100"/>
    <tableColumn id="128" xr3:uid="{C5204911-A5A7-4699-BBFE-FFED9B3E5B33}" name="Column101"/>
    <tableColumn id="129" xr3:uid="{67A876DB-E696-4C2E-AD86-CAC3A979F981}" name="Column102"/>
    <tableColumn id="130" xr3:uid="{CC25096A-5C81-4A6B-BBC4-C6D6E0D851AB}" name="Column103"/>
    <tableColumn id="131" xr3:uid="{7CF17444-E8C9-47BB-9583-0CE77693EFFE}" name="Column104"/>
    <tableColumn id="132" xr3:uid="{CA05F6E5-37B7-4BC9-BF8D-7289C6E489C7}" name="Column105"/>
    <tableColumn id="133" xr3:uid="{4A98A389-B968-4891-8936-4D0B1B3F50FF}" name="Column106"/>
    <tableColumn id="134" xr3:uid="{A5C71EB1-D79B-40A8-AB08-CC418DE59A6B}" name="Column107"/>
    <tableColumn id="135" xr3:uid="{DE3EB321-EE18-4A38-AE47-EDEEA9B77171}" name="Column108"/>
    <tableColumn id="136" xr3:uid="{A2BF74C9-F5F6-40F8-AC36-DA7D85C06F29}" name="Column109"/>
    <tableColumn id="137" xr3:uid="{5F7899C3-E180-437B-8C63-C4511CA6AF83}" name="Column110"/>
    <tableColumn id="138" xr3:uid="{C4B00009-5056-450E-8696-6EE874A67CB0}" name="Column111"/>
    <tableColumn id="139" xr3:uid="{F5E294B4-BB8B-41DB-8698-F961539655B2}" name="Column112"/>
    <tableColumn id="140" xr3:uid="{F190152F-93DB-4137-A7E3-40BE3FDF31E4}" name="Column113"/>
    <tableColumn id="141" xr3:uid="{0DD9D326-95F1-48EA-BE87-0D064E6F592A}" name="Column114"/>
    <tableColumn id="142" xr3:uid="{7A873C2F-E2F4-4517-BB39-E0BCD87A57D0}" name="Column115"/>
    <tableColumn id="143" xr3:uid="{0E07B7F8-B36B-4A52-A1EC-CEAA3ADC83CB}" name="Column116"/>
    <tableColumn id="144" xr3:uid="{359FF487-7E99-4511-B000-B782B7DF243D}" name="Column117"/>
    <tableColumn id="145" xr3:uid="{5EB0D18B-477B-433A-B0AE-7E2F91573644}" name="Column118"/>
    <tableColumn id="146" xr3:uid="{194A9B43-BDDA-4B38-BF7C-097C96B1B7D2}" name="Column119"/>
    <tableColumn id="147" xr3:uid="{5FDCA8E2-4718-41C6-AACC-16DAA1573BE2}" name="Column120"/>
    <tableColumn id="148" xr3:uid="{AB859CF3-8B67-45A7-9DAE-2C38B16798FA}" name="Column121"/>
    <tableColumn id="149" xr3:uid="{6A194673-5CFD-4DC0-8D72-5A65431D98FB}" name="Column122"/>
    <tableColumn id="150" xr3:uid="{810DA1C0-42E7-4AF0-9D23-D77CB9E94915}" name="Column123"/>
    <tableColumn id="151" xr3:uid="{5518A9BE-4DD1-4805-B95D-237B22DA2008}" name="Column124"/>
    <tableColumn id="152" xr3:uid="{5D2491ED-62A9-4982-A441-9A25302FA2DF}" name="Column125"/>
    <tableColumn id="153" xr3:uid="{43D1AB52-591D-4E7B-82F4-613821366248}" name="Column126"/>
    <tableColumn id="154" xr3:uid="{D64690F5-C6F1-492F-A05B-C4699450BC20}" name="Column127"/>
    <tableColumn id="155" xr3:uid="{A66FAB1E-2D80-4FC9-946E-D66CB69DA635}" name="Column128"/>
    <tableColumn id="156" xr3:uid="{9F5752AC-601E-46F3-B41E-62689AFCED80}" name="Column129"/>
    <tableColumn id="157" xr3:uid="{1C972B38-A8FD-4B7F-AEBB-5B784BFEBDF4}" name="Column130"/>
    <tableColumn id="158" xr3:uid="{3219672D-BCD8-4843-99F7-263697D0617E}" name="Column131"/>
    <tableColumn id="159" xr3:uid="{9A507026-44D5-48F9-B455-FC334F4D823F}" name="Column132"/>
    <tableColumn id="160" xr3:uid="{ED9E4928-A348-470B-B18D-951A335E15D6}" name="Column133"/>
    <tableColumn id="161" xr3:uid="{C6BB85CA-D76F-45BA-BFE8-3C2F23988207}" name="Column134"/>
    <tableColumn id="162" xr3:uid="{E1E515DB-0301-4CF3-B5D2-6B23E05F7A27}" name="Column135"/>
    <tableColumn id="163" xr3:uid="{E8B56056-0A09-4398-AD03-67AD6D926551}" name="Column136"/>
    <tableColumn id="164" xr3:uid="{6D9F0F99-D482-4F82-BA84-4870462CBA09}" name="Column137"/>
    <tableColumn id="165" xr3:uid="{2116205E-D775-4EAA-834B-78C7B3F8F5C1}" name="Column138"/>
    <tableColumn id="166" xr3:uid="{1BC6B901-E8BE-4E0D-B501-927C2A20109C}" name="Column139"/>
    <tableColumn id="167" xr3:uid="{442D7791-2A5C-4275-8D98-52868A58DCB0}" name="Column140"/>
    <tableColumn id="168" xr3:uid="{97E3CD34-D925-4A88-AA05-0B3881D6DA2B}" name="Column141"/>
    <tableColumn id="169" xr3:uid="{0C5638B4-4EF1-4408-83DF-74F36862A318}" name="Column142"/>
    <tableColumn id="170" xr3:uid="{A1B0C2E4-5A94-4F90-AA0A-41B6DD5CC80C}" name="Column143"/>
    <tableColumn id="171" xr3:uid="{6D82C5E5-D0C7-4BE1-9C53-9C916B1FEF58}" name="Column144"/>
    <tableColumn id="172" xr3:uid="{C62AAADB-0232-4018-8306-B13834B892CB}" name="Column145"/>
    <tableColumn id="173" xr3:uid="{C7CA730F-DFBA-4DF6-846B-37F5D6BF9E76}" name="Column146"/>
    <tableColumn id="174" xr3:uid="{B9ADD121-31F4-4ACE-92EE-888C1E30B4EF}" name="Column147"/>
    <tableColumn id="175" xr3:uid="{2987BC39-5CAA-492C-9E53-2BE7E1936C3D}" name="Column148"/>
    <tableColumn id="176" xr3:uid="{34802155-3EC5-43C5-AAA3-924AA71BC4F0}" name="Column149"/>
    <tableColumn id="177" xr3:uid="{797B25DD-AB3A-46E8-AC95-7B15D4FD7110}" name="Column150"/>
    <tableColumn id="178" xr3:uid="{6A2880EF-66B9-4979-A172-A9FBA388E383}" name="Column151"/>
    <tableColumn id="179" xr3:uid="{CA59E1A6-B3A9-4F0C-BC92-CE1E8C603F7B}" name="Column152"/>
    <tableColumn id="180" xr3:uid="{291949EA-EBAB-427A-8C49-7299C9F6568F}" name="Column153"/>
    <tableColumn id="181" xr3:uid="{32F423A4-6DDB-45A2-97F8-F83D94E6559E}" name="Column154"/>
    <tableColumn id="182" xr3:uid="{7B449042-D24E-4A89-B6FA-39AF9AD7A6F4}" name="Column155"/>
    <tableColumn id="183" xr3:uid="{F6CD3C5A-F956-4590-BF9A-911BAA99062A}" name="Column156"/>
    <tableColumn id="184" xr3:uid="{7A2546BF-177F-4A59-B6EF-66E6AF97755C}" name="Column157"/>
    <tableColumn id="185" xr3:uid="{A06C3B6A-624C-41C0-BE3C-189CD3F939DB}" name="Column158"/>
    <tableColumn id="186" xr3:uid="{43975049-0B1D-44A6-9CF6-1F8FAC28D6F8}" name="Column159"/>
    <tableColumn id="187" xr3:uid="{7CB61D5C-348F-48E8-80E3-F27BEF291438}" name="Column160"/>
    <tableColumn id="188" xr3:uid="{9F603BFA-F558-4C78-A221-1009DB37666F}" name="Column161"/>
    <tableColumn id="189" xr3:uid="{824B6CB9-0D95-474A-BDB8-77C0E7E8F07D}" name="Column162"/>
    <tableColumn id="190" xr3:uid="{A8256BCA-DA6D-47FC-AC17-77E470B59E41}" name="Column163"/>
    <tableColumn id="191" xr3:uid="{F4F0E95A-6E67-4156-B7B9-A90A914F1A3C}" name="Column164"/>
    <tableColumn id="192" xr3:uid="{72E91D8B-EFE0-44B4-ACED-545B12C36068}" name="Column165"/>
    <tableColumn id="193" xr3:uid="{EB1AFB94-137F-44EF-90C6-75FE18211F52}" name="Column166"/>
    <tableColumn id="194" xr3:uid="{0DA2976A-4DFC-47D3-8AF7-122824459D9E}" name="Column167"/>
    <tableColumn id="195" xr3:uid="{9AAE5A09-62D8-4853-A816-7B4C4E26A3FE}" name="Column168"/>
    <tableColumn id="196" xr3:uid="{6B9D0B8D-3412-45E3-A63A-8B75F3F0893B}" name="Column169"/>
    <tableColumn id="197" xr3:uid="{0A05818D-F7C5-4F47-887A-C1482F769543}" name="Column170"/>
    <tableColumn id="198" xr3:uid="{9BA28A30-5EE7-4E32-AD51-CA8F82F6A596}" name="Column171"/>
    <tableColumn id="199" xr3:uid="{056D15CC-6323-4E53-B563-B04F1F1E18DB}" name="Column172"/>
    <tableColumn id="200" xr3:uid="{CB8D2120-3B3D-47C3-8EC7-125B8C054C6B}" name="Column173"/>
    <tableColumn id="201" xr3:uid="{119FDBE8-E3F3-4E9B-8831-911BEAF90A72}" name="Column174"/>
    <tableColumn id="202" xr3:uid="{41B30D6B-37B6-410C-898B-9B4F14CEC5AF}" name="Column175"/>
    <tableColumn id="203" xr3:uid="{4F7ECE26-D552-49CB-8C97-897E2C7BAA62}" name="Column176"/>
    <tableColumn id="204" xr3:uid="{F77CB15B-DE26-447A-8DFD-DA2BA2F58AA3}" name="Column177"/>
    <tableColumn id="205" xr3:uid="{6720B319-027A-4187-8029-ED6422A1AEC2}" name="Column178"/>
    <tableColumn id="206" xr3:uid="{FA19621D-E478-4F42-94C9-4DE08C9BC526}" name="Column179"/>
    <tableColumn id="207" xr3:uid="{8544BFC0-BF80-4F74-83C1-4F1F3E313D3D}" name="Column180"/>
    <tableColumn id="208" xr3:uid="{3066BBEA-742A-4325-A857-086524234FFC}" name="Column181"/>
    <tableColumn id="209" xr3:uid="{DD41951C-803F-49B5-8ADD-EBEA72FC1EE5}" name="Column182"/>
    <tableColumn id="210" xr3:uid="{755DFF4C-B3FC-4E75-8BD8-CD00E418FC11}" name="Column183"/>
    <tableColumn id="211" xr3:uid="{6F477E8E-DCE6-49BC-94C6-A7D813B07BFE}" name="Column184"/>
    <tableColumn id="212" xr3:uid="{3B4D0C66-DB51-4D2D-BB6C-2023B21B10D2}" name="Column185"/>
    <tableColumn id="213" xr3:uid="{1836A737-1E14-4387-A5C3-CE95EC093CC0}" name="Column186"/>
    <tableColumn id="214" xr3:uid="{5217AE90-FBF1-4260-BB27-0CD74356A800}" name="Column187"/>
    <tableColumn id="215" xr3:uid="{8DD483F5-4101-47DA-A725-A9E274589BD1}" name="Column188"/>
    <tableColumn id="216" xr3:uid="{40F797F8-FB01-4E0A-8918-911A59653485}" name="Column189"/>
    <tableColumn id="217" xr3:uid="{AE16A59D-2A11-4A9D-B721-7C3D02D16641}" name="Column190"/>
    <tableColumn id="218" xr3:uid="{3A712CF4-1B40-4075-BAF2-DE3CC29D35FA}" name="Column191"/>
    <tableColumn id="219" xr3:uid="{8CF2436D-772A-4E1B-8BFC-C145E885ABDE}" name="Column192"/>
    <tableColumn id="220" xr3:uid="{62EC30C1-A640-4F87-B121-A4A45EA7C995}" name="Column193"/>
    <tableColumn id="221" xr3:uid="{3FDA4016-B6B9-47AB-9F41-1661C54F564A}" name="Column194"/>
    <tableColumn id="222" xr3:uid="{41396EAD-300D-485E-9B1C-DDF4D33F1C21}" name="Column195"/>
    <tableColumn id="223" xr3:uid="{54BE9DCF-52A8-48CC-B5E1-0507059CE926}" name="Column196"/>
    <tableColumn id="224" xr3:uid="{125A7921-22CE-4EDD-8E6D-03F6D815EE32}" name="Column197"/>
    <tableColumn id="225" xr3:uid="{A19155AC-EC12-4559-A663-29DE676BF6BC}" name="Column198"/>
    <tableColumn id="226" xr3:uid="{EEF9DA54-4B2F-4519-BB56-7B831BB4E1C4}" name="Column199"/>
    <tableColumn id="227" xr3:uid="{248E45B7-CD61-48D9-998A-6264659CBE4C}" name="Column200"/>
    <tableColumn id="228" xr3:uid="{376FFF82-935F-4ADA-A389-CE06C7F265ED}" name="Column201"/>
    <tableColumn id="229" xr3:uid="{BA03DCF8-7480-43D4-B265-701E67970479}" name="Column202"/>
    <tableColumn id="230" xr3:uid="{98CF84CA-6616-4C09-8219-0D3E7637400E}" name="Column203"/>
    <tableColumn id="231" xr3:uid="{81C3208B-B262-4FBF-BB27-E789B89DC01F}" name="Column204"/>
    <tableColumn id="232" xr3:uid="{60A02854-A99D-4191-A8DB-BA32A922D6DE}" name="Column205"/>
    <tableColumn id="233" xr3:uid="{0F2AAF85-6765-4E0C-BFBF-388B77D7A926}" name="Column206"/>
    <tableColumn id="234" xr3:uid="{B2940260-C683-4A14-AFBC-4463980F519A}" name="Column207"/>
    <tableColumn id="235" xr3:uid="{46AECC20-AB88-476B-AD28-0FD2797C7BB9}" name="Column208"/>
    <tableColumn id="236" xr3:uid="{E7CAD553-BDC5-42FA-B9C5-DA15A4749F28}" name="Column209"/>
    <tableColumn id="237" xr3:uid="{6CA48348-ED5C-46CD-ADD3-019C35B18B63}" name="Column210"/>
    <tableColumn id="238" xr3:uid="{D558E339-96F9-42E9-87BA-D84478375F82}" name="Column211"/>
    <tableColumn id="239" xr3:uid="{38AEFEC4-256F-4B88-93EC-E3B266C7ACF9}" name="Column212"/>
    <tableColumn id="240" xr3:uid="{ABA31757-1530-482D-81E2-289122315E41}" name="Column213"/>
    <tableColumn id="241" xr3:uid="{9E54FBCD-37A6-4651-B771-CB0BE4335B87}" name="Column214"/>
    <tableColumn id="242" xr3:uid="{57E76BF1-BFE7-4A94-BA62-D835B3B09E84}" name="Column215"/>
    <tableColumn id="243" xr3:uid="{D9B9F43B-C09E-4F83-8AE5-A088C560EE7E}" name="Column216"/>
    <tableColumn id="244" xr3:uid="{F120D006-F919-4CDE-910A-BFF7A6B488D4}" name="Column217"/>
    <tableColumn id="245" xr3:uid="{80535A06-2EA6-46CF-B280-C8DA114B1921}" name="Column218"/>
    <tableColumn id="246" xr3:uid="{ADEA34C5-37A3-4231-9BD7-4EA1DD49820A}" name="Column219"/>
    <tableColumn id="247" xr3:uid="{63D72AC3-9EB0-4E08-B456-C02C5400107B}" name="Column220"/>
    <tableColumn id="248" xr3:uid="{01F2C8A1-C82B-419D-B017-A6BF55E682FF}" name="Column221"/>
    <tableColumn id="249" xr3:uid="{663F8C69-D994-4537-92E5-8A29050E939B}" name="Column222"/>
    <tableColumn id="250" xr3:uid="{F4B9C1AC-2B0E-4C58-B594-EB4C95129B70}" name="Column223"/>
    <tableColumn id="251" xr3:uid="{557E5C9F-5392-4AE2-802E-8ABA4D53082B}" name="Column224"/>
    <tableColumn id="252" xr3:uid="{17DF54F4-CB4A-4705-A148-B4C01AA3FD5E}" name="Column225"/>
    <tableColumn id="253" xr3:uid="{14667251-5A72-4B2D-95D6-F511FD4453A3}" name="Column226"/>
    <tableColumn id="254" xr3:uid="{1E699794-72FF-4053-A5C0-9B7737F42232}" name="Column227"/>
    <tableColumn id="255" xr3:uid="{58EBF78C-85DC-4082-A81B-167C42B151AC}" name="Column228"/>
    <tableColumn id="256" xr3:uid="{B1620945-3EFB-4D6F-B9F5-47A364A85B9E}" name="Column229"/>
    <tableColumn id="257" xr3:uid="{B9726295-13B2-4148-B96E-6A9EA37AFE17}" name="Column230"/>
    <tableColumn id="258" xr3:uid="{4A26BDDF-F2BF-43D4-9D87-7EF9495F962A}" name="Column231"/>
    <tableColumn id="259" xr3:uid="{D43DDDBA-470E-482D-B653-980FDEE973D7}" name="Column232"/>
    <tableColumn id="260" xr3:uid="{7D471FFE-DC2A-4CF6-BAC5-5269E3D4810A}" name="Column233"/>
    <tableColumn id="261" xr3:uid="{D57A57D5-64C0-409F-84B1-50AE519A0D27}" name="Column234"/>
    <tableColumn id="262" xr3:uid="{A50E6589-0FB7-4216-9E8E-60A23355A51E}" name="Column235"/>
    <tableColumn id="263" xr3:uid="{556219B1-0273-4DAB-9BE7-9EC4C079BF8C}" name="Column236"/>
    <tableColumn id="264" xr3:uid="{E9306119-4A9D-4292-B9B1-DAC0A4B46BD3}" name="Column237"/>
    <tableColumn id="265" xr3:uid="{4035EA2B-A92C-4A2E-AD8C-21318B98DC86}" name="Column238"/>
    <tableColumn id="266" xr3:uid="{E2D38122-9EB0-47D8-B5E0-3B073C5A1361}" name="Column239"/>
    <tableColumn id="267" xr3:uid="{24699EB1-BD28-4DCD-B038-D72A6FCB7769}" name="Column240"/>
    <tableColumn id="268" xr3:uid="{6D01E348-9DBE-4CFF-B8F7-D59F08699345}" name="Column241"/>
    <tableColumn id="269" xr3:uid="{EEF38D71-38E1-4FE1-BAC0-B3482A41C4F8}" name="Column242"/>
    <tableColumn id="270" xr3:uid="{F35522BE-0613-4EB0-9B01-0F55800E50F5}" name="Column243"/>
    <tableColumn id="271" xr3:uid="{BB8AAB28-3A2B-4E92-B585-F1AFF0EB422A}" name="Column244"/>
    <tableColumn id="272" xr3:uid="{279BF80B-170A-4DFE-86CD-9C28BEE2C6E9}" name="Column245"/>
    <tableColumn id="273" xr3:uid="{309C00E5-EEB3-4D92-B69B-A1927AF1F94B}" name="Column246"/>
    <tableColumn id="274" xr3:uid="{0DB26638-1932-4CAE-BF85-995D22A225BC}" name="Column247"/>
    <tableColumn id="275" xr3:uid="{FD7580D9-8156-482E-A330-E9F80761CA08}" name="Column248"/>
    <tableColumn id="276" xr3:uid="{D2661248-B18B-499F-83E2-F3B2DFFEB495}" name="Column249"/>
    <tableColumn id="277" xr3:uid="{4F3C108A-C399-4DE0-9BCD-E5DF9E9BF574}" name="Column250"/>
    <tableColumn id="278" xr3:uid="{916254BC-9B54-4043-B877-D86A6647BC16}" name="Column251"/>
    <tableColumn id="279" xr3:uid="{35E7406F-A8E2-4DC7-B088-EC0DA43ED75C}" name="Column252"/>
    <tableColumn id="280" xr3:uid="{9855A63F-4DC0-4CD7-A8AB-BA328D044BA6}" name="Column253"/>
    <tableColumn id="281" xr3:uid="{3B5DEECE-C222-407D-9AE8-12BB0F688BB6}" name="Column254"/>
    <tableColumn id="282" xr3:uid="{F76BB640-C6D6-44E1-B23E-5A6ABA1F8C91}" name="Column255"/>
    <tableColumn id="283" xr3:uid="{89BB2E96-5289-480D-A551-965015B297E1}" name="Column256"/>
    <tableColumn id="284" xr3:uid="{3447AE1A-59FF-4099-8F38-9619B89A237E}" name="Column257"/>
    <tableColumn id="285" xr3:uid="{38A04BC3-24EB-4710-8A56-F5C2AB1B007A}" name="Column258"/>
    <tableColumn id="286" xr3:uid="{4693DA14-3895-490D-8C62-251081EF31FA}" name="Column259"/>
    <tableColumn id="287" xr3:uid="{1921CC12-CE17-4D36-B2DB-A98BAC4FE129}" name="Column260"/>
    <tableColumn id="288" xr3:uid="{6A3F678D-F65B-46DE-A5FB-C86689709144}" name="Column261"/>
    <tableColumn id="289" xr3:uid="{BA828D63-37FE-43D2-82DD-5C7257A6BA77}" name="Column262"/>
    <tableColumn id="290" xr3:uid="{69826435-E27F-4334-8F44-16FA570215AF}" name="Column263"/>
    <tableColumn id="291" xr3:uid="{D02BD476-92A5-4B31-8769-41F4D29AD563}" name="Column264"/>
    <tableColumn id="292" xr3:uid="{5A81C185-D853-471F-994F-F7AA3BB641C1}" name="Column265"/>
    <tableColumn id="293" xr3:uid="{9747D24B-FC34-4508-BEBE-DC13B180AF02}" name="Column266"/>
    <tableColumn id="294" xr3:uid="{C4840A04-7236-4081-942A-1A4673F1BEC1}" name="Column267"/>
    <tableColumn id="295" xr3:uid="{DE6434C6-B134-494B-A666-70C0F9FB9810}" name="Column268"/>
    <tableColumn id="296" xr3:uid="{53204872-4310-4301-9FFF-37BEA6A728D0}" name="Column269"/>
    <tableColumn id="297" xr3:uid="{A484FD8B-760C-41CB-A8E6-74D3CC6A589E}" name="Column270"/>
    <tableColumn id="298" xr3:uid="{F0A0846E-0715-487D-9CB9-264EBACE572F}" name="Column271"/>
    <tableColumn id="299" xr3:uid="{A79237B1-6EB9-41EA-A54D-958BEB4D94A8}" name="Column272"/>
    <tableColumn id="300" xr3:uid="{ADB68B18-E5D1-490A-8879-B1148E90FBA2}" name="Column273"/>
    <tableColumn id="301" xr3:uid="{15100786-AF69-465B-A7F5-567F3B16981A}" name="Column274"/>
    <tableColumn id="302" xr3:uid="{A269B984-3FEB-4BA6-8998-0E4E21945C62}" name="Column275"/>
    <tableColumn id="303" xr3:uid="{9EE1C73B-AEC4-4AB5-ABBC-20B2758633CF}" name="Column276"/>
    <tableColumn id="304" xr3:uid="{8AC14743-08DF-41B3-AA94-88F89DCDFE7C}" name="Column277"/>
    <tableColumn id="305" xr3:uid="{C81AFB20-97B7-44B0-9FC2-9EEF7752335E}" name="Column278"/>
    <tableColumn id="306" xr3:uid="{6BE669C8-BF93-4820-B4EC-5CDE50C10764}" name="Column279"/>
    <tableColumn id="307" xr3:uid="{03A1C0C5-5CE5-44D6-8B9D-C82A9E87ADBD}" name="Column280"/>
    <tableColumn id="308" xr3:uid="{47DED7B7-D242-4DE3-813F-468C728C9D4A}" name="Column281"/>
    <tableColumn id="309" xr3:uid="{DD518DD8-EE23-4BAD-AA54-213047DBF60E}" name="Column282"/>
    <tableColumn id="310" xr3:uid="{FB714E48-D233-46ED-A295-D758EDA370DE}" name="Column283"/>
    <tableColumn id="311" xr3:uid="{10F179B1-D82A-4AC3-8669-64ACDA6EC702}" name="Column284"/>
    <tableColumn id="312" xr3:uid="{99AFCD42-0713-4BFF-9A3A-0741A77FE7E6}" name="Column285"/>
    <tableColumn id="313" xr3:uid="{60E78BEF-7D25-4CCA-AABE-FE163C82E058}" name="Column286"/>
    <tableColumn id="314" xr3:uid="{9E161174-3688-4A25-A30B-F8CC18AB21A0}" name="Column287"/>
    <tableColumn id="315" xr3:uid="{E0FE4337-360B-4E6D-B91E-F746701B2363}" name="Column288"/>
    <tableColumn id="316" xr3:uid="{61C75DA4-91BF-4542-8A9C-707E8B5C423D}" name="Column289"/>
    <tableColumn id="317" xr3:uid="{47BE75EB-312B-448A-9A33-F9649E7024F9}" name="Column290"/>
    <tableColumn id="318" xr3:uid="{49F23E6E-61C4-49E7-AABC-4B75C778D17C}" name="Column291"/>
    <tableColumn id="319" xr3:uid="{95E18FC1-88CA-4962-B01A-B8969D0F35B4}" name="Column292"/>
    <tableColumn id="320" xr3:uid="{598254EB-A53E-4E43-B73C-2D64A68DE5A4}" name="Column293"/>
    <tableColumn id="321" xr3:uid="{10F33228-42CF-4DD9-81E8-6EA0B5AF5B81}" name="Column294"/>
    <tableColumn id="322" xr3:uid="{87ADE65F-B07A-4A36-A925-81CB740CCCDF}" name="Column295"/>
    <tableColumn id="323" xr3:uid="{504F06C3-9ACF-42A5-9198-DC09D51CCFD6}" name="Column296"/>
    <tableColumn id="324" xr3:uid="{2FD5E8E6-DBF8-4730-98A6-49EA54360DA8}" name="Column297"/>
    <tableColumn id="325" xr3:uid="{BCC5C146-8CED-4134-B4DE-99BFCC2A46ED}" name="Column298"/>
    <tableColumn id="326" xr3:uid="{B8EE4E46-5D20-4C74-8BEF-496687FAAF05}" name="Column299"/>
    <tableColumn id="327" xr3:uid="{AFEAE91D-4228-45D5-BFB1-4A65C7188E52}" name="Column300"/>
    <tableColumn id="328" xr3:uid="{A8079B20-EAC6-4CAE-A793-2CF51FDC2026}" name="Column301"/>
    <tableColumn id="329" xr3:uid="{4ED4AC56-CE80-4534-8E48-CB125DE2247B}" name="Column302"/>
    <tableColumn id="330" xr3:uid="{9EB6853B-0D63-46C4-882F-2653B69F8B7A}" name="Column303"/>
    <tableColumn id="331" xr3:uid="{E7DCE3E2-5016-4D42-AA7D-C185D8B7C610}" name="Column304"/>
    <tableColumn id="332" xr3:uid="{2B9F90D7-B6B6-45D0-810D-FF337F50D849}" name="Column305"/>
    <tableColumn id="333" xr3:uid="{26BCDF43-3A72-4EAE-BCC8-02FC1D41BFFC}" name="Column306"/>
    <tableColumn id="334" xr3:uid="{47AF45F7-01F3-4EB3-971B-5644C2A383B4}" name="Column307"/>
    <tableColumn id="335" xr3:uid="{A871BDFB-02A2-414B-BCAE-6C3CE6A2C7E1}" name="Column308"/>
    <tableColumn id="336" xr3:uid="{68271EA1-E493-4539-A897-8387A31A4BAE}" name="Column309"/>
    <tableColumn id="337" xr3:uid="{9C6A5784-5843-49AF-B74C-954FF7075256}" name="Column310"/>
    <tableColumn id="338" xr3:uid="{D016A7DF-19DE-4549-81C3-F44131CA7B67}" name="Column311"/>
    <tableColumn id="339" xr3:uid="{A8E71496-5729-4211-9045-DFE1D740A4F5}" name="Column312"/>
    <tableColumn id="340" xr3:uid="{87C6D09B-FFF6-4941-BE9A-A804B81E4F5E}" name="Column313"/>
    <tableColumn id="341" xr3:uid="{38E06263-5F83-4A8E-93B9-6ED759B2124B}" name="Column314"/>
    <tableColumn id="342" xr3:uid="{36F33F18-B863-4F4A-9D34-23AB9AC12502}" name="Column315"/>
    <tableColumn id="343" xr3:uid="{9003EBA2-0B50-4737-9B3E-166692D2303F}" name="Column316"/>
    <tableColumn id="344" xr3:uid="{10B9C402-9657-4C1C-9926-AA046A9BF2F9}" name="Column317"/>
    <tableColumn id="345" xr3:uid="{694C79D1-3F9C-493E-9517-AE71E86E1330}" name="Column318"/>
    <tableColumn id="346" xr3:uid="{A76A0463-5A17-4056-862A-67106D8774C1}" name="Column319"/>
    <tableColumn id="347" xr3:uid="{94DFF574-9AC7-4EB1-B165-A7D52C79D6BF}" name="Column320"/>
    <tableColumn id="348" xr3:uid="{BCC4E78A-43B7-4E54-98C7-A48E2C4573B7}" name="Column321"/>
    <tableColumn id="349" xr3:uid="{BB9DC262-8E53-4A61-9554-7694B09BC721}" name="Column322"/>
    <tableColumn id="350" xr3:uid="{C685D1A9-63C8-4D3A-9F7B-A08525DD371A}" name="Column323"/>
    <tableColumn id="351" xr3:uid="{60BFD18A-768E-4F57-A540-D4504ACFFFE2}" name="Column324"/>
    <tableColumn id="352" xr3:uid="{C0C8D6CE-7713-4CAE-A7EA-896255F3AC85}" name="Column325"/>
    <tableColumn id="353" xr3:uid="{CC6A3AF8-6258-4944-ABBC-8925197370A6}" name="Column326"/>
    <tableColumn id="354" xr3:uid="{7D01EDC9-92F2-403B-983D-66CD94AD14A8}" name="Column327"/>
    <tableColumn id="355" xr3:uid="{6B10F7CC-BCDF-4AF2-9693-E2B395E5810D}" name="Column328"/>
    <tableColumn id="356" xr3:uid="{4403CEBD-BC81-4755-988B-F6BFD99EF05C}" name="Column329"/>
    <tableColumn id="357" xr3:uid="{FD2D967B-1706-4EF7-99E7-CCEF07445A59}" name="Column330"/>
    <tableColumn id="358" xr3:uid="{BBFE2BC3-2F3C-446A-8F26-BD59A7D06595}" name="Column331"/>
    <tableColumn id="359" xr3:uid="{9961F4D1-D995-4ECC-83D2-6442CBB1A31F}" name="Column332"/>
    <tableColumn id="360" xr3:uid="{28CB4F14-EE52-4614-A7DA-46792C3D7CC7}" name="Column333"/>
    <tableColumn id="361" xr3:uid="{0E5CF01F-8C93-4F12-9382-5B52BCEA1AE5}" name="Column334"/>
    <tableColumn id="362" xr3:uid="{2106844E-29EC-48E2-9384-499521A5C464}" name="Column335"/>
    <tableColumn id="363" xr3:uid="{C6442430-8489-4B0F-B676-D1D17A820BD0}" name="Column336"/>
    <tableColumn id="364" xr3:uid="{179710D2-995D-475D-84F3-003F97ABCFD0}" name="Column337"/>
    <tableColumn id="365" xr3:uid="{F839C33D-01B9-4E0E-A91A-2F0B42FFD94C}" name="Column338"/>
    <tableColumn id="366" xr3:uid="{E6368BFA-7F87-4615-BE8E-DAB1821F58E5}" name="Column339"/>
    <tableColumn id="367" xr3:uid="{4D92A9BF-87B3-4F8B-9CAD-EF722FC1817A}" name="Column340"/>
    <tableColumn id="368" xr3:uid="{55E24C92-D898-441C-A064-8813970DEBB1}" name="Column341"/>
    <tableColumn id="369" xr3:uid="{CCF443BE-8982-48EF-81FC-BBFDD260B563}" name="Column342"/>
    <tableColumn id="370" xr3:uid="{8354E0D7-68EA-49C8-B19B-10C3566C9AEC}" name="Column343"/>
    <tableColumn id="371" xr3:uid="{7122D945-8A91-4A7A-96F8-BDE9E3371A00}" name="Column344"/>
    <tableColumn id="372" xr3:uid="{3BE13E9B-D120-4DE4-8431-D8AE3F49945A}" name="Column345"/>
    <tableColumn id="373" xr3:uid="{2A3B9A7D-A7C6-4FF8-84AB-8A07D4615AFF}" name="Column346"/>
    <tableColumn id="374" xr3:uid="{BBF865E7-B78E-4F14-ABB2-7D1F94D85F0D}" name="Column347"/>
    <tableColumn id="375" xr3:uid="{5C0960E3-CB6F-49FC-A85B-88C9B7545115}" name="Column348"/>
    <tableColumn id="376" xr3:uid="{C553042E-1F15-44BC-B1EC-61A90321434B}" name="Column349"/>
    <tableColumn id="377" xr3:uid="{97867BEC-B5F5-47AE-B414-1DC45ABBC02E}" name="Column350"/>
    <tableColumn id="378" xr3:uid="{598FD4B7-EC32-4DD9-82E7-BFBDA7AEBFEC}" name="Column351"/>
    <tableColumn id="379" xr3:uid="{ABD2BCFB-283C-4CDA-A00E-6902E3F35A91}" name="Column352"/>
    <tableColumn id="380" xr3:uid="{124D6411-47FC-4AB4-8FFE-D094FE97BBE2}" name="Column353"/>
    <tableColumn id="381" xr3:uid="{F2C37568-2553-4E14-B47C-93DB39887048}" name="Column354"/>
    <tableColumn id="382" xr3:uid="{1AA7B9FA-908E-40B6-86D1-4C3C56225E30}" name="Column355"/>
    <tableColumn id="383" xr3:uid="{3FD582D9-5A5A-4BB0-A0BE-D8C4B1725866}" name="Column356"/>
    <tableColumn id="384" xr3:uid="{882CA2A7-D754-494B-BF32-D8992F4FE2A0}" name="Column357"/>
    <tableColumn id="385" xr3:uid="{B5886ED5-15E8-4F31-9E90-991EF08E56B6}" name="Column358"/>
    <tableColumn id="386" xr3:uid="{CF9304B8-4879-41F1-B9DA-7732BDCE6D57}" name="Column359"/>
    <tableColumn id="387" xr3:uid="{2C94514B-502C-44B0-84B5-0760395A10FA}" name="Column360"/>
    <tableColumn id="388" xr3:uid="{EE3A545E-E9EE-4EFF-9B11-E8AE3B82FB41}" name="Column361"/>
    <tableColumn id="389" xr3:uid="{F1FD3A65-AA11-491C-BDC4-BE57A9BDEA3D}" name="Column362"/>
    <tableColumn id="390" xr3:uid="{D7F9B5BB-A71F-452E-B1EF-FC907EB4B550}" name="Column363"/>
    <tableColumn id="391" xr3:uid="{F0061B77-FA9A-462D-8E6A-7A171CC404B4}" name="Column364"/>
    <tableColumn id="392" xr3:uid="{D8332855-9E1F-4571-AFB1-C966799AB4A2}" name="Column365"/>
    <tableColumn id="393" xr3:uid="{F809C77C-40FD-418A-8087-2870B1F1E9A6}" name="Column366"/>
    <tableColumn id="394" xr3:uid="{9B3C0886-3206-43B6-A9F1-E3D807E4F993}" name="Column367"/>
    <tableColumn id="395" xr3:uid="{6924B366-691F-474A-A2D3-17FB96AACEDD}" name="Column368"/>
    <tableColumn id="396" xr3:uid="{2EAB137E-8C0B-47E2-93C8-822F6B93495F}" name="Column369"/>
    <tableColumn id="397" xr3:uid="{09CB3CB5-ECBA-4F18-8BAA-62073E42550E}" name="Column370"/>
    <tableColumn id="398" xr3:uid="{37E09DF6-0D4F-41F7-AB8F-4488C6AF84B4}" name="Column371"/>
    <tableColumn id="399" xr3:uid="{23748421-A7A1-4490-9245-4569E9F73233}" name="Column372"/>
    <tableColumn id="400" xr3:uid="{45C5A40E-DB36-464C-913B-C4C71EAC012D}" name="Column373"/>
    <tableColumn id="401" xr3:uid="{E18A44AA-1805-4620-9829-E4586A6C625D}" name="Column374"/>
    <tableColumn id="402" xr3:uid="{AA9AA465-EF74-4585-B561-0C27992A1F66}" name="Column375"/>
    <tableColumn id="403" xr3:uid="{0EE3B204-D72D-4328-AF30-EB1AD8348F7C}" name="Column376"/>
    <tableColumn id="404" xr3:uid="{91F372A9-16E0-4461-B041-F7C05408D7B0}" name="Column377"/>
    <tableColumn id="405" xr3:uid="{40D2BBBD-9EC8-4667-83F5-13356C89BB7D}" name="Column378"/>
    <tableColumn id="406" xr3:uid="{54A16384-C8A9-4B25-81C3-AD34984D88E0}" name="Column379"/>
    <tableColumn id="407" xr3:uid="{3391188A-2E27-4947-92E4-7D4A367CC4C2}" name="Column380"/>
    <tableColumn id="408" xr3:uid="{C11E0E84-4582-47E9-880E-342805F94911}" name="Column381"/>
    <tableColumn id="409" xr3:uid="{D77533E4-BC7D-4ACD-B9EC-3330DD5FCAA8}" name="Column382"/>
    <tableColumn id="410" xr3:uid="{E1A50179-D648-4D9F-8BDA-9F68BCC46C3B}" name="Column383"/>
    <tableColumn id="411" xr3:uid="{80A3CDDF-D92E-46A4-BD00-0B29DE44F40A}" name="Column384"/>
    <tableColumn id="412" xr3:uid="{80032A88-7046-4DFB-9D77-F908BDA3CF14}" name="Column385"/>
    <tableColumn id="413" xr3:uid="{3918ED11-E444-46E5-95DC-AEFF6F055EF7}" name="Column386"/>
    <tableColumn id="414" xr3:uid="{7F3BAD93-858F-4BA6-8EAD-7FEA08B1009D}" name="Column387"/>
    <tableColumn id="415" xr3:uid="{255B485D-609D-43A6-B2A3-B609853E9D44}" name="Column388"/>
    <tableColumn id="416" xr3:uid="{72621FAD-4308-4CAC-B2B4-9D6EFC6F2158}" name="Column389"/>
    <tableColumn id="417" xr3:uid="{5BE0C126-1704-4A5E-888B-45BB8BDFF90F}" name="Column390"/>
    <tableColumn id="418" xr3:uid="{44F18918-AD98-41D1-AE6E-DCDC076F53AA}" name="Column391"/>
    <tableColumn id="419" xr3:uid="{518B96EF-15FD-4D1A-B1D1-E5971CB8D594}" name="Column392"/>
    <tableColumn id="420" xr3:uid="{885CDF1A-0634-435E-9E07-5A0149034233}" name="Column393"/>
    <tableColumn id="421" xr3:uid="{0A0B51E5-9795-405A-BC31-CEDA91FB3343}" name="Column394"/>
    <tableColumn id="422" xr3:uid="{B34104BF-6ABF-4754-9F6E-2BFDA115DC1F}" name="Column395"/>
    <tableColumn id="423" xr3:uid="{FA16D772-78FA-4AF8-B0A1-1A137E7153B6}" name="Column396"/>
    <tableColumn id="424" xr3:uid="{CD80E5C4-30A2-4B94-9F6B-9818C7FDC2E1}" name="Column397"/>
    <tableColumn id="425" xr3:uid="{A083A417-ECC3-4AC8-855D-388E4F4C9A57}" name="Column398"/>
    <tableColumn id="426" xr3:uid="{A04F734B-269E-41B6-96F9-09D9DABB6074}" name="Column399"/>
    <tableColumn id="427" xr3:uid="{CFD1BD97-A812-44E8-A5AB-4579176FCB97}" name="Column400"/>
    <tableColumn id="428" xr3:uid="{0FEE4F17-446E-44AD-90E9-6D763BB2B5D6}" name="Column401"/>
    <tableColumn id="429" xr3:uid="{61F0B6E1-7640-4950-918C-78E1B1BCD1C1}" name="Column402"/>
    <tableColumn id="430" xr3:uid="{C2902097-720C-4E9E-83E7-725711DE4837}" name="Column403"/>
    <tableColumn id="431" xr3:uid="{DA3217F7-8DAC-41ED-95E3-B9D111D6F8F8}" name="Column404"/>
    <tableColumn id="432" xr3:uid="{F76A67AA-89A6-4BDE-9A64-A70824E96514}" name="Column405"/>
    <tableColumn id="433" xr3:uid="{AB860A4F-0027-4AC9-A08F-D9BC61B9A081}" name="Column406"/>
    <tableColumn id="434" xr3:uid="{BF38C875-D1B7-41FD-8960-C05C81AAC6D6}" name="Column407"/>
    <tableColumn id="435" xr3:uid="{460FD563-A0CB-4983-8D9B-CF1AD96B858B}" name="Column408"/>
    <tableColumn id="436" xr3:uid="{3FA33257-657E-4865-951A-FCB641853D23}" name="Column409"/>
    <tableColumn id="437" xr3:uid="{BEE793C8-E7B7-4515-9153-A82633A34172}" name="Column410"/>
    <tableColumn id="438" xr3:uid="{6004ABBA-5A78-452E-B58A-B2C26F9BCC9E}" name="Column411"/>
    <tableColumn id="439" xr3:uid="{03E6DAF4-9F41-4FFB-80AF-3F963B1F5F95}" name="Column412"/>
    <tableColumn id="440" xr3:uid="{712B033D-C562-4673-AC51-E9E26F620F87}" name="Column413"/>
    <tableColumn id="441" xr3:uid="{A281C753-C4D9-48BA-916E-CC832909BF9E}" name="Column414"/>
    <tableColumn id="442" xr3:uid="{206EA70C-0004-4BC4-91CC-5FD975407FDF}" name="Column415"/>
    <tableColumn id="443" xr3:uid="{FF2A30DD-3BB0-4425-ADFA-05E8F79A484B}" name="Column416"/>
    <tableColumn id="444" xr3:uid="{01B69B3E-49D1-499B-9386-69FA36C3361D}" name="Column417"/>
    <tableColumn id="445" xr3:uid="{39639B88-BDBB-4208-866B-2E9DD0CB84CD}" name="Column418"/>
    <tableColumn id="446" xr3:uid="{D46239F1-E2DC-41AF-AD3F-4889EBFF76D8}" name="Column419"/>
    <tableColumn id="447" xr3:uid="{B71FD375-CF5E-49CB-B21F-85ADBD47BBD9}" name="Column420"/>
    <tableColumn id="448" xr3:uid="{4D22527F-52D6-472D-BE24-3D939B3B0320}" name="Column421"/>
    <tableColumn id="449" xr3:uid="{41188570-4C3F-44EA-8611-63DA7796C091}" name="Column422"/>
    <tableColumn id="450" xr3:uid="{0A9DA6B5-323C-4E40-A033-E43AA8E6B743}" name="Column423"/>
    <tableColumn id="451" xr3:uid="{14ED97F0-3522-45FC-B875-0F482F041094}" name="Column424"/>
    <tableColumn id="452" xr3:uid="{F66F6D85-8D8D-4F39-BB4D-D0A7341CEA03}" name="Column425"/>
    <tableColumn id="453" xr3:uid="{EEF54D95-3127-4DA6-86C6-5C32A099F018}" name="Column426"/>
    <tableColumn id="454" xr3:uid="{E81398A4-3837-42CE-85EF-EF5C771FA5ED}" name="Column427"/>
    <tableColumn id="455" xr3:uid="{12907A67-1B42-40AF-9C14-A8ED1975DAB0}" name="Column428"/>
    <tableColumn id="456" xr3:uid="{BCA70491-C3ED-4946-8195-6D3390D0850D}" name="Column429"/>
    <tableColumn id="457" xr3:uid="{9B970466-520D-44CB-BF63-87A249DD7C55}" name="Column430"/>
    <tableColumn id="458" xr3:uid="{C2488B3D-390B-4693-8C40-057025188429}" name="Column431"/>
    <tableColumn id="459" xr3:uid="{23950706-9DE8-429D-97D9-50FB68AC01E5}" name="Column432"/>
    <tableColumn id="460" xr3:uid="{285BAB5D-561F-4D7F-B143-F25608DC78CA}" name="Column433"/>
    <tableColumn id="461" xr3:uid="{C40A1E0C-D18B-4B81-9D07-7C3FC91AE6FC}" name="Column434"/>
    <tableColumn id="462" xr3:uid="{985D0689-C615-4426-97D1-86A84DD41854}" name="Column435"/>
    <tableColumn id="463" xr3:uid="{16B660E6-CEC6-4F4D-A27A-9B42B6797DEB}" name="Column436"/>
    <tableColumn id="464" xr3:uid="{7C771798-5CAE-444D-B2CB-DCC5717B08E0}" name="Column437"/>
    <tableColumn id="465" xr3:uid="{32643410-6BD1-4A6C-9DA5-C204253D6E60}" name="Column438"/>
    <tableColumn id="466" xr3:uid="{A6010776-E1A6-4002-A13C-6FFA79E8BB44}" name="Column439"/>
    <tableColumn id="467" xr3:uid="{0B319177-2D0F-4685-9609-0CB1BCAF991F}" name="Column440"/>
    <tableColumn id="468" xr3:uid="{8B4A4AA1-2434-4FB1-98C3-8410951E8A46}" name="Column441"/>
    <tableColumn id="469" xr3:uid="{8FF3B032-FF11-48F2-8679-7F70DA0D7A60}" name="Column442"/>
    <tableColumn id="470" xr3:uid="{EA220F1E-47C4-4A25-AE52-BA20788E2C3E}" name="Column443"/>
    <tableColumn id="471" xr3:uid="{59EC8A52-D777-432E-BC70-79F84A708306}" name="Column444"/>
    <tableColumn id="472" xr3:uid="{C9D0709A-BE8C-46FE-80D0-72A2DE51E69D}" name="Column445"/>
    <tableColumn id="473" xr3:uid="{3F53A3FF-DF26-41F1-9BF6-04992A434F9C}" name="Column446"/>
    <tableColumn id="474" xr3:uid="{BA456A5B-C922-4F7F-BCF7-4D52EAAEF084}" name="Column447"/>
    <tableColumn id="475" xr3:uid="{9FF87CA7-0334-402A-9BD7-A8305966669D}" name="Column448"/>
    <tableColumn id="476" xr3:uid="{112F25EB-80FD-494C-8D2D-6409CF0D4976}" name="Column449"/>
    <tableColumn id="477" xr3:uid="{68DA158B-F9AA-42E7-AD3B-061EC0D19B03}" name="Column450"/>
    <tableColumn id="478" xr3:uid="{95B476DA-6EF4-4BB8-9986-540D6C027677}" name="Column451"/>
    <tableColumn id="479" xr3:uid="{0DEE9CAF-CD8A-4036-A422-BD7B616E96E8}" name="Column452"/>
    <tableColumn id="480" xr3:uid="{88209798-F70F-4FAF-9443-847770952A9C}" name="Column453"/>
    <tableColumn id="481" xr3:uid="{58FF73BF-2868-438A-BC22-B935259D9998}" name="Column454"/>
    <tableColumn id="482" xr3:uid="{1E1BD56C-BBD2-4B8D-B019-5A81E62B8746}" name="Column455"/>
    <tableColumn id="483" xr3:uid="{7AE524DD-63C3-4CD6-8E64-C00234C5DF74}" name="Column456"/>
    <tableColumn id="484" xr3:uid="{48BFF2D8-4F7E-4F18-A037-AF4E3717783E}" name="Column457"/>
    <tableColumn id="485" xr3:uid="{6D33E216-EEC1-4C15-944E-06CE1AABEA5B}" name="Column458"/>
    <tableColumn id="486" xr3:uid="{508E5C86-CF2F-4F2D-935A-836C5C3530A0}" name="Column459"/>
    <tableColumn id="487" xr3:uid="{245CEB24-C0B5-4158-B03F-AF708182DB6F}" name="Column460"/>
    <tableColumn id="488" xr3:uid="{BA8FF548-C7AA-4E9B-ADBE-16B3AC8DA480}" name="Column461"/>
    <tableColumn id="489" xr3:uid="{0880E7F0-9FD7-4233-B3CD-403B92DA265A}" name="Column462"/>
    <tableColumn id="490" xr3:uid="{07A499AC-582F-4034-B2BF-D4B8323AD63F}" name="Column463"/>
    <tableColumn id="491" xr3:uid="{89974134-64FB-4883-995E-A550D4BA761A}" name="Column464"/>
    <tableColumn id="492" xr3:uid="{0813BD26-D40A-4A6D-8B6E-4C9B02D40196}" name="Column465"/>
    <tableColumn id="493" xr3:uid="{0E949FE0-C151-4354-938A-1B73CCD5E7CC}" name="Column466"/>
    <tableColumn id="494" xr3:uid="{7B6EF63F-8F65-4A4A-B3DB-BB18EFC721B2}" name="Column467"/>
    <tableColumn id="495" xr3:uid="{4125F90B-0510-46BC-AD63-C652593603FC}" name="Column468"/>
    <tableColumn id="496" xr3:uid="{3C616216-6837-4B86-8AB8-1664CB2743A3}" name="Column469"/>
    <tableColumn id="497" xr3:uid="{2D976177-C927-4F60-B43A-AE655D288A65}" name="Column470"/>
    <tableColumn id="498" xr3:uid="{560B3C66-67B7-46B7-8C81-389E072566D9}" name="Column471"/>
    <tableColumn id="499" xr3:uid="{825E560D-8D84-40D0-B04F-A43A3AA73134}" name="Column472"/>
    <tableColumn id="500" xr3:uid="{35AB3A86-4D16-4A9F-954C-915EFC93221D}" name="Column473"/>
    <tableColumn id="501" xr3:uid="{0CE264EE-EEBC-4109-B950-85A60DE9AAF5}" name="Column474"/>
    <tableColumn id="502" xr3:uid="{EF34B955-4C21-4295-9E84-C77B8BBE4784}" name="Column475"/>
    <tableColumn id="503" xr3:uid="{CCD55E57-ABD9-4933-B1DA-27F8A63E0217}" name="Column476"/>
    <tableColumn id="504" xr3:uid="{2F4762DD-256F-44D4-9A0A-F7062ADB6624}" name="Column477"/>
    <tableColumn id="505" xr3:uid="{D688BD95-A47A-466C-A6E8-219E1BD7E877}" name="Column478"/>
    <tableColumn id="506" xr3:uid="{5CB98AF2-7802-406B-B710-D41537BB44E6}" name="Column479"/>
    <tableColumn id="507" xr3:uid="{9C4D3F81-75F3-482C-9684-F9096689358A}" name="Column480"/>
    <tableColumn id="508" xr3:uid="{A590323D-5681-43C8-BC53-7DEB8BC8AEA3}" name="Column481"/>
    <tableColumn id="509" xr3:uid="{FF1EED18-F967-4A5B-A52B-BA8469D7D18C}" name="Column482"/>
    <tableColumn id="510" xr3:uid="{C64FD057-EDE9-4068-8CE9-326BBDE28F32}" name="Column483"/>
    <tableColumn id="511" xr3:uid="{5F63A550-704F-4223-A5E8-82574EE7DCDA}" name="Column484"/>
    <tableColumn id="512" xr3:uid="{99B26C27-47DD-48D5-93F5-BC96319FFF2D}" name="Column485"/>
    <tableColumn id="513" xr3:uid="{0ADE5811-4428-495F-A992-58249768715D}" name="Column486"/>
    <tableColumn id="514" xr3:uid="{97A7445A-A60D-4D42-92D5-14120D85CF2B}" name="Column487"/>
    <tableColumn id="515" xr3:uid="{7D65E800-CC8C-42F8-83EC-012204E93890}" name="Column488"/>
    <tableColumn id="516" xr3:uid="{697E52DA-3B8B-4A90-BB31-885B41D45A7C}" name="Column489"/>
    <tableColumn id="517" xr3:uid="{2A43FFBD-42E9-42C9-BE8A-78CAD3E8851C}" name="Column490"/>
    <tableColumn id="518" xr3:uid="{AF9C6033-B671-4BEA-B051-3542F3D168A4}" name="Column491"/>
    <tableColumn id="519" xr3:uid="{D76B552B-EAA9-4FE7-B8CC-D50DCCA2B788}" name="Column492"/>
    <tableColumn id="520" xr3:uid="{46D5C987-7B66-4082-B520-8B9C8F0E776D}" name="Column493"/>
    <tableColumn id="521" xr3:uid="{B84AEFD5-5D98-4579-983E-859B2802E226}" name="Column494"/>
    <tableColumn id="522" xr3:uid="{50176389-B2A0-493D-B6B9-2563D9D0448C}" name="Column495"/>
    <tableColumn id="523" xr3:uid="{9B656506-C146-47DA-BF9B-FBFA6289B8FC}" name="Column496"/>
    <tableColumn id="524" xr3:uid="{9ABD87A1-5094-4E2F-8C5F-969EA1DA8702}" name="Column497"/>
    <tableColumn id="525" xr3:uid="{11BADF9C-4D47-4A20-9499-52D638BB0B36}" name="Column498"/>
    <tableColumn id="526" xr3:uid="{B44BB533-98D8-45A6-9DA7-8178D77B6AC6}" name="Column499"/>
    <tableColumn id="527" xr3:uid="{A5FF52EB-2047-4AFD-81D2-301EFF68ECAA}" name="Column500"/>
    <tableColumn id="528" xr3:uid="{9B8CF865-9596-44F4-A2FD-EBEE56EE5068}" name="Column501"/>
    <tableColumn id="529" xr3:uid="{B39E651C-75F2-47DD-AE52-DD2F7C639C97}" name="Column502"/>
    <tableColumn id="530" xr3:uid="{B1AF0511-554A-4874-876E-FD60F8776D43}" name="Column503"/>
    <tableColumn id="531" xr3:uid="{0F958F7C-E930-4A1A-87B8-6CB95A60336C}" name="Column504"/>
    <tableColumn id="532" xr3:uid="{6DE30B9F-5AF1-41C4-86B4-E694C8B8CE19}" name="Column505"/>
    <tableColumn id="533" xr3:uid="{F9362837-A60F-4B34-A57B-F1D727433647}" name="Column506"/>
    <tableColumn id="534" xr3:uid="{B0FE53B4-B4F5-4F14-A5AD-950476D531C7}" name="Column507"/>
    <tableColumn id="535" xr3:uid="{D7033608-8C58-4C65-B883-2B5F29D7BF3A}" name="Column508"/>
    <tableColumn id="536" xr3:uid="{97144B48-ED7A-4966-AB98-AA2DE850845E}" name="Column509"/>
    <tableColumn id="537" xr3:uid="{8E4DA86C-44CE-4EC5-9BA8-2F11FCBF0263}" name="Column510"/>
    <tableColumn id="538" xr3:uid="{AB332A06-C4CF-459B-9069-1C28A662E571}" name="Column511"/>
    <tableColumn id="539" xr3:uid="{1FC6A176-C414-4B66-9575-B9CB9E9C864C}" name="Column512"/>
    <tableColumn id="540" xr3:uid="{037FAC87-5F0E-430F-9B45-81CF67B70AF5}" name="Column513"/>
    <tableColumn id="541" xr3:uid="{34CD24AC-EB21-4850-9A7E-57504FF1B1BB}" name="Column514"/>
    <tableColumn id="542" xr3:uid="{1DA56A17-D8F2-4873-ABDA-74FA47019C78}" name="Column515"/>
    <tableColumn id="543" xr3:uid="{A0A6E3C1-651D-4F55-AA0D-392CC3A34689}" name="Column516"/>
    <tableColumn id="544" xr3:uid="{AF20D21E-BD20-4124-9583-9C15A218D923}" name="Column517"/>
    <tableColumn id="545" xr3:uid="{1F2E5E53-EBBE-4895-8A95-042D050EF102}" name="Column518"/>
    <tableColumn id="546" xr3:uid="{9300B991-56BE-4E00-BED5-4C3DD430220B}" name="Column519"/>
    <tableColumn id="547" xr3:uid="{195FDD77-5B6D-45DA-B361-FA3255014287}" name="Column520"/>
    <tableColumn id="548" xr3:uid="{E934BBA2-8787-4FB9-A0DC-2C2DC7E4BB5A}" name="Column521"/>
    <tableColumn id="549" xr3:uid="{C51A2D39-7692-49CA-AAD2-AF2518F4C67D}" name="Column522"/>
    <tableColumn id="550" xr3:uid="{76FD1379-C894-4D63-B38A-443D458D2ED0}" name="Column523"/>
    <tableColumn id="551" xr3:uid="{B9CF9AAE-1187-4C4A-B1B6-65E59EB1F74A}" name="Column524"/>
    <tableColumn id="552" xr3:uid="{7F5B6FE0-A768-4FF8-957E-75170AFDAB60}" name="Column525"/>
    <tableColumn id="553" xr3:uid="{B6C0B94C-A885-4B83-9A07-F3430546F656}" name="Column526"/>
    <tableColumn id="554" xr3:uid="{B6BAE799-3507-4CC9-A427-40FA3EEC05E2}" name="Column527"/>
    <tableColumn id="555" xr3:uid="{FA3EC49B-082A-4F97-B2A4-3209B5B720A6}" name="Column528"/>
    <tableColumn id="556" xr3:uid="{F869E725-E3C8-42C8-917B-66E3FE2DBDBC}" name="Column529"/>
    <tableColumn id="557" xr3:uid="{D5F1F375-9381-49F6-9F0E-975D1B8811A9}" name="Column530"/>
    <tableColumn id="558" xr3:uid="{0D046C65-9A3F-4FB9-BA31-387FBFB0D65B}" name="Column531"/>
    <tableColumn id="559" xr3:uid="{2848B4FB-993A-4DB8-9F17-4A0334E87B7C}" name="Column532"/>
    <tableColumn id="560" xr3:uid="{372D0325-F05A-40BB-8B48-17EE64DE407D}" name="Column533"/>
    <tableColumn id="561" xr3:uid="{47D064CD-35FD-4BE5-A6F5-708D61418ADC}" name="Column534"/>
    <tableColumn id="562" xr3:uid="{6C41578D-6C72-4855-B605-006543C9DB8C}" name="Column535"/>
    <tableColumn id="563" xr3:uid="{8845BBCE-4931-4649-86C9-9682E424D432}" name="Column536"/>
    <tableColumn id="564" xr3:uid="{36D0DDE6-4E61-4B2B-8A55-3B30833E6BC8}" name="Column537"/>
    <tableColumn id="565" xr3:uid="{8E2B5AC7-14C7-4B33-B0EA-1F27CD66392F}" name="Column538"/>
    <tableColumn id="566" xr3:uid="{A6D49FE9-49D6-4B91-ACBE-2C7E3CA0B3FD}" name="Column539"/>
    <tableColumn id="567" xr3:uid="{93539463-81E7-4DCD-8BB9-8B0E08473C04}" name="Column540"/>
    <tableColumn id="568" xr3:uid="{27C14B27-EB07-4F69-9EC0-8604B8E3F7F2}" name="Column541"/>
    <tableColumn id="569" xr3:uid="{3E360A01-EA29-4FD0-8AF6-A604C2CA9C84}" name="Column542"/>
    <tableColumn id="570" xr3:uid="{6FBF4CB6-246E-4CB0-A0E1-31C82BB1F888}" name="Column543"/>
    <tableColumn id="571" xr3:uid="{21A4E6C7-F2EB-4239-A9DF-4DC2A70A25CC}" name="Column544"/>
    <tableColumn id="572" xr3:uid="{CE8CC076-1F6C-42EC-BE6D-D323B2E2474E}" name="Column545"/>
    <tableColumn id="573" xr3:uid="{46CC4D52-E6F3-4C62-8B0B-0FDFAACFBBAE}" name="Column546"/>
    <tableColumn id="574" xr3:uid="{87F27FC0-2018-4EE3-9231-2B122739DE68}" name="Column547"/>
    <tableColumn id="575" xr3:uid="{0F708656-3602-47A8-BD9E-F46F7134798D}" name="Column548"/>
    <tableColumn id="576" xr3:uid="{FB4A2D79-AD7A-466D-9419-E0B8AF9CD287}" name="Column549"/>
    <tableColumn id="577" xr3:uid="{A748C0B9-2E97-44E0-88A3-83D67B593805}" name="Column550"/>
    <tableColumn id="578" xr3:uid="{266D8E01-2E47-4943-96D0-BC8E8C1FDA9E}" name="Column551"/>
    <tableColumn id="579" xr3:uid="{953B35AA-2500-4371-B5E2-9F0EF72C8453}" name="Column552"/>
    <tableColumn id="580" xr3:uid="{230997C6-A72B-46D1-A906-D3777AF98B0E}" name="Column553"/>
    <tableColumn id="581" xr3:uid="{A6038935-F38B-4E71-9D02-6A1ECC476D13}" name="Column554"/>
    <tableColumn id="582" xr3:uid="{E28CD17A-0DD3-4D17-8178-4C3643B0CCC1}" name="Column555"/>
    <tableColumn id="583" xr3:uid="{4FD27ED8-A00D-4991-9317-D9C3A51675A3}" name="Column556"/>
    <tableColumn id="584" xr3:uid="{66E5A107-8163-413C-BC21-31D902AC9454}" name="Column557"/>
    <tableColumn id="585" xr3:uid="{6CD9DB0F-7CF3-4F43-9FB2-F9F87BE1A17D}" name="Column558"/>
    <tableColumn id="586" xr3:uid="{EB0F20CE-5483-42C5-A932-5F247D08DEDD}" name="Column559"/>
    <tableColumn id="587" xr3:uid="{3B4A8564-9EC4-475B-B0C8-5057D373D893}" name="Column560"/>
    <tableColumn id="588" xr3:uid="{0498F61A-E11B-478D-841D-C0D6CB7400E5}" name="Column561"/>
    <tableColumn id="589" xr3:uid="{E7631D6F-BA91-4D41-BAEC-9C19B152604C}" name="Column562"/>
    <tableColumn id="590" xr3:uid="{1B72EA58-036F-4383-A412-FAEBBA5C0EF8}" name="Column563"/>
    <tableColumn id="591" xr3:uid="{CF38724B-2269-47EB-AE9B-7366D5A2E592}" name="Column564"/>
    <tableColumn id="592" xr3:uid="{897C89D5-6083-4851-BFB4-2FAE0E57DF78}" name="Column565"/>
    <tableColumn id="593" xr3:uid="{02CEF919-4731-4E54-845F-68FFA7C257E5}" name="Column566"/>
    <tableColumn id="594" xr3:uid="{C8C5ACD9-6287-4776-BD7B-CED881FA521D}" name="Column567"/>
    <tableColumn id="595" xr3:uid="{E9805B09-E6B7-4590-8E2E-AC1DF18B4AC1}" name="Column568"/>
    <tableColumn id="596" xr3:uid="{DE1472F2-E463-49A9-A85B-4EEE5AE6CF3E}" name="Column569"/>
    <tableColumn id="597" xr3:uid="{0FEC4FBC-4167-4D75-A4F1-8F5159A52019}" name="Column570"/>
    <tableColumn id="598" xr3:uid="{3B26D099-6576-4761-B1B8-15B5A9E0F85B}" name="Column571"/>
    <tableColumn id="599" xr3:uid="{91C6ED61-7982-4427-90F2-74F5276B2C5C}" name="Column572"/>
    <tableColumn id="600" xr3:uid="{93D28673-24BF-4861-ACB0-BE06B53AE02F}" name="Column573"/>
    <tableColumn id="601" xr3:uid="{DCA744C4-5BAC-4DD0-896E-801CEB765841}" name="Column574"/>
    <tableColumn id="602" xr3:uid="{93C41F38-9E23-448F-AF47-4D192843429B}" name="Column575"/>
    <tableColumn id="603" xr3:uid="{97992B2A-B9F1-4C06-88F1-CA27B40D842A}" name="Column576"/>
    <tableColumn id="604" xr3:uid="{5942A27E-AA29-448C-93B0-59E1605992C5}" name="Column577"/>
    <tableColumn id="605" xr3:uid="{604F9156-F15C-4CA3-B217-64B78F4C61DE}" name="Column578"/>
    <tableColumn id="606" xr3:uid="{BF323AF6-AE14-455E-B21F-FE6F17656B14}" name="Column579"/>
    <tableColumn id="607" xr3:uid="{347E7D0D-80DD-4BDA-AA20-7A37D13EFCB9}" name="Column580"/>
    <tableColumn id="608" xr3:uid="{489171FE-4621-4C32-889E-DCB33B90CB91}" name="Column581"/>
    <tableColumn id="609" xr3:uid="{F67CFF66-803C-4D24-89EA-9E57AB935AC9}" name="Column582"/>
    <tableColumn id="610" xr3:uid="{AA0462FF-4408-4ADC-ACD3-87F294598031}" name="Column583"/>
    <tableColumn id="611" xr3:uid="{224D7DF2-02B0-4AF0-AB5E-5C960F8E9615}" name="Column584"/>
    <tableColumn id="612" xr3:uid="{084B4B52-A3BA-4C17-864E-A54A5A02F329}" name="Column585"/>
    <tableColumn id="613" xr3:uid="{3A944DEB-0CF8-47A7-A442-0FFBB7FCF2C6}" name="Column586"/>
    <tableColumn id="614" xr3:uid="{00423E7A-CF6E-489E-8300-60D02D2EF6A8}" name="Column587"/>
    <tableColumn id="615" xr3:uid="{2889D7A7-043C-439B-854D-1BAE82BDB7C5}" name="Column588"/>
    <tableColumn id="616" xr3:uid="{D9F10B7A-C571-483F-B4F7-1A782A03216F}" name="Column589"/>
    <tableColumn id="617" xr3:uid="{DAA1F70E-E3D2-4CF1-A408-42ABE8B03872}" name="Column590"/>
    <tableColumn id="618" xr3:uid="{5855DB1F-1F8E-4770-9324-836E58FD6A58}" name="Column591"/>
    <tableColumn id="619" xr3:uid="{F2A74F1E-EDD4-4955-9939-412DFC4021AD}" name="Column592"/>
    <tableColumn id="620" xr3:uid="{9B408408-10F8-429D-B9C7-956CE8D46FA3}" name="Column593"/>
    <tableColumn id="621" xr3:uid="{71AC6509-B57A-4FA0-A03A-03F5CA5496F4}" name="Column594"/>
    <tableColumn id="622" xr3:uid="{88DFA343-BAAA-4268-97D1-DB6055F134D8}" name="Column595"/>
    <tableColumn id="623" xr3:uid="{2075B58E-396E-481B-8A79-DC6B2155BA32}" name="Column596"/>
    <tableColumn id="624" xr3:uid="{209C6223-9151-40C5-9BFE-D488877A94C0}" name="Column597"/>
    <tableColumn id="625" xr3:uid="{5DF7CDFC-30E1-42F7-9938-94E20C199530}" name="Column598"/>
    <tableColumn id="626" xr3:uid="{F454C07C-C358-4221-A6A3-D9F6CBC22399}" name="Column599"/>
    <tableColumn id="627" xr3:uid="{CB47F090-62BC-42DA-A227-8867D72A846F}" name="Column600"/>
    <tableColumn id="628" xr3:uid="{1A64A7FD-B751-4946-9273-7D7CEA99065C}" name="Column601"/>
    <tableColumn id="629" xr3:uid="{3CA183A2-3D3B-4057-8510-33902EAF933A}" name="Column602"/>
    <tableColumn id="630" xr3:uid="{241CCD29-F3D3-416E-9081-37046AD183B4}" name="Column603"/>
    <tableColumn id="631" xr3:uid="{26D470D2-AEF8-4F3E-A9EA-3528C85CBCD6}" name="Column604"/>
    <tableColumn id="632" xr3:uid="{FE4ABCEF-C207-4173-9D85-A78B21640A57}" name="Column605"/>
    <tableColumn id="633" xr3:uid="{E953D77F-BFF3-44F5-9747-0A0AF487553F}" name="Column606"/>
    <tableColumn id="634" xr3:uid="{ED4B8A44-468F-4442-808B-DD032A5E3BEC}" name="Column607"/>
    <tableColumn id="635" xr3:uid="{2C07B062-ECD3-4A2C-9DAA-E62A17B5A928}" name="Column608"/>
    <tableColumn id="636" xr3:uid="{6ACE07E7-26C2-4369-ACD8-9EF9179F3DFB}" name="Column609"/>
    <tableColumn id="637" xr3:uid="{90E6A44A-85CF-4B73-91D6-98FD995A52CF}" name="Column610"/>
    <tableColumn id="638" xr3:uid="{91B599F2-558F-4E90-A7ED-A6300DAE5670}" name="Column611"/>
    <tableColumn id="639" xr3:uid="{117A19A9-E777-4FBC-8737-3D0B02F3F8CB}" name="Column612"/>
    <tableColumn id="640" xr3:uid="{C01CDFCA-EAE0-4C7B-BC0D-CF6C9BA7DB67}" name="Column613"/>
    <tableColumn id="641" xr3:uid="{3CC85E46-ADA3-4741-B49E-12FB759680A2}" name="Column614"/>
    <tableColumn id="642" xr3:uid="{AF5749C6-8AD6-4977-BC54-9F48A4A350AD}" name="Column615"/>
    <tableColumn id="643" xr3:uid="{801F0EAE-6C12-4B94-979D-C8DF05AAB4CE}" name="Column616"/>
    <tableColumn id="644" xr3:uid="{62D00F94-6966-48EC-BCCF-2BA0B387BE3F}" name="Column617"/>
    <tableColumn id="645" xr3:uid="{EE3A31FD-2FBE-4C86-99F1-971F755D5A76}" name="Column618"/>
    <tableColumn id="646" xr3:uid="{14F9AE90-0F8E-439E-89D7-6A38DFF34E1D}" name="Column619"/>
    <tableColumn id="647" xr3:uid="{CD06D2DF-1AAB-4B64-8FBF-46862CBA2CB3}" name="Column620"/>
    <tableColumn id="648" xr3:uid="{171F17A2-F6CC-41D8-AE02-7633C785B6B7}" name="Column621"/>
    <tableColumn id="649" xr3:uid="{B725A3E6-4C16-4162-994D-85277E1C94C2}" name="Column622"/>
    <tableColumn id="650" xr3:uid="{254EDA69-13BA-489A-9AE3-31684FA6997A}" name="Column623"/>
    <tableColumn id="651" xr3:uid="{E7F0290E-2D9C-4B69-AD0B-B926A2EE3E9C}" name="Column624"/>
    <tableColumn id="652" xr3:uid="{2462CF21-3930-412B-BC7E-06FA12101B3F}" name="Column625"/>
    <tableColumn id="653" xr3:uid="{39189C6C-7D17-45F3-8EE2-45ABFE507F18}" name="Column626"/>
    <tableColumn id="654" xr3:uid="{8AEC8891-9452-4C89-8F43-54D39323F2C2}" name="Column627"/>
    <tableColumn id="655" xr3:uid="{6D3A4E0E-3FEB-46A3-8EED-82ED37C5297D}" name="Column628"/>
    <tableColumn id="656" xr3:uid="{7F78F04D-186F-4206-99A4-94FAFA03BE3D}" name="Column629"/>
    <tableColumn id="657" xr3:uid="{440A21A2-0DF6-4790-94BA-22BCA200DE64}" name="Column630"/>
    <tableColumn id="658" xr3:uid="{49A1A0B9-D2EC-46AF-8D9B-198EFBEA8E3A}" name="Column631"/>
    <tableColumn id="659" xr3:uid="{B30598B8-087E-4696-9A3E-3E11BC4B0F00}" name="Column632"/>
    <tableColumn id="660" xr3:uid="{C839E141-051B-4E0C-9EB3-EC3794C3C749}" name="Column633"/>
    <tableColumn id="661" xr3:uid="{09C64C16-5A79-4FFD-96D5-D326B4F7EF51}" name="Column634"/>
    <tableColumn id="662" xr3:uid="{B1760420-36E2-4295-811D-28D769334B88}" name="Column635"/>
    <tableColumn id="663" xr3:uid="{89E2273C-034D-46CB-B064-26D85E7BC4A3}" name="Column636"/>
    <tableColumn id="664" xr3:uid="{FC1145E1-DC2B-4527-8C57-479952EFAE2D}" name="Column637"/>
    <tableColumn id="665" xr3:uid="{B04DEBBF-961E-4F94-99ED-F94A1EBB3567}" name="Column638"/>
    <tableColumn id="666" xr3:uid="{4097F290-44AC-42E1-94F6-61EAFD2AF534}" name="Column639"/>
    <tableColumn id="667" xr3:uid="{196EA7B2-F528-486E-9601-B0B19BE6E0EA}" name="Column640"/>
    <tableColumn id="668" xr3:uid="{4B7E97A2-98D5-448A-8C89-7DF97D695E2B}" name="Column641"/>
    <tableColumn id="669" xr3:uid="{8493A310-7E8B-4260-A8AE-7A7350757242}" name="Column642"/>
    <tableColumn id="670" xr3:uid="{AE98DED1-AD4F-4948-BDF7-2518CEBB4E7C}" name="Column643"/>
    <tableColumn id="671" xr3:uid="{A5363C6C-6A37-46C2-9FAB-6C802B9DD2E1}" name="Column644"/>
    <tableColumn id="672" xr3:uid="{E36BA0CB-FD90-4766-AEC2-92C3FCB6D0BF}" name="Column645"/>
    <tableColumn id="673" xr3:uid="{0D9C877A-E247-4C8C-B730-59E0E1BF6AC2}" name="Column646"/>
    <tableColumn id="674" xr3:uid="{0B63B017-A01F-4991-B2A2-A47197215579}" name="Column647"/>
    <tableColumn id="675" xr3:uid="{7493C9C2-1F2E-46D5-AD26-DFD1E8BEAE36}" name="Column648"/>
    <tableColumn id="676" xr3:uid="{7EBE4C56-8666-43CC-A9EE-1C6718794C7D}" name="Column649"/>
    <tableColumn id="677" xr3:uid="{D36A7B0C-8695-4D50-B032-DDC6029E087A}" name="Column650"/>
    <tableColumn id="678" xr3:uid="{EF158ECC-4660-47FD-917C-ABB984FA5959}" name="Column651"/>
    <tableColumn id="679" xr3:uid="{66A0857D-098E-4DC4-BC9D-822765B59DC9}" name="Column652"/>
    <tableColumn id="680" xr3:uid="{18A75F0A-A744-4DF1-A783-87A3255C08E0}" name="Column653"/>
    <tableColumn id="681" xr3:uid="{C0761E15-DCC9-4A23-9870-AA72F27E55B4}" name="Column654"/>
    <tableColumn id="682" xr3:uid="{859CE25C-871A-4EF9-B86E-FB7D0B5A7997}" name="Column655"/>
    <tableColumn id="683" xr3:uid="{E534A37D-5866-495B-A90D-516BE8CC0501}" name="Column656"/>
    <tableColumn id="684" xr3:uid="{199D382A-D091-44EE-98D9-76E3D37BE99C}" name="Column657"/>
    <tableColumn id="685" xr3:uid="{09F5237B-18E3-437F-BD01-D4834F6303F4}" name="Column658"/>
    <tableColumn id="686" xr3:uid="{6766BC5C-CF52-42E6-BD65-8EDEECE7AF7E}" name="Column659"/>
    <tableColumn id="687" xr3:uid="{F3DB724F-4824-4D37-ADA0-ACDC8FB4E2E6}" name="Column660"/>
    <tableColumn id="688" xr3:uid="{D20AF0C5-F38F-4AB7-A8BA-41ADAF6F3A92}" name="Column661"/>
    <tableColumn id="689" xr3:uid="{C5C85778-727A-4C88-A192-F722705F9E48}" name="Column662"/>
    <tableColumn id="690" xr3:uid="{02E2B90A-28DF-416B-A356-B4A948AAEAFB}" name="Column663"/>
    <tableColumn id="691" xr3:uid="{6779BFA2-7138-43B6-B20D-3B54CD5DF4FD}" name="Column664"/>
    <tableColumn id="692" xr3:uid="{7930C7E3-0C03-4DDE-9DD7-0FD9EBE7F1A4}" name="Column665"/>
    <tableColumn id="693" xr3:uid="{96C7FC67-AB35-47CC-A87E-8C2AC968F56E}" name="Column666"/>
    <tableColumn id="694" xr3:uid="{1EC27354-E1DB-4C07-87AC-6FCF2B118676}" name="Column667"/>
    <tableColumn id="695" xr3:uid="{32688267-631C-470E-AC07-77BF45EE4BAD}" name="Column668"/>
    <tableColumn id="696" xr3:uid="{8B2AED26-AE04-4C02-98DC-3E823CEA9610}" name="Column669"/>
    <tableColumn id="697" xr3:uid="{9CB4FFB3-1B29-46CF-ACC6-A37FE526D82D}" name="Column670"/>
    <tableColumn id="698" xr3:uid="{283A0F9B-F42D-45EA-B21F-D61072FF3812}" name="Column671"/>
    <tableColumn id="699" xr3:uid="{BC91BF58-D2C4-4774-B6D3-07BA0FFFCEEE}" name="Column672"/>
    <tableColumn id="700" xr3:uid="{F09B89EF-EE73-4E10-9AE4-A4A29D60A023}" name="Column673"/>
    <tableColumn id="701" xr3:uid="{80BC86B9-AD56-454B-881B-EB7B8773A891}" name="Column674"/>
    <tableColumn id="702" xr3:uid="{C2BDA7BE-F098-4C2B-AC7D-2DA9126724E8}" name="Column675"/>
    <tableColumn id="703" xr3:uid="{2B596DD3-9DEB-488D-8180-0D129099AA31}" name="Column676"/>
    <tableColumn id="704" xr3:uid="{F9926030-E841-473D-8690-21B1493AEBDD}" name="Column677"/>
    <tableColumn id="705" xr3:uid="{40D26F69-F6B2-4E06-8B59-14BEA7A017C8}" name="Column678"/>
    <tableColumn id="706" xr3:uid="{645973A4-8FE4-4F13-9A5F-1C8CF242F151}" name="Column679"/>
    <tableColumn id="707" xr3:uid="{4E47EAE3-3349-49E4-ABA5-7F5CEB24A82B}" name="Column680"/>
    <tableColumn id="708" xr3:uid="{D4192FE0-21B7-42EA-B59D-BDD7DA39519E}" name="Column681"/>
    <tableColumn id="709" xr3:uid="{7237C17F-6E00-4FAC-8D60-DC86E9500657}" name="Column682"/>
    <tableColumn id="710" xr3:uid="{DD7DABC9-B9A1-4284-A6E6-57F00D642415}" name="Column683"/>
    <tableColumn id="711" xr3:uid="{147940B0-CD73-4118-BDA2-D6C080BE3E0C}" name="Column684"/>
    <tableColumn id="712" xr3:uid="{F5E32F24-157E-472E-B278-72A8086157AC}" name="Column685"/>
    <tableColumn id="713" xr3:uid="{823C9BB2-06AE-4F11-B306-FD271B92B1B9}" name="Column686"/>
    <tableColumn id="714" xr3:uid="{955EBC2D-27AE-4AE8-935F-F4A71B78026C}" name="Column687"/>
    <tableColumn id="715" xr3:uid="{814B700E-0BF7-47F9-9FCB-114A2F72C740}" name="Column688"/>
    <tableColumn id="716" xr3:uid="{E0451437-47B9-4B71-A9A2-8B6A1761908D}" name="Column689"/>
    <tableColumn id="717" xr3:uid="{E8F30A74-E418-4698-8EB4-BEF20B042C22}" name="Column690"/>
    <tableColumn id="718" xr3:uid="{206E06F7-BFCF-4A6A-BB6D-61474B2D897B}" name="Column691"/>
    <tableColumn id="719" xr3:uid="{17920EC7-A17F-4FBD-9F9F-12D7B419BD23}" name="Column692"/>
    <tableColumn id="720" xr3:uid="{8B69A144-E47B-4357-97FB-463F762EB245}" name="Column693"/>
    <tableColumn id="721" xr3:uid="{EAE16F66-E066-4667-9210-018AE1379ED6}" name="Column694"/>
    <tableColumn id="722" xr3:uid="{80840AAA-AF80-4FFD-973B-2EDB214E21DF}" name="Column695"/>
    <tableColumn id="723" xr3:uid="{D8B0AB1A-9617-4412-8231-80355C0F763E}" name="Column696"/>
    <tableColumn id="724" xr3:uid="{6C622708-7D53-4E7E-9BCF-DC66459A1E63}" name="Column697"/>
    <tableColumn id="725" xr3:uid="{DE3E15B6-42FE-4856-85EF-4F38967855E6}" name="Column698"/>
    <tableColumn id="726" xr3:uid="{5394990E-C869-4EB7-81E2-A9229B62772F}" name="Column699"/>
    <tableColumn id="727" xr3:uid="{50888224-D201-4411-977D-468D06515637}" name="Column700"/>
    <tableColumn id="728" xr3:uid="{CFD311B0-7F53-4063-BD5D-C828AE8DF53B}" name="Column701"/>
    <tableColumn id="729" xr3:uid="{B4410907-E814-4293-86DD-497B40EBF32D}" name="Column702"/>
    <tableColumn id="730" xr3:uid="{49CC6F25-1C9A-46C4-8AAA-0D106158ED83}" name="Column703"/>
    <tableColumn id="731" xr3:uid="{F7BF7AFE-7470-44D8-B76D-2D2A239A72AC}" name="Column704"/>
    <tableColumn id="732" xr3:uid="{D08C11E1-4713-499B-A295-903381F4A202}" name="Column705"/>
    <tableColumn id="733" xr3:uid="{29D7105E-E9CC-4F0F-9C40-8BB3BEE7F249}" name="Column706"/>
    <tableColumn id="734" xr3:uid="{E482A5FE-3DA0-42EC-B527-574330C21AC2}" name="Column707"/>
    <tableColumn id="735" xr3:uid="{0C1BF216-AB17-435A-9F31-2CFB8D365CEC}" name="Column708"/>
    <tableColumn id="736" xr3:uid="{CE20BD6A-8464-4124-A769-139D4599A043}" name="Column709"/>
    <tableColumn id="737" xr3:uid="{775D5B93-C3E8-47F9-AC88-03B4CABB2ECB}" name="Column710"/>
    <tableColumn id="738" xr3:uid="{94832AC0-F37D-42D7-A08F-BFDB6AA79438}" name="Column711"/>
    <tableColumn id="739" xr3:uid="{EBA4DF78-1FF5-4C45-A1EE-F31B392EFE28}" name="Column712"/>
    <tableColumn id="740" xr3:uid="{2A82F3A2-F79D-42AF-8581-EB9841BB18B3}" name="Column713"/>
    <tableColumn id="741" xr3:uid="{A9807DA7-7224-45E3-BCD6-678711600E62}" name="Column714"/>
    <tableColumn id="742" xr3:uid="{8F5E87A5-E443-4FB0-886F-2E29539C04F1}" name="Column715"/>
    <tableColumn id="743" xr3:uid="{08B1F045-AC82-4629-830F-3039B0475993}" name="Column716"/>
    <tableColumn id="744" xr3:uid="{1998C87B-D82B-4B71-A480-7822B1AD6012}" name="Column717"/>
    <tableColumn id="745" xr3:uid="{9AE8A17B-07A5-4384-B4EA-3667D2E13523}" name="Column718"/>
    <tableColumn id="746" xr3:uid="{05829C9B-A3FC-4E65-8691-3B4D57DD9DA7}" name="Column719"/>
    <tableColumn id="747" xr3:uid="{A134172E-8DA5-4DE4-B0C0-60A33A575DE9}" name="Column720"/>
    <tableColumn id="748" xr3:uid="{2E2EE416-7F95-452D-95C0-A7129113445F}" name="Column721"/>
    <tableColumn id="749" xr3:uid="{A4A7EE05-935E-4E2C-A38A-865572B2643D}" name="Column722"/>
    <tableColumn id="750" xr3:uid="{104BF231-012A-49EE-BD5F-A945EFB0ECAB}" name="Column723"/>
    <tableColumn id="751" xr3:uid="{9F48B1A9-5430-4F78-BF7B-BCCC729D9938}" name="Column724"/>
    <tableColumn id="752" xr3:uid="{690D61AE-6869-446B-9215-D2C77307D06E}" name="Column725"/>
    <tableColumn id="753" xr3:uid="{EDDE2ED9-441F-436B-A0A0-9B4421D651A4}" name="Column726"/>
    <tableColumn id="754" xr3:uid="{27E90D7F-C356-48F9-9AA2-D0E09DA32409}" name="Column727"/>
    <tableColumn id="755" xr3:uid="{471BA593-DAAC-40EA-B09B-570211418234}" name="Column728"/>
    <tableColumn id="756" xr3:uid="{C62AF24B-29DE-4A7F-BE43-5CA521E88325}" name="Column729"/>
    <tableColumn id="757" xr3:uid="{CB991E26-D598-4D08-A800-1F28805D28D9}" name="Column730"/>
    <tableColumn id="758" xr3:uid="{01F4B485-D4DA-418F-BC32-839ABD739196}" name="Column731"/>
    <tableColumn id="759" xr3:uid="{55127C64-63C5-4760-8F47-C50A6FDA6B1E}" name="Column732"/>
    <tableColumn id="760" xr3:uid="{04C30EA2-52EB-425C-8C22-340773D68424}" name="Column733"/>
    <tableColumn id="761" xr3:uid="{3A1565A1-8CA2-4FAF-9183-D29BACB04580}" name="Column734"/>
    <tableColumn id="762" xr3:uid="{8E107C2B-73E0-4E33-8972-229B46EBB47B}" name="Column735"/>
    <tableColumn id="763" xr3:uid="{7F7B896A-F49E-4927-B6C5-804F45CDF521}" name="Column736"/>
    <tableColumn id="764" xr3:uid="{6B9DB114-5592-4904-A069-AAE77D7F6646}" name="Column737"/>
    <tableColumn id="765" xr3:uid="{41FDFE86-016E-43F7-A842-05FBC7655744}" name="Column738"/>
    <tableColumn id="766" xr3:uid="{70204334-E2FF-469F-B9C5-CEA2436572BB}" name="Column739"/>
    <tableColumn id="767" xr3:uid="{CDA76128-6641-4FC1-A572-5E14C4CF288B}" name="Column740"/>
    <tableColumn id="768" xr3:uid="{BE0625FA-D058-4447-B805-5A39E9E559D2}" name="Column741"/>
    <tableColumn id="769" xr3:uid="{DD80A2DB-7F76-4793-9C58-12C0B9251DA9}" name="Column742"/>
    <tableColumn id="770" xr3:uid="{2062D0D4-477B-4C7C-B9DA-F14C7A682898}" name="Column743"/>
    <tableColumn id="771" xr3:uid="{CFAB3451-8C90-4097-AB49-5657834F30D4}" name="Column744"/>
    <tableColumn id="772" xr3:uid="{D0D285E3-5FA6-41D4-874E-31B5196AB9C9}" name="Column745"/>
    <tableColumn id="773" xr3:uid="{447F87FA-B665-438C-A123-28A3B8082B60}" name="Column746"/>
    <tableColumn id="774" xr3:uid="{D6C68C97-B7A0-48EA-AD47-CB06514BDF47}" name="Column747"/>
    <tableColumn id="775" xr3:uid="{E6CCE4F1-14B9-484E-984E-79927CFCA19E}" name="Column748"/>
    <tableColumn id="776" xr3:uid="{D44CB0ED-0F59-4EF7-BDB3-7D9ADB55FAF2}" name="Column749"/>
    <tableColumn id="777" xr3:uid="{0B56288C-FFF7-4230-9771-B1E9FDAA8087}" name="Column750"/>
    <tableColumn id="778" xr3:uid="{DC15BAE2-4976-4CB1-9770-44992A827198}" name="Column751"/>
    <tableColumn id="779" xr3:uid="{AB848BB7-A968-48BA-A55C-FC3EF7F04489}" name="Column752"/>
    <tableColumn id="780" xr3:uid="{D0E0D639-E3DC-4D29-9F86-12F5AB02FA87}" name="Column753"/>
    <tableColumn id="781" xr3:uid="{3127F858-669A-4EDF-9917-13EDEA6A2A5E}" name="Column754"/>
    <tableColumn id="782" xr3:uid="{6706F062-DB6A-4704-866F-305673DF89D9}" name="Column755"/>
    <tableColumn id="783" xr3:uid="{99A27528-2E62-4E5B-901B-4116B24430FD}" name="Column756"/>
    <tableColumn id="784" xr3:uid="{E1A7B9D9-D77E-4BBF-9133-C2E554CA235A}" name="Column757"/>
    <tableColumn id="785" xr3:uid="{0634A857-7ACB-47D4-B11A-CCED97872FD6}" name="Column758"/>
    <tableColumn id="786" xr3:uid="{3063529F-9DC4-4623-9028-F1B3EB694F91}" name="Column759"/>
    <tableColumn id="787" xr3:uid="{5A30D216-9AF7-4152-B864-E84D02DA5578}" name="Column760"/>
    <tableColumn id="788" xr3:uid="{B23BFB92-4BFF-415E-A0EB-DBEDC7357DEF}" name="Column761"/>
    <tableColumn id="789" xr3:uid="{593AA6D2-2672-4E6F-BC97-53DDEE50416F}" name="Column762"/>
    <tableColumn id="790" xr3:uid="{58046590-79D7-4071-96B9-04D31CB417A6}" name="Column763"/>
    <tableColumn id="791" xr3:uid="{52EAA363-626B-4C46-9AAC-6F5782C879A1}" name="Column764"/>
    <tableColumn id="792" xr3:uid="{CC24E4C1-6F77-4DFC-B827-6C8FC93B667E}" name="Column765"/>
    <tableColumn id="793" xr3:uid="{0A5B812E-2413-4BD9-AABB-5E5CC5A5CAA2}" name="Column766"/>
    <tableColumn id="794" xr3:uid="{72183043-25CA-4666-9888-83308ABC4396}" name="Column767"/>
    <tableColumn id="795" xr3:uid="{1189715B-4D35-4E48-850D-CA3D2D073C1E}" name="Column768"/>
    <tableColumn id="796" xr3:uid="{BC24404F-4A2B-4862-ACA4-46FA86FC39B2}" name="Column769"/>
    <tableColumn id="797" xr3:uid="{68F15FF1-349B-4DA6-832A-4143444C6AAF}" name="Column770"/>
    <tableColumn id="798" xr3:uid="{B996DF39-A6C0-4F60-B4B5-A4C886005BC2}" name="Column771"/>
    <tableColumn id="799" xr3:uid="{994ED69D-A358-4215-B7D8-4AAFD4A9A7C7}" name="Column772"/>
    <tableColumn id="800" xr3:uid="{5DA973C3-9FBC-4867-A596-B3CA2E1AF21D}" name="Column773"/>
    <tableColumn id="801" xr3:uid="{6B2FF09C-FFBF-4BC6-8455-A0BEB984B92F}" name="Column774"/>
    <tableColumn id="802" xr3:uid="{1ABF682B-40D6-4704-B68D-52E0EA8D6F5B}" name="Column775"/>
    <tableColumn id="803" xr3:uid="{806B4E15-2D6C-4177-9FCE-029FA05E16FA}" name="Column776"/>
    <tableColumn id="804" xr3:uid="{23F4A435-D2AF-4358-A9B3-3028F5339155}" name="Column777"/>
    <tableColumn id="805" xr3:uid="{DDDC3BB5-E68C-4B44-91A0-5CDCE1215941}" name="Column778"/>
    <tableColumn id="806" xr3:uid="{67E09E1E-5360-4A23-B2F6-B422782D15CB}" name="Column779"/>
    <tableColumn id="807" xr3:uid="{3D1BF5A4-F427-4EC1-A2E8-8979903A3767}" name="Column780"/>
    <tableColumn id="808" xr3:uid="{63D70713-143F-4FA4-A2D7-77D99F2BC674}" name="Column781"/>
    <tableColumn id="809" xr3:uid="{8B5D104F-38CF-4180-A960-EAD43F994320}" name="Column782"/>
    <tableColumn id="810" xr3:uid="{EC68434A-F55A-4AC8-9186-C67D4CB43358}" name="Column783"/>
    <tableColumn id="811" xr3:uid="{7F66A29C-E016-4676-AF8A-74B0971BB21F}" name="Column784"/>
    <tableColumn id="812" xr3:uid="{FD9415E4-F15B-4A94-932C-07C9B9A5B855}" name="Column785"/>
    <tableColumn id="813" xr3:uid="{18604F4D-B0A5-44FC-A417-D79EDFFDCDCE}" name="Column786"/>
    <tableColumn id="814" xr3:uid="{8E6FC479-CBB8-4CD5-9B05-CF47478E0C3E}" name="Column787"/>
    <tableColumn id="815" xr3:uid="{199CDF89-0A48-4D9B-AD01-490059A87B17}" name="Column788"/>
    <tableColumn id="816" xr3:uid="{FB091C94-E114-471D-8F33-349C7B60F130}" name="Column789"/>
    <tableColumn id="817" xr3:uid="{03A32610-0837-45E0-9AC9-453BD5C1F559}" name="Column790"/>
    <tableColumn id="818" xr3:uid="{351CD13F-D998-472D-BB39-A11C403F824B}" name="Column791"/>
    <tableColumn id="819" xr3:uid="{21C9C7AA-CFF0-49F4-BBC6-FCFEDE9770AB}" name="Column792"/>
    <tableColumn id="820" xr3:uid="{D2978B76-4AE9-4B8F-AB53-D6DF3182F9F6}" name="Column793"/>
    <tableColumn id="821" xr3:uid="{7959DC00-388E-40CF-BE9E-8E1E7691A15B}" name="Column794"/>
    <tableColumn id="822" xr3:uid="{19601A4E-004F-4894-91C0-4272CDD96FC8}" name="Column795"/>
    <tableColumn id="823" xr3:uid="{493D115C-A6B3-4349-8D25-FC217D154E0E}" name="Column796"/>
    <tableColumn id="824" xr3:uid="{D8B00E2B-4009-4022-852D-5F1FEDD23414}" name="Column797"/>
    <tableColumn id="825" xr3:uid="{61F13E45-A42B-4E65-B916-BA61D7A4C8FF}" name="Column798"/>
    <tableColumn id="826" xr3:uid="{82053D69-E50A-4816-89A3-9883CF617A36}" name="Column799"/>
    <tableColumn id="827" xr3:uid="{F7654B16-633D-436A-85F3-B5FD56AA06A9}" name="Column800"/>
    <tableColumn id="828" xr3:uid="{001217CF-C79F-44FD-9D8A-72E61D350A17}" name="Column801"/>
    <tableColumn id="829" xr3:uid="{8962658C-6147-407B-A78A-A81B18C2F19F}" name="Column802"/>
    <tableColumn id="830" xr3:uid="{EA6CBDF4-9460-46A0-80C8-7D787BECF95C}" name="Column803"/>
    <tableColumn id="831" xr3:uid="{0574767A-B2CF-4855-A740-B303B3E14BCE}" name="Column804"/>
    <tableColumn id="832" xr3:uid="{F31955DD-1FDF-4471-B326-49E9404258DE}" name="Column805"/>
    <tableColumn id="833" xr3:uid="{EB3C2006-76FE-41DD-8F01-41481A83E4E6}" name="Column806"/>
    <tableColumn id="834" xr3:uid="{01004A2D-C9BC-4D2B-9B20-79A0371440A5}" name="Column807"/>
    <tableColumn id="835" xr3:uid="{566346FC-7343-4058-B4B6-3743061F34B1}" name="Column808"/>
    <tableColumn id="836" xr3:uid="{DAAA36AB-E8EE-47BE-955B-40F9D3AD65C6}" name="Column809"/>
    <tableColumn id="837" xr3:uid="{266F97D2-B79D-4F14-A12A-38513485140B}" name="Column810"/>
    <tableColumn id="838" xr3:uid="{5299C53E-9A58-44F4-B8AB-DF8A33509A06}" name="Column811"/>
    <tableColumn id="839" xr3:uid="{39D531C2-FA13-48F0-8407-3F94F787876F}" name="Column812"/>
    <tableColumn id="840" xr3:uid="{4B704120-55DF-49C5-A6E6-B5203638409B}" name="Column813"/>
    <tableColumn id="841" xr3:uid="{FEB4D61C-B1EE-4F16-B230-745564EC5B81}" name="Column814"/>
    <tableColumn id="842" xr3:uid="{955E08D0-7E57-4028-82E5-F43540AD634D}" name="Column815"/>
    <tableColumn id="843" xr3:uid="{35DD76A6-3415-49EC-9CDD-70EB5F7D746E}" name="Column816"/>
    <tableColumn id="844" xr3:uid="{A8B9FD82-B260-48A8-B920-F21E29A06168}" name="Column817"/>
    <tableColumn id="845" xr3:uid="{31552B55-6E88-4B26-BAC9-9FE48D97A1E0}" name="Column818"/>
    <tableColumn id="846" xr3:uid="{5908D41D-A7EE-48A3-B91C-42232AA732D5}" name="Column819"/>
    <tableColumn id="847" xr3:uid="{815C8D0A-A84A-46C6-945C-0C4766C4B36A}" name="Column820"/>
    <tableColumn id="848" xr3:uid="{6EC8B7AD-9E6C-47D5-BE23-CF9A278A8BFE}" name="Column821"/>
    <tableColumn id="849" xr3:uid="{76693FE3-285E-41D8-A256-B92FABFF6687}" name="Column822"/>
    <tableColumn id="850" xr3:uid="{259B7CD9-8152-4B7F-A46B-D364F1B051B7}" name="Column823"/>
    <tableColumn id="851" xr3:uid="{93D5D51E-FED8-4A27-9EC5-17DBA4364FFE}" name="Column824"/>
    <tableColumn id="852" xr3:uid="{7AFC5AF0-C905-41A6-AB0B-091C8CCEBC18}" name="Column825"/>
    <tableColumn id="853" xr3:uid="{6D5545FA-AC14-4695-BA49-0941079347AC}" name="Column826"/>
    <tableColumn id="854" xr3:uid="{AB65EB1E-175F-409E-A199-C464CA370DD3}" name="Column827"/>
    <tableColumn id="855" xr3:uid="{3737897B-DD20-4C0F-890E-E1BF13B5B387}" name="Column828"/>
    <tableColumn id="856" xr3:uid="{7126B5C8-805F-47A6-B149-5CBC3A341681}" name="Column829"/>
    <tableColumn id="857" xr3:uid="{7FAFB4D6-DB68-45BE-BF72-66058E2444D5}" name="Column830"/>
    <tableColumn id="858" xr3:uid="{3A6F07E7-671C-463F-9E94-729D6FC6C38F}" name="Column831"/>
    <tableColumn id="859" xr3:uid="{2CDF8A9F-2E17-4115-92FA-1DD24BF24141}" name="Column832"/>
    <tableColumn id="860" xr3:uid="{6ACA0EDE-36E2-4B01-BCD4-CF4764FDD3C0}" name="Column833"/>
    <tableColumn id="861" xr3:uid="{A31F5783-158C-4029-B5B7-B815E0A23006}" name="Column834"/>
    <tableColumn id="862" xr3:uid="{A4E64A97-6E88-4E7D-A34D-7A48FE0DD7A6}" name="Column835"/>
    <tableColumn id="863" xr3:uid="{EEEAC68D-A5AF-44BC-80FB-79C324A5CCBB}" name="Column836"/>
    <tableColumn id="864" xr3:uid="{9089FF8F-8B7E-478E-908F-349A862256CA}" name="Column837"/>
    <tableColumn id="865" xr3:uid="{3B67FAD9-E038-43DC-A8ED-319ACAC2D387}" name="Column838"/>
    <tableColumn id="866" xr3:uid="{57CC0797-8377-4DD2-91BF-BF8936AA3E38}" name="Column839"/>
    <tableColumn id="867" xr3:uid="{1FE47D60-14F4-49AF-BA74-0DFDEFB015A1}" name="Column840"/>
    <tableColumn id="868" xr3:uid="{36544CD9-C155-4694-974B-CFDE06334726}" name="Column841"/>
    <tableColumn id="869" xr3:uid="{EE796AD7-81B9-425E-B947-E6534D39613E}" name="Column842"/>
    <tableColumn id="870" xr3:uid="{AF4377EB-2684-43BB-8493-86A182B86A31}" name="Column843"/>
    <tableColumn id="871" xr3:uid="{B1AD644B-7DBF-4ECB-B025-7586E2364A7A}" name="Column844"/>
    <tableColumn id="872" xr3:uid="{ADEBA1AE-E887-4828-B263-C2A4F73865A7}" name="Column845"/>
    <tableColumn id="873" xr3:uid="{232815B4-E867-4EA4-9B5F-E8B3F2D29E87}" name="Column846"/>
    <tableColumn id="874" xr3:uid="{81B1E8E0-C9FE-4B8E-ACD4-D29BF1D9EC7F}" name="Column847"/>
    <tableColumn id="875" xr3:uid="{88CBB4CE-39EC-4594-AF81-68A2FEF166A1}" name="Column848"/>
    <tableColumn id="876" xr3:uid="{03AAB88D-1007-472C-AAF6-8FF87AEDFDA1}" name="Column849"/>
    <tableColumn id="877" xr3:uid="{FE12BF04-47AE-44D2-9917-5C87B8280A7E}" name="Column850"/>
    <tableColumn id="878" xr3:uid="{8DA4B257-8C73-47A0-9705-E6E8022C96F5}" name="Column851"/>
    <tableColumn id="879" xr3:uid="{1AB37CED-7C72-4439-8E84-8CA737E66808}" name="Column852"/>
    <tableColumn id="880" xr3:uid="{E5FC295E-7E3D-4FDB-9111-980262413571}" name="Column853"/>
    <tableColumn id="881" xr3:uid="{CBBF6180-381A-4C74-BF63-6F54B2AC65A4}" name="Column854"/>
    <tableColumn id="882" xr3:uid="{0AB88AD4-0F4D-42DA-B9E0-233FF246A3CC}" name="Column855"/>
    <tableColumn id="883" xr3:uid="{0AFC41E9-CA1B-4361-BDAB-302A4FCADA6C}" name="Column856"/>
    <tableColumn id="884" xr3:uid="{59DC87CC-B1B7-401F-82C8-DECED7D4FE9A}" name="Column857"/>
    <tableColumn id="885" xr3:uid="{39809742-071B-4D31-8CD5-A5FC910CD3FC}" name="Column858"/>
    <tableColumn id="886" xr3:uid="{4A834B60-A48B-4E2F-9EA8-0A97DCD7376F}" name="Column859"/>
    <tableColumn id="887" xr3:uid="{8F6F40CD-85E5-4C8B-B707-2AC168A062F4}" name="Column860"/>
    <tableColumn id="888" xr3:uid="{28E51190-9A35-4FAA-92AD-5060FEA65124}" name="Column861"/>
    <tableColumn id="889" xr3:uid="{FD64FC42-9B34-4431-B34F-701851CC96E2}" name="Column862"/>
    <tableColumn id="890" xr3:uid="{E788AB39-AA7B-4644-8071-EEA3056E39CF}" name="Column863"/>
    <tableColumn id="891" xr3:uid="{FA1A7AF5-B771-4469-93D9-7190D396C24A}" name="Column864"/>
    <tableColumn id="892" xr3:uid="{24F79CF8-76C5-48B4-B27E-ED9C95685710}" name="Column865"/>
    <tableColumn id="893" xr3:uid="{9DA6B91F-F02F-4C43-BA48-051046926FB6}" name="Column866"/>
    <tableColumn id="894" xr3:uid="{FEBFC126-C70C-4CBB-8FBC-E829778ACDA0}" name="Column867"/>
    <tableColumn id="895" xr3:uid="{E010D242-9C4B-409A-A78F-4C0A2277F92E}" name="Column868"/>
    <tableColumn id="896" xr3:uid="{277F1BF3-597E-49B9-9390-D42BDE7D5678}" name="Column869"/>
    <tableColumn id="897" xr3:uid="{F1DEF774-E808-4C80-89F3-39289F997BD3}" name="Column870"/>
    <tableColumn id="898" xr3:uid="{2F317F94-4CBD-4DA5-9765-9B259901C919}" name="Column871"/>
    <tableColumn id="899" xr3:uid="{0B4B4606-62DA-4C25-B806-3AA921416874}" name="Column872"/>
    <tableColumn id="900" xr3:uid="{F0B8FA7B-8C3A-4EFA-B90B-AB1FF7687339}" name="Column873"/>
    <tableColumn id="901" xr3:uid="{47CE2C33-95BD-4DC1-8551-8C29919F6089}" name="Column874"/>
    <tableColumn id="902" xr3:uid="{B7527778-58AF-4068-8F38-E7A5AE8E1455}" name="Column875"/>
    <tableColumn id="903" xr3:uid="{480B026A-495B-4658-A720-0CC6D806E54E}" name="Column876"/>
    <tableColumn id="904" xr3:uid="{BAC872C3-2548-41EB-857B-9BA63DF7BBD8}" name="Column877"/>
    <tableColumn id="905" xr3:uid="{9317E3CE-1F41-48E4-9213-F4F7C0C627CA}" name="Column878"/>
    <tableColumn id="906" xr3:uid="{06F874C1-390E-4669-A4C9-DC62695BF072}" name="Column879"/>
    <tableColumn id="907" xr3:uid="{832D9944-AA72-46F1-9008-50C668CC1BDE}" name="Column880"/>
    <tableColumn id="908" xr3:uid="{4ED97ED7-5D7D-4EF3-A55D-BBC9E63B844E}" name="Column881"/>
    <tableColumn id="909" xr3:uid="{11662DC7-022D-470E-91B4-2CA1EA5095D2}" name="Column882"/>
    <tableColumn id="910" xr3:uid="{ED0F74DE-5960-4B6C-958B-A493087D1FBD}" name="Column883"/>
    <tableColumn id="911" xr3:uid="{76914EF7-F3D6-4A1E-9F97-94322D81CE99}" name="Column884"/>
    <tableColumn id="912" xr3:uid="{221128A0-CDE8-442C-ABCD-2557B4E60D71}" name="Column885"/>
    <tableColumn id="913" xr3:uid="{8FAFDE53-C886-44F6-82D4-18A434F55BB3}" name="Column886"/>
    <tableColumn id="914" xr3:uid="{739F0ED1-554F-4252-871C-C6D14EF73662}" name="Column887"/>
    <tableColumn id="915" xr3:uid="{F477BCB0-114F-47B5-86E9-0B05568DD163}" name="Column888"/>
    <tableColumn id="916" xr3:uid="{B0B66B8F-E5F2-4C48-AE0B-E46BF75A3510}" name="Column889"/>
    <tableColumn id="917" xr3:uid="{DD23212E-D1D5-4998-8E8A-37FAE2B3AAF9}" name="Column890"/>
    <tableColumn id="918" xr3:uid="{3D665F56-9C31-4E0A-AF87-3868CFF3DA13}" name="Column891"/>
    <tableColumn id="919" xr3:uid="{FCC50863-59DA-4AAA-8EDF-E1C8D4AB0E2B}" name="Column892"/>
    <tableColumn id="920" xr3:uid="{C4458E41-9637-4EA5-8695-6177749BBC3E}" name="Column893"/>
    <tableColumn id="921" xr3:uid="{5C737D47-B9D1-4F4B-A9CC-4291DB7DB21C}" name="Column894"/>
    <tableColumn id="922" xr3:uid="{44F925B1-3700-40DF-A032-B496F01F22AF}" name="Column895"/>
    <tableColumn id="923" xr3:uid="{19E3F7CD-6398-4926-93D7-3969E266615A}" name="Column896"/>
    <tableColumn id="924" xr3:uid="{93BAF0F6-EC4C-492F-8BA4-10D4AD5D6097}" name="Column897"/>
    <tableColumn id="925" xr3:uid="{FA628A7B-B41A-47C3-B42D-58F1D9208538}" name="Column898"/>
    <tableColumn id="926" xr3:uid="{6E49B937-DFCB-4844-938E-2C0CE8BB07DC}" name="Column899"/>
    <tableColumn id="927" xr3:uid="{923D046D-6134-4BF1-9CD7-E1B6BB741D55}" name="Column900"/>
    <tableColumn id="928" xr3:uid="{A759FEB5-88FE-4528-892D-9EF94389DC91}" name="Column901"/>
    <tableColumn id="929" xr3:uid="{9E217C3D-6986-4D9E-9D74-71E3F8C37C86}" name="Column902"/>
    <tableColumn id="930" xr3:uid="{BE6E67E8-AA6B-45AF-B918-8A1AE3249496}" name="Column903"/>
    <tableColumn id="931" xr3:uid="{61CCDEAC-5687-4F4E-ACC5-178E026FAD89}" name="Column904"/>
    <tableColumn id="932" xr3:uid="{C7B95660-89F4-46F1-A249-527D3219A2E0}" name="Column905"/>
    <tableColumn id="933" xr3:uid="{8803DD07-5251-4D87-A6AA-F1B4348AE59C}" name="Column906"/>
    <tableColumn id="934" xr3:uid="{7FA1394D-B209-473D-8D32-696BA4775494}" name="Column907"/>
    <tableColumn id="935" xr3:uid="{66307E7A-0604-4525-A280-3C01011F5B90}" name="Column908"/>
    <tableColumn id="936" xr3:uid="{B2EA1CCD-7C8C-4D71-B05E-1DCE5B997840}" name="Column909"/>
    <tableColumn id="937" xr3:uid="{5794D18D-BF08-4877-8853-CA92E701383F}" name="Column910"/>
    <tableColumn id="938" xr3:uid="{FF1F3146-6614-4514-9788-67B6D18AB502}" name="Column911"/>
    <tableColumn id="939" xr3:uid="{EC518B13-04E5-4077-86B4-28BA433E1F47}" name="Column912"/>
    <tableColumn id="940" xr3:uid="{D189A9F2-C25F-4763-9BC0-59464CBF5E2A}" name="Column913"/>
    <tableColumn id="941" xr3:uid="{DE26BC68-2ED4-4E28-8CB6-1F864BDCE247}" name="Column914"/>
    <tableColumn id="942" xr3:uid="{4855B62D-06EF-47FE-9EB5-0C11E7C8D98C}" name="Column915"/>
    <tableColumn id="943" xr3:uid="{A4F3D58A-69A1-4B00-9341-CB05B7EAAC72}" name="Column916"/>
    <tableColumn id="944" xr3:uid="{A8ECB7C6-B6EA-4FFB-994B-886A5C630659}" name="Column917"/>
    <tableColumn id="945" xr3:uid="{BBE8C31E-8458-4953-9F91-8A0F0052048A}" name="Column918"/>
    <tableColumn id="946" xr3:uid="{1E0A4C2F-A5CC-4926-BF2A-193A76F1C471}" name="Column919"/>
    <tableColumn id="947" xr3:uid="{B01CD6E5-78C1-4C5D-8D97-7C1EAC447E72}" name="Column920"/>
    <tableColumn id="948" xr3:uid="{D8E6551F-21EF-40C3-823F-2A8E174CAB22}" name="Column921"/>
    <tableColumn id="949" xr3:uid="{B78D3F5B-1E9B-427E-A4AD-E7660604A315}" name="Column922"/>
    <tableColumn id="950" xr3:uid="{C9417199-2F37-405C-A64D-1A0DE04020A4}" name="Column923"/>
    <tableColumn id="951" xr3:uid="{20AE841A-05EC-4548-AB8A-515F7346973F}" name="Column924"/>
    <tableColumn id="952" xr3:uid="{5962E766-3A9D-4A8B-965F-C7503F0DC326}" name="Column925"/>
    <tableColumn id="953" xr3:uid="{238427B1-9B01-4F35-B379-B7ECD9DA9415}" name="Column926"/>
    <tableColumn id="954" xr3:uid="{70100496-7BF0-4949-AF0A-571E596EC789}" name="Column927"/>
    <tableColumn id="955" xr3:uid="{896CCA7F-24DD-42C6-A7D2-029828F0A85D}" name="Column928"/>
    <tableColumn id="956" xr3:uid="{D6153699-8A61-4D68-A3FF-E884671DA0A2}" name="Column929"/>
    <tableColumn id="957" xr3:uid="{DFAF49FF-6705-4341-B772-52CD5562FF75}" name="Column930"/>
    <tableColumn id="958" xr3:uid="{C75EDE4D-0EBC-47A0-AF9E-B9D6360688AB}" name="Column931"/>
    <tableColumn id="959" xr3:uid="{882BCCE3-C2BA-4AE9-9E13-F51C47E9EA96}" name="Column932"/>
    <tableColumn id="960" xr3:uid="{21DD7447-5D73-4F89-82E3-5356EDBF825D}" name="Column933"/>
    <tableColumn id="961" xr3:uid="{91C4FEBB-4F83-4C0F-850D-10B0CADC0F2C}" name="Column934"/>
    <tableColumn id="962" xr3:uid="{E2B6357A-FA5A-4659-B49B-5B1D0EAD54C6}" name="Column935"/>
    <tableColumn id="963" xr3:uid="{5F2AB7CD-DA09-420C-8128-D2A665E26645}" name="Column936"/>
    <tableColumn id="964" xr3:uid="{351B2506-8DCD-4F8C-B88B-B7BE2838FDCC}" name="Column937"/>
    <tableColumn id="965" xr3:uid="{4DE954AA-F3C8-4EAA-AA11-4B21036FCB59}" name="Column938"/>
    <tableColumn id="966" xr3:uid="{D05FA63D-DD55-48D7-96C5-B6F37096349F}" name="Column939"/>
    <tableColumn id="967" xr3:uid="{0457381E-FF19-4579-98C3-22130CF1E4AC}" name="Column940"/>
    <tableColumn id="968" xr3:uid="{99997E10-327B-4C0B-8C60-C611A1B8F20D}" name="Column941"/>
    <tableColumn id="969" xr3:uid="{D642CF82-762A-49C0-A555-D88FF3A4B77F}" name="Column942"/>
    <tableColumn id="970" xr3:uid="{A991FA9B-CBCD-42FA-B4BC-89C3328CCE19}" name="Column943"/>
    <tableColumn id="971" xr3:uid="{9A327A41-5648-4DF8-B086-3B4F5E2CD571}" name="Column944"/>
    <tableColumn id="972" xr3:uid="{AF4F0FA1-AD17-491F-BDFD-78E94B733D05}" name="Column945"/>
    <tableColumn id="973" xr3:uid="{4B09CF00-5B85-4C60-A7C7-C109BA6DF7DD}" name="Column946"/>
    <tableColumn id="974" xr3:uid="{660EF60B-6C8E-47AC-A0DB-184461C97BD0}" name="Column947"/>
    <tableColumn id="975" xr3:uid="{6BC38F4D-CA01-482E-A0C7-2BF783A4C071}" name="Column948"/>
    <tableColumn id="976" xr3:uid="{0EADED53-99C9-4BCA-8969-D89DA263933E}" name="Column949"/>
    <tableColumn id="977" xr3:uid="{41DC36A4-A195-4EA5-9745-6C07FB5F725D}" name="Column950"/>
    <tableColumn id="978" xr3:uid="{102C8C0A-71CC-4DC1-AFFD-65E1D6AA0FD2}" name="Column951"/>
    <tableColumn id="979" xr3:uid="{636C6345-3F5F-4F80-8FA8-5A5772A3AF1E}" name="Column952"/>
    <tableColumn id="980" xr3:uid="{FABCAA9F-478E-495B-B078-B97158634F27}" name="Column953"/>
    <tableColumn id="981" xr3:uid="{F133DD65-3F82-4BDB-801E-13E74A3A8334}" name="Column954"/>
    <tableColumn id="982" xr3:uid="{DB3CE5BE-43AA-40B9-8082-AB922BCB885C}" name="Column955"/>
    <tableColumn id="983" xr3:uid="{F4AF027B-53BF-4239-BFDE-DDEE1BC0D4D3}" name="Column956"/>
    <tableColumn id="984" xr3:uid="{0C4C409A-CD79-4C8C-9155-2AA3CA75FFF7}" name="Column957"/>
    <tableColumn id="985" xr3:uid="{53DA18FF-D296-4768-B578-E1224AB8F1AC}" name="Column958"/>
    <tableColumn id="986" xr3:uid="{BB6AB4ED-0D3C-4BEF-AECF-342FF52C9733}" name="Column959"/>
    <tableColumn id="987" xr3:uid="{3B292C8F-7A84-4A6A-855F-D93AF5F21940}" name="Column960"/>
    <tableColumn id="988" xr3:uid="{98E7142E-D662-490E-BA35-6C7568723342}" name="Column961"/>
    <tableColumn id="989" xr3:uid="{34FEB3AE-3668-4A5B-B59F-4EB7E4D3CCFD}" name="Column962"/>
    <tableColumn id="990" xr3:uid="{0FCB92A9-E8C8-4A83-8A1C-88445A0824D3}" name="Column963"/>
    <tableColumn id="991" xr3:uid="{EC70700E-982E-4DFF-B5B1-0996A91E1683}" name="Column964"/>
    <tableColumn id="992" xr3:uid="{C815E2BA-71B5-4951-816C-5C02841FC7CA}" name="Column965"/>
    <tableColumn id="993" xr3:uid="{9B2D0CBE-96FB-4F62-894B-25094B75B389}" name="Column966"/>
    <tableColumn id="994" xr3:uid="{52E4F06D-423E-4778-A2DF-F0E6509620F8}" name="Column967"/>
    <tableColumn id="995" xr3:uid="{AC56B1EE-3C93-437A-9A90-8070D969A3A6}" name="Column968"/>
    <tableColumn id="996" xr3:uid="{E24CFA8F-A5A3-4C9A-BFB3-01DF5EFD4950}" name="Column969"/>
    <tableColumn id="997" xr3:uid="{E88AF44C-A407-48FD-A112-ECBBB89D2DB8}" name="Column970"/>
    <tableColumn id="998" xr3:uid="{071FF00A-883D-43B3-B004-10E49D0496AC}" name="Column971"/>
    <tableColumn id="999" xr3:uid="{CEAB2E89-530D-4012-BF99-C4CB4CCE8487}" name="Column972"/>
    <tableColumn id="1000" xr3:uid="{B1F6003C-3A1F-4919-BD00-3DAFAA626431}" name="Column973"/>
    <tableColumn id="1001" xr3:uid="{1BA1349F-1BAE-42D8-9ADB-5C7A1357735F}" name="Column974"/>
    <tableColumn id="1002" xr3:uid="{54506C24-181F-44C3-BC18-5979B91F3E53}" name="Column975"/>
    <tableColumn id="1003" xr3:uid="{D33795F8-6354-43DA-AC9E-6604BE641258}" name="Column976"/>
    <tableColumn id="1004" xr3:uid="{F458E0B9-0020-47F2-ACFA-9CFFD7D39759}" name="Column977"/>
    <tableColumn id="1005" xr3:uid="{5275D986-0762-4ABE-8BAD-A62B04C3ED1F}" name="Column978"/>
    <tableColumn id="1006" xr3:uid="{B8D918FE-F109-44B9-B373-64B2F5357490}" name="Column979"/>
    <tableColumn id="1007" xr3:uid="{57E21DCE-583C-4D2F-82DF-97A8B2C19F56}" name="Column980"/>
    <tableColumn id="1008" xr3:uid="{0F680BFF-BDCB-4A7F-B220-2DA28BE8102B}" name="Column981"/>
    <tableColumn id="1009" xr3:uid="{7494ED86-EA48-4915-9FB4-740AFB35F5B2}" name="Column982"/>
    <tableColumn id="1010" xr3:uid="{35640B8B-4D49-46D7-83A0-D1C8189947D2}" name="Column983"/>
    <tableColumn id="1011" xr3:uid="{5B6E41AF-4D03-4915-A8D1-FBA4C1381DF1}" name="Column984"/>
    <tableColumn id="1012" xr3:uid="{A0BD28E7-F40A-4119-A6CD-1740551A624D}" name="Column985"/>
    <tableColumn id="1013" xr3:uid="{55092F99-2D82-405C-BBCA-6612C4B13FAA}" name="Column986"/>
    <tableColumn id="1014" xr3:uid="{5400F401-1770-48ED-B28C-3C55AA5EE436}" name="Column987"/>
    <tableColumn id="1015" xr3:uid="{1EFFFC8D-B94F-4D86-9299-1A84DD676659}" name="Column988"/>
    <tableColumn id="1016" xr3:uid="{7A227B8F-ADC2-4D42-855F-E89435B3E781}" name="Column989"/>
    <tableColumn id="1017" xr3:uid="{333E74DF-65A7-4147-8887-32BC9121A1D6}" name="Column990"/>
    <tableColumn id="1018" xr3:uid="{763EA748-6583-446B-95D6-23058133E67E}" name="Column991"/>
    <tableColumn id="1019" xr3:uid="{D2DF30C4-4C08-4A78-B656-9FB5A5E9040A}" name="Column992"/>
    <tableColumn id="1020" xr3:uid="{683E2C99-7691-40B0-A748-60B33CC695E0}" name="Column993"/>
    <tableColumn id="1021" xr3:uid="{825CD72E-49F3-4D55-A0DD-6B3EBAC9ADD7}" name="Column994"/>
    <tableColumn id="1022" xr3:uid="{532937F4-5564-4214-81F1-FCFEF302B2E3}" name="Column995"/>
    <tableColumn id="1023" xr3:uid="{F8489E3B-1FB1-4ADA-BB86-7224E60F7E04}" name="Column996"/>
    <tableColumn id="1024" xr3:uid="{C6794D44-2141-4D8C-A077-259D962C4392}" name="Column997"/>
    <tableColumn id="1025" xr3:uid="{5DD13A43-FB99-4E31-BC90-041A14FB2DEE}" name="Column998"/>
    <tableColumn id="1026" xr3:uid="{734FF255-88FD-4ABC-8E54-4D0E69794F96}" name="Column999"/>
    <tableColumn id="1027" xr3:uid="{31D77F55-54ED-4C6B-83FF-384D3C40C261}" name="Column1000"/>
    <tableColumn id="1028" xr3:uid="{9FE8DEC8-21A9-4DCB-A0A6-693EC011D6E3}" name="Column1001"/>
    <tableColumn id="1029" xr3:uid="{0D7259C2-F895-44F1-BF24-E118AABD36AC}" name="Column1002"/>
    <tableColumn id="1030" xr3:uid="{E5CB9698-A4BA-4766-BF26-AEFCA7A9FEE0}" name="Column1003"/>
    <tableColumn id="1031" xr3:uid="{8577DD39-8924-4124-96DF-CF1D5FCAD1F1}" name="Column1004"/>
    <tableColumn id="1032" xr3:uid="{563E4976-476D-4C47-B641-22B33FB9782E}" name="Column1005"/>
    <tableColumn id="1033" xr3:uid="{187C0427-9065-445F-A6EF-338E12547EFE}" name="Column1006"/>
    <tableColumn id="1034" xr3:uid="{7CDFCF02-892F-4A26-A265-514BB6C77823}" name="Column1007"/>
    <tableColumn id="1035" xr3:uid="{022D89C3-9F37-47D5-8D8F-B60D89650C66}" name="Column1008"/>
    <tableColumn id="1036" xr3:uid="{60F2234B-D06D-4728-97F5-F61475088A17}" name="Column1009"/>
    <tableColumn id="1037" xr3:uid="{76ADD2E5-8C43-4F7D-93B9-AF2E13743707}" name="Column1010"/>
    <tableColumn id="1038" xr3:uid="{E4C39B7F-C3C8-409F-B380-41F4FC75A8CA}" name="Column1011"/>
    <tableColumn id="1039" xr3:uid="{B7C84A4C-B592-4964-BAF9-7331190FC6C0}" name="Column1012"/>
    <tableColumn id="1040" xr3:uid="{9754F1C8-9F7D-4A76-BCAD-3B914061CC41}" name="Column1013"/>
    <tableColumn id="1041" xr3:uid="{8A33CCAA-569C-49BF-ADE1-D40681DEDE41}" name="Column1014"/>
    <tableColumn id="1042" xr3:uid="{8D9E5671-AB3B-4C96-9639-99A23D8D01D1}" name="Column1015"/>
    <tableColumn id="1043" xr3:uid="{D87D1B3F-4A84-48A6-8A89-FFD8619DE4DA}" name="Column1016"/>
    <tableColumn id="1044" xr3:uid="{EE555D32-1E8A-4249-8E44-72B4F4C2760B}" name="Column1017"/>
    <tableColumn id="1045" xr3:uid="{51E2F3E7-FDC0-4A3E-B42B-E5B568790C23}" name="Column1018"/>
    <tableColumn id="1046" xr3:uid="{DB5A5A51-F78C-428B-AE43-4315D210AEA7}" name="Column1019"/>
    <tableColumn id="1047" xr3:uid="{1708B9FF-2B2A-42BA-9F2F-8970E947E200}" name="Column1020"/>
    <tableColumn id="1048" xr3:uid="{D14068F9-FBB0-406E-9F85-72CE9369703C}" name="Column1021"/>
    <tableColumn id="1049" xr3:uid="{871F8416-679D-48B9-8131-FDE79ACEA104}" name="Column1022"/>
    <tableColumn id="1050" xr3:uid="{A71689D4-778A-4FF7-A690-5150B8CE1206}" name="Column1023"/>
    <tableColumn id="1051" xr3:uid="{9ACFCC00-BFB5-4AA7-AC59-F72B1731C820}" name="Column1024"/>
    <tableColumn id="1052" xr3:uid="{865C8173-20F7-492A-B457-4354CEBAA443}" name="Column1025"/>
    <tableColumn id="1053" xr3:uid="{C7A0209F-9BC6-4B67-8907-398B55712767}" name="Column1026"/>
    <tableColumn id="1054" xr3:uid="{D42E5B6A-AA1B-4DBC-9AD6-4817A22B94A9}" name="Column1027"/>
    <tableColumn id="1055" xr3:uid="{5390F915-3C32-44BF-A454-2A6FB874AEB9}" name="Column1028"/>
    <tableColumn id="1056" xr3:uid="{2968730E-11DD-4427-9F5C-1043915313AD}" name="Column1029"/>
    <tableColumn id="1057" xr3:uid="{4AA46686-0CBF-4A0D-A331-7B15D1F2DAB9}" name="Column1030"/>
    <tableColumn id="1058" xr3:uid="{4A6225D2-8BAE-41EB-B414-E68B13F2A364}" name="Column1031"/>
    <tableColumn id="1059" xr3:uid="{D68C744F-12C0-4D96-B51A-B21DD595C137}" name="Column1032"/>
    <tableColumn id="1060" xr3:uid="{91F5CAC3-315B-44E3-9C6B-8A16997E718F}" name="Column1033"/>
    <tableColumn id="1061" xr3:uid="{19EA1689-0F9A-448C-BBC4-5271B4EF439F}" name="Column1034"/>
    <tableColumn id="1062" xr3:uid="{BE86A278-9919-4C63-A618-E570F6DF2FBF}" name="Column1035"/>
    <tableColumn id="1063" xr3:uid="{88A390D4-984C-4F5D-925B-B0949C5F4FFC}" name="Column1036"/>
    <tableColumn id="1064" xr3:uid="{1235A85E-8FDC-4158-B496-692F19259ACE}" name="Column1037"/>
    <tableColumn id="1065" xr3:uid="{4014EAB9-246A-4787-8882-7F6D5E0618D9}" name="Column1038"/>
    <tableColumn id="1066" xr3:uid="{AB1E1986-1416-4C7C-8479-2FE2139B2C52}" name="Column1039"/>
    <tableColumn id="1067" xr3:uid="{B418D8EA-7590-4D83-9B78-E3FA83D58332}" name="Column1040"/>
    <tableColumn id="1068" xr3:uid="{3D47068F-3257-4366-901D-81D0DC5C0005}" name="Column1041"/>
    <tableColumn id="1069" xr3:uid="{58BF91AC-B4F5-4A71-9C82-AA5A8F460D0F}" name="Column1042"/>
    <tableColumn id="1070" xr3:uid="{DBD15772-B7D1-4522-B55E-663857831B27}" name="Column1043"/>
    <tableColumn id="1071" xr3:uid="{0230893C-8D62-4397-93BE-CF8C640621D6}" name="Column1044"/>
    <tableColumn id="1072" xr3:uid="{3C613EDE-3F2B-4317-BD9A-F6F9C66D738E}" name="Column1045"/>
    <tableColumn id="1073" xr3:uid="{B7C590B9-4736-42A2-9390-29B99DF4D4F1}" name="Column1046"/>
    <tableColumn id="1074" xr3:uid="{53B2B091-04B7-4BD9-B4F4-1C6E3199F9CE}" name="Column1047"/>
    <tableColumn id="1075" xr3:uid="{8670228F-3943-46EE-9FB9-F404D65CD85D}" name="Column1048"/>
    <tableColumn id="1076" xr3:uid="{19DC6F92-648B-45EC-BE14-8AF6381AAF3A}" name="Column1049"/>
    <tableColumn id="1077" xr3:uid="{5852BAFA-C8F7-48FC-885F-C6E2CAFA6DD0}" name="Column1050"/>
    <tableColumn id="1078" xr3:uid="{A60206A6-3247-44A6-908C-6D7C52F08F3A}" name="Column1051"/>
    <tableColumn id="1079" xr3:uid="{FDCE6B35-B990-4A28-BDF1-80A55D2FEC26}" name="Column1052"/>
    <tableColumn id="1080" xr3:uid="{0FF2F1DE-C10F-4D3A-8E74-CBF02C418C3C}" name="Column1053"/>
    <tableColumn id="1081" xr3:uid="{685B0009-BCD5-4673-ADC1-260B17423C68}" name="Column1054"/>
    <tableColumn id="1082" xr3:uid="{E08592D7-DEE9-4B51-96A9-D112651AF885}" name="Column1055"/>
    <tableColumn id="1083" xr3:uid="{B119114D-DD39-43AD-97EA-EFCBFA7D0C02}" name="Column1056"/>
    <tableColumn id="1084" xr3:uid="{23F0B86A-F000-4B5D-9F79-63E2837552D0}" name="Column1057"/>
    <tableColumn id="1085" xr3:uid="{28DCDEC7-6F80-4FC9-A5AF-D3D4510B37EB}" name="Column1058"/>
    <tableColumn id="1086" xr3:uid="{4BBBB0B9-91B4-46B4-AFCB-726ACB20F9DB}" name="Column1059"/>
    <tableColumn id="1087" xr3:uid="{00E0E542-D3B5-4CC0-9661-29123301C1E5}" name="Column1060"/>
    <tableColumn id="1088" xr3:uid="{2472C01E-0EC2-4E49-BBBE-B6EF3AA28D26}" name="Column1061"/>
    <tableColumn id="1089" xr3:uid="{3F213A9F-FB99-4E83-B37B-9F2401995424}" name="Column1062"/>
    <tableColumn id="1090" xr3:uid="{C1287E3B-D0CB-4C94-BF9E-095C21193FD4}" name="Column1063"/>
    <tableColumn id="1091" xr3:uid="{8B7A5E04-4AF6-4254-B189-4B7721F5DA8C}" name="Column1064"/>
    <tableColumn id="1092" xr3:uid="{813CDF88-0C12-414F-939C-8199C91A6987}" name="Column1065"/>
    <tableColumn id="1093" xr3:uid="{BB97456F-556F-40AC-8E97-0014A5862713}" name="Column1066"/>
    <tableColumn id="1094" xr3:uid="{27627F6A-F29F-487F-A82B-E744125B76B9}" name="Column1067"/>
    <tableColumn id="1095" xr3:uid="{B38AFFE3-90BD-4EE0-BE40-4289EE2D69F4}" name="Column1068"/>
    <tableColumn id="1096" xr3:uid="{7F7FB4F0-8ACC-4172-9E5A-1B347F675420}" name="Column1069"/>
    <tableColumn id="1097" xr3:uid="{697835AE-0128-41A0-A9F6-7C5771EF6500}" name="Column1070"/>
    <tableColumn id="1098" xr3:uid="{9E13D15F-13F2-46CC-AA8E-FF89C0DAA780}" name="Column1071"/>
    <tableColumn id="1099" xr3:uid="{79C1061C-711D-4545-B741-E7445587451C}" name="Column1072"/>
    <tableColumn id="1100" xr3:uid="{00C75E28-C7E6-4EDE-BD83-98CDD4B8CBA1}" name="Column1073"/>
    <tableColumn id="1101" xr3:uid="{3ED0358A-5AFE-47CC-BDC6-66A9243310BA}" name="Column1074"/>
    <tableColumn id="1102" xr3:uid="{0EA1173B-BEF6-4916-870A-3C01D36BE9AE}" name="Column1075"/>
    <tableColumn id="1103" xr3:uid="{A3FC62E0-E50C-4FD1-BF35-C5B764710221}" name="Column1076"/>
    <tableColumn id="1104" xr3:uid="{58AF90B3-C82F-4F01-8CE1-CEDD63227240}" name="Column1077"/>
    <tableColumn id="1105" xr3:uid="{12F9A1CE-D8E0-47A1-8AED-DA5B206C2B07}" name="Column1078"/>
    <tableColumn id="1106" xr3:uid="{031DC0BC-F3A3-428F-8CB0-C494452FC07C}" name="Column1079"/>
    <tableColumn id="1107" xr3:uid="{D1EAE41F-8662-495D-B711-D619E15DC20B}" name="Column1080"/>
    <tableColumn id="1108" xr3:uid="{495CF184-D232-4C1E-B7E3-63C443E1FCB9}" name="Column1081"/>
    <tableColumn id="1109" xr3:uid="{5AD69069-5784-4E9A-B638-B75556D394AA}" name="Column1082"/>
    <tableColumn id="1110" xr3:uid="{A0F0C6CE-9938-4624-9B55-B79C01504B77}" name="Column1083"/>
    <tableColumn id="1111" xr3:uid="{8CBD46AF-4C05-495F-9D53-80988285E679}" name="Column1084"/>
    <tableColumn id="1112" xr3:uid="{EE104173-9FA5-4A70-9B31-CFD30D9535BE}" name="Column1085"/>
    <tableColumn id="1113" xr3:uid="{FE363034-741E-47D8-A213-85CEB364A756}" name="Column1086"/>
    <tableColumn id="1114" xr3:uid="{0C346D21-AEA6-432F-9DD8-F8C303E760A8}" name="Column1087"/>
    <tableColumn id="1115" xr3:uid="{AEB712FB-0319-41C5-BF83-6B7D8727E48D}" name="Column1088"/>
    <tableColumn id="1116" xr3:uid="{2C9208C4-BD4E-44B3-9656-F64A5F070401}" name="Column1089"/>
    <tableColumn id="1117" xr3:uid="{21115FF3-64CB-4644-89B4-F92410185AE0}" name="Column1090"/>
    <tableColumn id="1118" xr3:uid="{F0323093-FBCB-47E7-B4E6-6245AB376382}" name="Column1091"/>
    <tableColumn id="1119" xr3:uid="{6DB1ED60-8580-44A9-A0BC-452EB8C08AD9}" name="Column1092"/>
    <tableColumn id="1120" xr3:uid="{0603B13B-92C8-4985-ACDB-C7DE418C5543}" name="Column1093"/>
    <tableColumn id="1121" xr3:uid="{9846ABAA-D8DC-4FB3-B224-A48D1716EC9E}" name="Column1094"/>
    <tableColumn id="1122" xr3:uid="{FE7BD532-18D0-4B9A-A647-8A31E38C355B}" name="Column1095"/>
    <tableColumn id="1123" xr3:uid="{6EE17F90-FD65-483F-BDAE-4AE0BAD250C7}" name="Column1096"/>
    <tableColumn id="1124" xr3:uid="{9749F88C-1E01-4DD7-854B-28DAA180A6C3}" name="Column1097"/>
    <tableColumn id="1125" xr3:uid="{6F2DCF62-CB1E-4095-B576-C351090C66DA}" name="Column1098"/>
    <tableColumn id="1126" xr3:uid="{A2F6DFB6-1492-4C03-9633-2FB3DB630765}" name="Column1099"/>
    <tableColumn id="1127" xr3:uid="{EB2335C5-73D0-49BD-A5AA-B5AE0AE57B0F}" name="Column1100"/>
    <tableColumn id="1128" xr3:uid="{89D5A381-B2A4-4839-BA90-AD14EBCE14F1}" name="Column1101"/>
    <tableColumn id="1129" xr3:uid="{A0F21A03-6A1C-4D17-9BEA-71457A06AD44}" name="Column1102"/>
    <tableColumn id="1130" xr3:uid="{E476F06D-6253-417B-B198-5ADF036D96FD}" name="Column1103"/>
    <tableColumn id="1131" xr3:uid="{096F4813-C563-480E-A018-2957A1995E4E}" name="Column1104"/>
    <tableColumn id="1132" xr3:uid="{EF939CD1-88D7-4FE5-8CE6-F02366E6D66D}" name="Column1105"/>
    <tableColumn id="1133" xr3:uid="{21188313-61F0-483A-852D-F3A137AC41E5}" name="Column1106"/>
    <tableColumn id="1134" xr3:uid="{8172C1C1-240C-4625-81D1-F517B8A68155}" name="Column1107"/>
    <tableColumn id="1135" xr3:uid="{4544908E-DD24-48E8-9DF6-2CB3C453F331}" name="Column1108"/>
    <tableColumn id="1136" xr3:uid="{2635F60D-5983-415E-BB08-A93D8A007BE4}" name="Column1109"/>
    <tableColumn id="1137" xr3:uid="{B14C47FB-8476-42C4-85CB-90D5B5599183}" name="Column1110"/>
    <tableColumn id="1138" xr3:uid="{C3988863-37BE-4601-B24A-48E7D312A270}" name="Column1111"/>
    <tableColumn id="1139" xr3:uid="{1F6BF19C-CB0A-471C-ABB5-F45C7AEDCED5}" name="Column1112"/>
    <tableColumn id="1140" xr3:uid="{4BC6256D-9272-4C52-8378-BCA0C5DC6BE1}" name="Column1113"/>
    <tableColumn id="1141" xr3:uid="{C014AF3A-3277-41A0-9A4E-AAE622B63EA6}" name="Column1114"/>
    <tableColumn id="1142" xr3:uid="{7CC1DCA4-B91B-489C-8FF1-8B3F23AB3976}" name="Column1115"/>
    <tableColumn id="1143" xr3:uid="{792CB3A1-3AA7-43A0-AE1C-2E749D00CA36}" name="Column1116"/>
    <tableColumn id="1144" xr3:uid="{33710CD3-1C81-4D71-9BCD-9BCB25DD3C16}" name="Column1117"/>
    <tableColumn id="1145" xr3:uid="{76358BB3-DDB1-44F2-AAAC-EFBC8C588036}" name="Column1118"/>
    <tableColumn id="1146" xr3:uid="{FBFD8D75-FB70-4F94-89BB-286889695973}" name="Column1119"/>
    <tableColumn id="1147" xr3:uid="{247BC5AF-3E2D-4944-85C9-C63BAEA66676}" name="Column1120"/>
    <tableColumn id="1148" xr3:uid="{8E0C9B42-3538-4BEC-AB0D-3EF3BAE33C19}" name="Column1121"/>
    <tableColumn id="1149" xr3:uid="{29BF044E-F2CA-4BC1-B4EA-AB4132D167EC}" name="Column1122"/>
    <tableColumn id="1150" xr3:uid="{E1A8AD80-A1FE-42B0-8C29-D6BAA8DE886C}" name="Column1123"/>
    <tableColumn id="1151" xr3:uid="{5BD7DBD9-4F53-4DF6-AEA7-AA1E964372E3}" name="Column1124"/>
    <tableColumn id="1152" xr3:uid="{E103DD81-EB9A-45FC-B3E7-0DAD47749983}" name="Column1125"/>
    <tableColumn id="1153" xr3:uid="{D02C361C-1948-4087-96DD-0D5252940B8E}" name="Column1126"/>
    <tableColumn id="1154" xr3:uid="{D6AD5CE3-5582-4C69-AA46-2288493FAF74}" name="Column1127"/>
    <tableColumn id="1155" xr3:uid="{0A6C8944-1DC9-48DF-9E24-4F488D261522}" name="Column1128"/>
    <tableColumn id="1156" xr3:uid="{3AD68B81-5117-4821-A19D-883402E0BE88}" name="Column1129"/>
    <tableColumn id="1157" xr3:uid="{6DF84259-FBDE-4CC4-9CC3-F2883378998B}" name="Column1130"/>
    <tableColumn id="1158" xr3:uid="{38DE30E9-9003-4771-A932-63707A3D8F62}" name="Column1131"/>
    <tableColumn id="1159" xr3:uid="{14047B62-2F9A-4774-8F68-F0BD5F4E1051}" name="Column1132"/>
    <tableColumn id="1160" xr3:uid="{BCFD11AF-A4C6-49E6-A661-4ABD2BB5E1B1}" name="Column1133"/>
    <tableColumn id="1161" xr3:uid="{36AA6A05-C968-42FE-A170-DA6B13BA00A3}" name="Column1134"/>
    <tableColumn id="1162" xr3:uid="{FB5B72EA-9E60-4F13-A5B2-2BA09CD57AE4}" name="Column1135"/>
    <tableColumn id="1163" xr3:uid="{579A422A-0155-41DC-91E0-9458B42C2176}" name="Column1136"/>
    <tableColumn id="1164" xr3:uid="{9720ECC6-D702-466A-9DF1-CEF39BEB43AD}" name="Column1137"/>
    <tableColumn id="1165" xr3:uid="{51AF4B7B-695C-4137-A5A7-A2F78C5E04C7}" name="Column1138"/>
    <tableColumn id="1166" xr3:uid="{C1F0F9BF-C9A5-49B6-846C-82FF8FDAA89B}" name="Column1139"/>
    <tableColumn id="1167" xr3:uid="{F5FBAEA9-DBAF-4EF9-8D70-49799608EC87}" name="Column1140"/>
    <tableColumn id="1168" xr3:uid="{4CE2A76E-C38E-41A3-855B-AEF34026AF4B}" name="Column1141"/>
    <tableColumn id="1169" xr3:uid="{7B673717-8EEA-4428-82CB-1989D1D8C3D2}" name="Column1142"/>
    <tableColumn id="1170" xr3:uid="{5F450083-8FBA-4B4E-AC7A-C878F106BE77}" name="Column1143"/>
    <tableColumn id="1171" xr3:uid="{E600EB45-1FAB-4927-890C-864C52E21E72}" name="Column1144"/>
    <tableColumn id="1172" xr3:uid="{46FBAB05-E4F1-4725-A99A-C3ECD77E85CB}" name="Column1145"/>
    <tableColumn id="1173" xr3:uid="{A3856862-3A49-4EA8-BADC-4196671F9A5E}" name="Column1146"/>
    <tableColumn id="1174" xr3:uid="{6A1A6763-DF96-48BC-9148-0CC8249CA0F4}" name="Column1147"/>
    <tableColumn id="1175" xr3:uid="{D60A7296-2418-4506-9C46-41C2B196C271}" name="Column1148"/>
    <tableColumn id="1176" xr3:uid="{DEF6CFD6-6637-4B55-993B-3F2A3570277D}" name="Column1149"/>
    <tableColumn id="1177" xr3:uid="{96955A69-03A7-45F6-BBEA-CBB99374F87C}" name="Column1150"/>
    <tableColumn id="1178" xr3:uid="{B4ACEE40-6922-4154-A562-2A84BF49E209}" name="Column1151"/>
    <tableColumn id="1179" xr3:uid="{6DD363EB-5FCD-4183-9C8F-B4049294FB30}" name="Column1152"/>
    <tableColumn id="1180" xr3:uid="{181077EA-DCA2-4842-ABB4-EBE6240368F6}" name="Column1153"/>
    <tableColumn id="1181" xr3:uid="{AE63846C-693F-4235-A877-0029DCDC23F7}" name="Column1154"/>
    <tableColumn id="1182" xr3:uid="{87BEBDE2-724F-4F27-AF64-7D43D1001748}" name="Column1155"/>
    <tableColumn id="1183" xr3:uid="{5BCE298E-6268-4A70-B5DB-C7720BB31539}" name="Column1156"/>
    <tableColumn id="1184" xr3:uid="{04BD2522-60A3-4D39-BD47-F87542FBE361}" name="Column1157"/>
    <tableColumn id="1185" xr3:uid="{FC63DD32-DC06-4A27-8108-9A0FF06F569E}" name="Column1158"/>
    <tableColumn id="1186" xr3:uid="{CFDC6803-A0AD-4331-BF6A-1A6DA68570CD}" name="Column1159"/>
    <tableColumn id="1187" xr3:uid="{1B475B9B-9A2E-440C-9AEA-0E08884D7195}" name="Column1160"/>
    <tableColumn id="1188" xr3:uid="{B7DEF4F0-B24D-40E2-BA5F-BC80837DD04B}" name="Column1161"/>
    <tableColumn id="1189" xr3:uid="{1AB3BF0B-023D-4377-AB76-4E3270A9E94C}" name="Column1162"/>
    <tableColumn id="1190" xr3:uid="{06C9361E-F74C-4A65-844F-6934C3D412B2}" name="Column1163"/>
    <tableColumn id="1191" xr3:uid="{FCB4C6FC-F036-4E5E-B142-5AA3110F751C}" name="Column1164"/>
    <tableColumn id="1192" xr3:uid="{FFE51998-FBF1-4FB7-8CD1-AD4BBAD839E2}" name="Column1165"/>
    <tableColumn id="1193" xr3:uid="{C38C32F6-682E-4DB5-8CCF-7DBC12161106}" name="Column1166"/>
    <tableColumn id="1194" xr3:uid="{1E52364A-7B7A-4169-94CC-960D9880F001}" name="Column1167"/>
    <tableColumn id="1195" xr3:uid="{504C96E9-6CA1-4DED-9D09-F9E4A20BF934}" name="Column1168"/>
    <tableColumn id="1196" xr3:uid="{E12AAC3B-50A7-4D42-87EC-FE0A0B396875}" name="Column1169"/>
    <tableColumn id="1197" xr3:uid="{BAD5CBD6-AD1A-4596-9934-00B46E835DA2}" name="Column1170"/>
    <tableColumn id="1198" xr3:uid="{E94E746A-F98B-430E-A362-58D6972BBBD3}" name="Column1171"/>
    <tableColumn id="1199" xr3:uid="{66397FC1-8532-4655-A212-789905744B19}" name="Column1172"/>
    <tableColumn id="1200" xr3:uid="{3FA31299-7443-4AE1-88F3-1210C98D0801}" name="Column1173"/>
    <tableColumn id="1201" xr3:uid="{611ADE82-4806-4DFB-A90D-0424F3BD80CA}" name="Column1174"/>
    <tableColumn id="1202" xr3:uid="{E69FE010-DF7B-4A46-BB42-71371740559B}" name="Column1175"/>
    <tableColumn id="1203" xr3:uid="{8E5BD48E-8226-4CAD-96BC-0495ABA95C06}" name="Column1176"/>
    <tableColumn id="1204" xr3:uid="{0F3EB430-E674-4288-B947-372967C38BBB}" name="Column1177"/>
    <tableColumn id="1205" xr3:uid="{364CB780-CCAA-49DB-89BB-B2B0D43557AC}" name="Column1178"/>
    <tableColumn id="1206" xr3:uid="{650EC8EE-868F-4252-B4D1-00EACBF43DD0}" name="Column1179"/>
    <tableColumn id="1207" xr3:uid="{83250190-F31A-4753-A0AE-AAB98BAC88BD}" name="Column1180"/>
    <tableColumn id="1208" xr3:uid="{A914CE64-53A3-497E-9336-1643B2391754}" name="Column1181"/>
    <tableColumn id="1209" xr3:uid="{54630457-6788-47BE-BEB3-BAD30FCA3CD3}" name="Column1182"/>
    <tableColumn id="1210" xr3:uid="{E26A4532-A1C7-407D-BDFE-17C595E6D168}" name="Column1183"/>
    <tableColumn id="1211" xr3:uid="{E5CA28A6-34B8-4313-9810-37F9068E73F0}" name="Column1184"/>
    <tableColumn id="1212" xr3:uid="{529B3FB8-84B6-41FE-B458-B642FD1F9E69}" name="Column1185"/>
    <tableColumn id="1213" xr3:uid="{E8A3BCAD-DE17-40BC-ACE1-CE60800D07B1}" name="Column1186"/>
    <tableColumn id="1214" xr3:uid="{FE495BA8-2500-453B-9FB3-AE6D24DC9DB8}" name="Column1187"/>
    <tableColumn id="1215" xr3:uid="{2AA3290D-4231-4CF0-98CD-3A901817684B}" name="Column1188"/>
    <tableColumn id="1216" xr3:uid="{133F4607-0B3D-4BB4-B114-4272C1F90A7B}" name="Column1189"/>
    <tableColumn id="1217" xr3:uid="{E0926927-A3E8-4AE1-BCCA-27260C5D8F7D}" name="Column1190"/>
    <tableColumn id="1218" xr3:uid="{8ADDBF9E-8E84-4049-A2B7-A8DC5EAA54E1}" name="Column1191"/>
    <tableColumn id="1219" xr3:uid="{5E062F03-2488-4A9A-A934-57DF3088D7F6}" name="Column1192"/>
    <tableColumn id="1220" xr3:uid="{6A891868-FD80-46AA-8616-5EFF66E99396}" name="Column1193"/>
    <tableColumn id="1221" xr3:uid="{1854ED19-E56B-48B8-9C27-B8775DACB34E}" name="Column1194"/>
    <tableColumn id="1222" xr3:uid="{E3430A31-C3F5-44B5-B8D1-BE38769716D6}" name="Column1195"/>
    <tableColumn id="1223" xr3:uid="{59118696-893E-4B17-90B8-7938DAEA0CC9}" name="Column1196"/>
    <tableColumn id="1224" xr3:uid="{C1693584-5671-45CC-AA09-8A46A4201437}" name="Column1197"/>
    <tableColumn id="1225" xr3:uid="{F7ED3CCB-27BB-4023-90AB-1DF179B13ABF}" name="Column1198"/>
    <tableColumn id="1226" xr3:uid="{1A575868-585C-44B5-AEBF-6D9FEE87B090}" name="Column1199"/>
    <tableColumn id="1227" xr3:uid="{AEE25790-7CC3-4379-9D75-3D386CFCDD45}" name="Column1200"/>
    <tableColumn id="1228" xr3:uid="{45C87E68-A05B-4FF6-86E6-C1035071048E}" name="Column1201"/>
    <tableColumn id="1229" xr3:uid="{C7EF5AED-8998-48F2-B449-D92B8A7B7DCA}" name="Column1202"/>
    <tableColumn id="1230" xr3:uid="{2BFDBAF2-2C57-4A5B-90B2-0FDA9C0632BF}" name="Column1203"/>
    <tableColumn id="1231" xr3:uid="{C38342B7-34A1-4006-AF54-7A8443C1D786}" name="Column1204"/>
    <tableColumn id="1232" xr3:uid="{D49CA590-777F-41FD-8715-7B1A46008F68}" name="Column1205"/>
    <tableColumn id="1233" xr3:uid="{1C77E502-F722-4FBB-BE23-429B370C2F4A}" name="Column1206"/>
    <tableColumn id="1234" xr3:uid="{AF5F9A32-7BC0-405D-A670-58F3A0BF4354}" name="Column1207"/>
    <tableColumn id="1235" xr3:uid="{C7AFAC01-28F8-4CEE-867E-5AF8D77E6E0E}" name="Column1208"/>
    <tableColumn id="1236" xr3:uid="{40977D4E-B12C-4186-AA89-949CB62948ED}" name="Column1209"/>
    <tableColumn id="1237" xr3:uid="{C18D12EC-92D3-4B86-BE07-2F755D683928}" name="Column1210"/>
    <tableColumn id="1238" xr3:uid="{6EE7A972-DD03-4DAF-B095-BFEAA7E7754E}" name="Column1211"/>
    <tableColumn id="1239" xr3:uid="{2CCA86CC-8D53-4F17-B830-985917F5B7D1}" name="Column1212"/>
    <tableColumn id="1240" xr3:uid="{8F0A57FF-6287-4C98-9496-D8C704C83E9B}" name="Column1213"/>
    <tableColumn id="1241" xr3:uid="{BE7732A9-690F-4EF1-9471-312A520E5308}" name="Column1214"/>
    <tableColumn id="1242" xr3:uid="{4150C906-467C-4153-A8DE-83D851FC9851}" name="Column1215"/>
    <tableColumn id="1243" xr3:uid="{414ED79C-7642-4937-AC6F-C0C040E6555F}" name="Column1216"/>
    <tableColumn id="1244" xr3:uid="{D63B57E4-344E-4858-BC8E-CB0FAC3E57C7}" name="Column1217"/>
    <tableColumn id="1245" xr3:uid="{15523D82-1646-4B02-AA89-36DFA6D58A1F}" name="Column1218"/>
    <tableColumn id="1246" xr3:uid="{AE6D592D-E8E1-42F9-AF2F-07C503DDF6B0}" name="Column1219"/>
    <tableColumn id="1247" xr3:uid="{4CEFA71C-9452-4378-8ADB-7454E86CAFF4}" name="Column1220"/>
    <tableColumn id="1248" xr3:uid="{32F23D6F-F50B-4F87-BB41-E96C67D2B920}" name="Column1221"/>
    <tableColumn id="1249" xr3:uid="{3896EAF1-FE61-489F-8CC3-C996FF3040C6}" name="Column1222"/>
    <tableColumn id="1250" xr3:uid="{77FB5B39-C4CD-400C-BCD8-FD8C30038321}" name="Column1223"/>
    <tableColumn id="1251" xr3:uid="{3A43F786-043A-475F-B7D3-9A079B2BB209}" name="Column1224"/>
    <tableColumn id="1252" xr3:uid="{C2602F59-D55F-4CFE-B7B3-7B654EF91BEB}" name="Column1225"/>
    <tableColumn id="1253" xr3:uid="{B4D11D6B-0DF1-45BA-9499-665349134811}" name="Column1226"/>
    <tableColumn id="1254" xr3:uid="{F7F2F371-1AC6-47AD-B831-64E295D9D485}" name="Column1227"/>
    <tableColumn id="1255" xr3:uid="{409C995B-A4D2-45FA-B819-C1F0F56670BE}" name="Column1228"/>
    <tableColumn id="1256" xr3:uid="{3EAB09D4-8FC1-4778-8771-6B6DD82477B6}" name="Column1229"/>
    <tableColumn id="1257" xr3:uid="{EA803647-1EA3-4E0F-B858-7EC03C748C0A}" name="Column1230"/>
    <tableColumn id="1258" xr3:uid="{AA56504F-9845-4953-82EE-045BDA7E084F}" name="Column1231"/>
    <tableColumn id="1259" xr3:uid="{78E59A67-D61C-41A1-9C95-74FC8D2436F4}" name="Column1232"/>
    <tableColumn id="1260" xr3:uid="{EFF2A48D-2487-4F61-B030-902A2B505F64}" name="Column1233"/>
    <tableColumn id="1261" xr3:uid="{D5A64B58-2C15-429D-8513-2C26DCF0C509}" name="Column1234"/>
    <tableColumn id="1262" xr3:uid="{6170ED59-9DE9-4789-B6B1-2023C3F20294}" name="Column1235"/>
    <tableColumn id="1263" xr3:uid="{9C7654B0-EEE8-45E2-BF33-E1784C268E13}" name="Column1236"/>
    <tableColumn id="1264" xr3:uid="{B93F16FF-B978-4F15-B175-D07F03E29097}" name="Column1237"/>
    <tableColumn id="1265" xr3:uid="{2E9F5CDD-8619-4DB4-8F2E-58E36290D982}" name="Column1238"/>
    <tableColumn id="1266" xr3:uid="{DB7981D5-D19D-4C07-8E5E-02D3354838DE}" name="Column1239"/>
    <tableColumn id="1267" xr3:uid="{2A7B7BC8-799D-4745-89E8-0268750D6A3A}" name="Column1240"/>
    <tableColumn id="1268" xr3:uid="{06640AAD-1583-44DA-90B7-B85E18D9F6E7}" name="Column1241"/>
    <tableColumn id="1269" xr3:uid="{658FEE35-3152-4C00-8436-17FEA0F5C249}" name="Column1242"/>
    <tableColumn id="1270" xr3:uid="{AB09B5BC-4ECB-4DAD-976E-D586A72CB79B}" name="Column1243"/>
    <tableColumn id="1271" xr3:uid="{33EC0EC2-9C8F-4890-94DA-4645AEFEDEB2}" name="Column1244"/>
    <tableColumn id="1272" xr3:uid="{D622C016-8CDD-4195-A612-109E0CAD0952}" name="Column1245"/>
    <tableColumn id="1273" xr3:uid="{2281D084-97F9-4E7F-B59E-D81256059958}" name="Column1246"/>
    <tableColumn id="1274" xr3:uid="{A4803AA3-A628-404D-8C65-D8ABCA13DFB7}" name="Column1247"/>
    <tableColumn id="1275" xr3:uid="{B830A3F3-6E51-4A99-9CD3-E79813E4BE24}" name="Column1248"/>
    <tableColumn id="1276" xr3:uid="{F0E1AC5A-C453-4414-9FD5-87410F1E9DD4}" name="Column1249"/>
    <tableColumn id="1277" xr3:uid="{6503C668-FF33-4070-8F70-1C0B23593BF3}" name="Column1250"/>
    <tableColumn id="1278" xr3:uid="{840D5280-760C-4A7A-AA15-C9389BE17321}" name="Column1251"/>
    <tableColumn id="1279" xr3:uid="{2A7A56E7-1785-4CFE-8A41-E102F9FFE8E2}" name="Column1252"/>
    <tableColumn id="1280" xr3:uid="{8DEFAC02-4E7C-4E98-ACBA-815D56C5EDB2}" name="Column1253"/>
    <tableColumn id="1281" xr3:uid="{D8E650B4-A2C4-40BA-ABA3-F4DE5A8590C4}" name="Column1254"/>
    <tableColumn id="1282" xr3:uid="{729514C7-F43B-4E3F-A212-01828A41CF57}" name="Column1255"/>
    <tableColumn id="1283" xr3:uid="{6E2137A5-B05F-41A6-AF49-A8EFFA242896}" name="Column1256"/>
    <tableColumn id="1284" xr3:uid="{F6FB57E7-5315-421E-BEAC-5B37A61AB152}" name="Column1257"/>
    <tableColumn id="1285" xr3:uid="{8F9A4A05-EC0A-4237-A0DB-8FF903B63469}" name="Column1258"/>
    <tableColumn id="1286" xr3:uid="{A69DFF55-7F6E-4F43-B556-9708E6EB422E}" name="Column1259"/>
    <tableColumn id="1287" xr3:uid="{C9204F43-DBDF-491D-926A-CF92A34C8E9F}" name="Column1260"/>
    <tableColumn id="1288" xr3:uid="{62BE579E-DC2E-4620-8BCD-25FE1F1D96C3}" name="Column1261"/>
    <tableColumn id="1289" xr3:uid="{2DBF0309-2001-4754-978C-448583D6C32A}" name="Column1262"/>
    <tableColumn id="1290" xr3:uid="{2992F8EF-2399-44BC-B2C0-27A4C95DEA60}" name="Column1263"/>
    <tableColumn id="1291" xr3:uid="{26D2069A-D246-42D6-BC23-C733970F9C95}" name="Column1264"/>
    <tableColumn id="1292" xr3:uid="{676EEBCE-1378-4C53-893B-BD297B7AFEEC}" name="Column1265"/>
    <tableColumn id="1293" xr3:uid="{A429C7E4-1935-49A9-BB97-C9180CD6D399}" name="Column1266"/>
    <tableColumn id="1294" xr3:uid="{5CBC5021-6964-4A9D-8C8C-F816409CEF6E}" name="Column1267"/>
    <tableColumn id="1295" xr3:uid="{C32297EB-98C3-4CA1-BD7D-10B293C4E3F2}" name="Column1268"/>
    <tableColumn id="1296" xr3:uid="{31C700EF-441A-4427-A892-A1D078A63E52}" name="Column1269"/>
    <tableColumn id="1297" xr3:uid="{386E0D6F-383B-4DD8-BDDA-9789A28B2AA0}" name="Column1270"/>
    <tableColumn id="1298" xr3:uid="{6076AB95-BBF3-4BA5-830E-19C85D70D3BC}" name="Column1271"/>
    <tableColumn id="1299" xr3:uid="{909CD994-4DD4-4B5C-B8E3-43FD9E7EDC95}" name="Column1272"/>
    <tableColumn id="1300" xr3:uid="{C30182D4-6D70-4803-B212-DF312FE2B3FA}" name="Column1273"/>
    <tableColumn id="1301" xr3:uid="{AF05FBD8-2FE1-4499-B4F8-B0AF066D8593}" name="Column1274"/>
    <tableColumn id="1302" xr3:uid="{95F882C7-BFB0-4958-8624-60A8B87A9205}" name="Column1275"/>
    <tableColumn id="1303" xr3:uid="{19E1DD2A-A2FD-4A52-BBD5-4E7158242BC9}" name="Column1276"/>
    <tableColumn id="1304" xr3:uid="{D1D8126B-4607-4895-B8D6-E729192EDAF0}" name="Column1277"/>
    <tableColumn id="1305" xr3:uid="{A5A387A6-3724-4B15-8F6D-FB364B287DAA}" name="Column1278"/>
    <tableColumn id="1306" xr3:uid="{C6EA30BB-6A41-4A6A-BFB8-DCAE4AA5600C}" name="Column1279"/>
    <tableColumn id="1307" xr3:uid="{20743B96-A7C1-461F-AFC3-7E44619FABA0}" name="Column1280"/>
    <tableColumn id="1308" xr3:uid="{1EEF4265-579A-498B-BBC4-D839694702F3}" name="Column1281"/>
    <tableColumn id="1309" xr3:uid="{B1BA61AE-C240-40B0-A05E-3051F1064DA3}" name="Column1282"/>
    <tableColumn id="1310" xr3:uid="{05B2E06B-D7DE-4791-9740-B713EF0420A6}" name="Column1283"/>
    <tableColumn id="1311" xr3:uid="{D13A1D6D-36DE-40C5-A6BD-3793C333AE19}" name="Column1284"/>
    <tableColumn id="1312" xr3:uid="{8B65773D-C3BA-4577-95EE-765C754C4FBF}" name="Column1285"/>
    <tableColumn id="1313" xr3:uid="{05229257-8486-4992-9BB9-7AB9B434BD44}" name="Column1286"/>
    <tableColumn id="1314" xr3:uid="{F8E468BC-B044-4C37-BE03-E31C21EA484D}" name="Column1287"/>
    <tableColumn id="1315" xr3:uid="{A203F7A0-C773-4DC0-8546-D5DEC2278866}" name="Column1288"/>
    <tableColumn id="1316" xr3:uid="{F178F80D-D011-4293-BBD5-D48633EA5B32}" name="Column1289"/>
    <tableColumn id="1317" xr3:uid="{9F726811-6249-4EC2-9F57-353ABD10342B}" name="Column1290"/>
    <tableColumn id="1318" xr3:uid="{3F3CA6C9-D129-4EDA-9C66-5B692BE74290}" name="Column1291"/>
    <tableColumn id="1319" xr3:uid="{EC043D00-49E3-42D7-A21C-E7C8FE7CF62B}" name="Column1292"/>
    <tableColumn id="1320" xr3:uid="{31B08C78-E5E2-47CD-8CD1-FC9D1D9A7FEA}" name="Column1293"/>
    <tableColumn id="1321" xr3:uid="{38948A96-CF03-4969-9F57-626785CDC0BB}" name="Column1294"/>
    <tableColumn id="1322" xr3:uid="{6B3B4C8B-F3DE-4619-B908-017BF9C7B2EC}" name="Column1295"/>
    <tableColumn id="1323" xr3:uid="{432134E9-CFF9-43D7-874B-84936A2C31C6}" name="Column1296"/>
    <tableColumn id="1324" xr3:uid="{EE0FA590-24D7-4B37-8FE1-69E349EFA983}" name="Column1297"/>
    <tableColumn id="1325" xr3:uid="{B610E0AD-CD60-403A-B592-7C95C114FFCD}" name="Column1298"/>
    <tableColumn id="1326" xr3:uid="{2EC706AB-79D6-43DF-BE09-FBEA5C852D81}" name="Column1299"/>
    <tableColumn id="1327" xr3:uid="{F0279B8A-2655-47FA-AACB-BE83DBC10224}" name="Column1300"/>
    <tableColumn id="1328" xr3:uid="{9D86C5D0-AADF-4953-9CCD-8A0CE8D04D7E}" name="Column1301"/>
    <tableColumn id="1329" xr3:uid="{8E2D02DC-4564-41C1-BBFC-C5D05C38795F}" name="Column1302"/>
    <tableColumn id="1330" xr3:uid="{C638AA2C-9FFD-4280-BB84-AB02D2A21651}" name="Column1303"/>
    <tableColumn id="1331" xr3:uid="{9E13F772-5B00-4B31-A5D8-16BC4BFB2B54}" name="Column1304"/>
    <tableColumn id="1332" xr3:uid="{503ACBAF-07BE-4853-B9D6-8EB09EBFE077}" name="Column1305"/>
    <tableColumn id="1333" xr3:uid="{00136F99-060B-4B43-8E78-D47175BB9A5B}" name="Column1306"/>
    <tableColumn id="1334" xr3:uid="{FF4341EC-83B0-4FF5-B3EB-A0D411E93438}" name="Column1307"/>
    <tableColumn id="1335" xr3:uid="{ECFED5F2-F7EE-4631-9CEC-EEF6DB4E0C35}" name="Column1308"/>
    <tableColumn id="1336" xr3:uid="{C4DB52E4-82D2-46BE-B927-2B0FD620A86E}" name="Column1309"/>
    <tableColumn id="1337" xr3:uid="{39A81E28-DFB2-447A-983F-5593970B4C60}" name="Column1310"/>
    <tableColumn id="1338" xr3:uid="{8EBCD6AF-6A6F-4115-95AC-8BFEDFFA1F83}" name="Column1311"/>
    <tableColumn id="1339" xr3:uid="{CC599188-774B-4B40-8B60-C2715BAA7C92}" name="Column1312"/>
    <tableColumn id="1340" xr3:uid="{C344CC76-C22F-4A72-9B6D-52164B5601B8}" name="Column1313"/>
    <tableColumn id="1341" xr3:uid="{4C13A009-D72B-4456-95CF-A9330FF5D294}" name="Column1314"/>
    <tableColumn id="1342" xr3:uid="{67D8C182-5EA3-40C4-801D-7BC749D1209A}" name="Column1315"/>
    <tableColumn id="1343" xr3:uid="{AE8C5136-80C8-43E9-924A-B30DD5F5785F}" name="Column1316"/>
    <tableColumn id="1344" xr3:uid="{0FB05E95-BC11-4638-8C4E-DD88FE394222}" name="Column1317"/>
    <tableColumn id="1345" xr3:uid="{D3C2EAFF-5F28-4F26-BE1D-530C872765EB}" name="Column1318"/>
    <tableColumn id="1346" xr3:uid="{222BE45A-8C01-4D6B-8924-B39A101BFC5E}" name="Column1319"/>
    <tableColumn id="1347" xr3:uid="{594064B5-C514-41E3-8212-05C52993D2C5}" name="Column1320"/>
    <tableColumn id="1348" xr3:uid="{51FC42C7-12CC-4A2B-A21A-8C68FBE3DCBD}" name="Column1321"/>
    <tableColumn id="1349" xr3:uid="{079F78CE-53BF-4CA4-8E0D-E8581B787025}" name="Column1322"/>
    <tableColumn id="1350" xr3:uid="{ACFC74B8-892D-447C-95D9-DA49F9F814A9}" name="Column1323"/>
    <tableColumn id="1351" xr3:uid="{9E4A5779-55E2-48C8-8C90-D9A299B29DD0}" name="Column1324"/>
    <tableColumn id="1352" xr3:uid="{F31F1FED-A440-4005-AAF5-C50CE9E715C5}" name="Column1325"/>
    <tableColumn id="1353" xr3:uid="{468BCDCA-3382-4F7F-AD7E-A25F6B42FC37}" name="Column1326"/>
    <tableColumn id="1354" xr3:uid="{CE1AA5D2-2F17-4B8F-88EB-67415CBC1B66}" name="Column1327"/>
    <tableColumn id="1355" xr3:uid="{7378E3C5-FD92-40D3-B33C-47F2F10C5156}" name="Column1328"/>
    <tableColumn id="1356" xr3:uid="{C9C0BAE3-272B-4EA8-8417-EBED4DB92221}" name="Column1329"/>
    <tableColumn id="1357" xr3:uid="{92B38070-B295-4460-92D7-5CA36C88ACAC}" name="Column1330"/>
    <tableColumn id="1358" xr3:uid="{444E5662-C407-478B-8522-4592FA78FA25}" name="Column1331"/>
    <tableColumn id="1359" xr3:uid="{4B6AC43F-A975-47F9-8870-41264E0007DB}" name="Column1332"/>
    <tableColumn id="1360" xr3:uid="{87B2310A-2CAE-4481-B74E-8E396215091E}" name="Column1333"/>
    <tableColumn id="1361" xr3:uid="{1B71459F-EEC4-4D78-99F9-CC067EF7E0AA}" name="Column1334"/>
    <tableColumn id="1362" xr3:uid="{C9EB78E4-CB20-4A0D-A848-D0844846ED07}" name="Column1335"/>
    <tableColumn id="1363" xr3:uid="{C4F616FF-04A3-48E3-BB92-54F224E63FBC}" name="Column1336"/>
    <tableColumn id="1364" xr3:uid="{B51E5E30-A915-4E64-BC26-C5294F7054EA}" name="Column1337"/>
    <tableColumn id="1365" xr3:uid="{2BBFE350-76AA-461C-8C14-2BB9BC5D0725}" name="Column1338"/>
    <tableColumn id="1366" xr3:uid="{1365957A-58F2-4747-B46C-A19F463F07D3}" name="Column1339"/>
    <tableColumn id="1367" xr3:uid="{1751583E-D81C-438F-8557-C7082C8EB5AF}" name="Column1340"/>
    <tableColumn id="1368" xr3:uid="{486B2888-1653-405A-976B-22CFE1C529A9}" name="Column1341"/>
    <tableColumn id="1369" xr3:uid="{FEB1237D-2170-473A-BF27-2D89EA93C7FA}" name="Column1342"/>
    <tableColumn id="1370" xr3:uid="{ADB7E2DC-F122-4EA7-92E2-6E2768CAE6D1}" name="Column1343"/>
    <tableColumn id="1371" xr3:uid="{7BE529C1-4B65-4647-9640-5D0734C40AA7}" name="Column1344"/>
    <tableColumn id="1372" xr3:uid="{E9B84A29-1B25-41D0-99D1-090E6676A50F}" name="Column1345"/>
    <tableColumn id="1373" xr3:uid="{682787AD-839D-4CEC-A3B7-29F45AEBF430}" name="Column1346"/>
    <tableColumn id="1374" xr3:uid="{792ABE45-20FD-47E3-B68C-645A9BD49821}" name="Column1347"/>
    <tableColumn id="1375" xr3:uid="{EFE6ADE4-6570-4EBF-B94C-B63A7BEAA632}" name="Column1348"/>
    <tableColumn id="1376" xr3:uid="{DE5381EA-41EB-489E-A99D-8DBDB6BFF362}" name="Column1349"/>
    <tableColumn id="1377" xr3:uid="{F2C13B3E-BAB4-4B12-97BF-6F0CAC66A0BE}" name="Column1350"/>
    <tableColumn id="1378" xr3:uid="{A91AA978-B0A3-4DD0-8649-E73D74E6C073}" name="Column1351"/>
    <tableColumn id="1379" xr3:uid="{A269A65B-F831-40D1-A713-ADD5CF260EAE}" name="Column1352"/>
    <tableColumn id="1380" xr3:uid="{A83A062A-D252-4FFC-AD44-209ABBB85607}" name="Column1353"/>
    <tableColumn id="1381" xr3:uid="{EE8A9B2E-9C89-47B6-99D2-951652C8D90D}" name="Column1354"/>
    <tableColumn id="1382" xr3:uid="{A7D6674D-5BE3-42A8-AD79-2A0A2438A877}" name="Column1355"/>
    <tableColumn id="1383" xr3:uid="{E0975AF4-69DB-4C67-A263-43D44307630D}" name="Column1356"/>
    <tableColumn id="1384" xr3:uid="{5EDBE39B-649D-4003-A1FC-32FCC9AB8002}" name="Column1357"/>
    <tableColumn id="1385" xr3:uid="{F74F3B41-0E67-44D9-A70A-91126197C380}" name="Column1358"/>
    <tableColumn id="1386" xr3:uid="{604FC6D2-5767-4FF8-9E8E-BA0D5011BE50}" name="Column1359"/>
    <tableColumn id="1387" xr3:uid="{A8110A58-C763-46DF-BB05-B709CCD3F352}" name="Column1360"/>
    <tableColumn id="1388" xr3:uid="{414EC0B5-B156-4CB1-8A5F-E19F03201AF5}" name="Column1361"/>
    <tableColumn id="1389" xr3:uid="{E18C2904-848C-4CBA-AB0E-A0F423D9F465}" name="Column1362"/>
    <tableColumn id="1390" xr3:uid="{9D5583A0-D87C-408D-B71B-EAA6403B9A4C}" name="Column1363"/>
    <tableColumn id="1391" xr3:uid="{BC94EA39-D7F8-47E8-B4F6-4CBCC7BA3958}" name="Column1364"/>
    <tableColumn id="1392" xr3:uid="{AFC1BF0C-0C53-413C-B559-AE9429C31B9D}" name="Column1365"/>
    <tableColumn id="1393" xr3:uid="{EBF6C684-356E-40E9-8BDA-C3D53F54233B}" name="Column1366"/>
    <tableColumn id="1394" xr3:uid="{F357E60D-F010-495A-A525-6139B8706F76}" name="Column1367"/>
    <tableColumn id="1395" xr3:uid="{7D00C887-90CD-497A-967C-31EE701FD249}" name="Column1368"/>
    <tableColumn id="1396" xr3:uid="{852DDDAF-56E6-43B1-999E-AE8E3274EF55}" name="Column1369"/>
    <tableColumn id="1397" xr3:uid="{F83A3813-3801-4CA6-BD5D-99DA0C5A3DD5}" name="Column1370"/>
    <tableColumn id="1398" xr3:uid="{EF08F93E-F912-43F7-8E1B-4F75297C0292}" name="Column1371"/>
    <tableColumn id="1399" xr3:uid="{E1FB9456-C65A-4626-A9B9-58ACA6FF3792}" name="Column1372"/>
    <tableColumn id="1400" xr3:uid="{AE183B88-B6B4-4EA6-9D0E-EDF72B4CE2BE}" name="Column1373"/>
    <tableColumn id="1401" xr3:uid="{94101986-03C9-4786-B7EE-21DE7543EB55}" name="Column1374"/>
    <tableColumn id="1402" xr3:uid="{60811C60-9F20-453B-8CB6-EFF51A753CE6}" name="Column1375"/>
    <tableColumn id="1403" xr3:uid="{48E6CE8D-1683-437E-9776-46533E65AE60}" name="Column1376"/>
    <tableColumn id="1404" xr3:uid="{39AF4A20-8D2F-4A35-8F5C-928B93D1BDB5}" name="Column1377"/>
    <tableColumn id="1405" xr3:uid="{DFCC5073-198D-4EEF-B2B3-601CC81D54FA}" name="Column1378"/>
    <tableColumn id="1406" xr3:uid="{141A4F1E-EB6F-478D-972D-522D72569353}" name="Column1379"/>
    <tableColumn id="1407" xr3:uid="{16923BBC-0DE9-4221-9E6C-F6145AF5B1C8}" name="Column1380"/>
    <tableColumn id="1408" xr3:uid="{6A81997D-9E42-4D66-8DAC-380F7D7BEA90}" name="Column1381"/>
    <tableColumn id="1409" xr3:uid="{5E7C50E5-928D-45D7-81AE-BCCDCCD72E95}" name="Column1382"/>
    <tableColumn id="1410" xr3:uid="{CD6B54BB-4F93-4884-A18A-EFF1943D3D77}" name="Column1383"/>
    <tableColumn id="1411" xr3:uid="{2E330739-E35B-4713-A9A5-E67BC57C548D}" name="Column1384"/>
    <tableColumn id="1412" xr3:uid="{48A11AB7-8B04-4337-B963-5A62E20D0CA3}" name="Column1385"/>
    <tableColumn id="1413" xr3:uid="{AE4F3EDF-F180-4F7C-A065-AAF1FA39393F}" name="Column1386"/>
    <tableColumn id="1414" xr3:uid="{1A2DC67C-2DDA-4578-99A1-EA6D74BBE45A}" name="Column1387"/>
    <tableColumn id="1415" xr3:uid="{055A1EAA-3237-458D-88EA-795051979A83}" name="Column1388"/>
    <tableColumn id="1416" xr3:uid="{6BABE70E-300B-4C44-BBE7-17C5CB327A00}" name="Column1389"/>
    <tableColumn id="1417" xr3:uid="{35563042-8502-424E-980F-ABBDD223143E}" name="Column1390"/>
    <tableColumn id="1418" xr3:uid="{E920E87A-FACD-4221-B464-5648973B7CB2}" name="Column1391"/>
    <tableColumn id="1419" xr3:uid="{65FA60CB-F6F0-416B-B777-34B522259010}" name="Column1392"/>
    <tableColumn id="1420" xr3:uid="{7875B9D1-7EC8-44E6-85DA-D51A425136B4}" name="Column1393"/>
    <tableColumn id="1421" xr3:uid="{8A8BDA34-6245-4E43-B923-F55109E2541C}" name="Column1394"/>
    <tableColumn id="1422" xr3:uid="{6B534DDC-7AA8-48B6-AF16-8B90F77D1610}" name="Column1395"/>
    <tableColumn id="1423" xr3:uid="{E85ADD4D-3359-492E-BB1C-85AD57F36E3B}" name="Column1396"/>
    <tableColumn id="1424" xr3:uid="{A0B299FB-4196-4541-8EE2-E9F71B0FA8E0}" name="Column1397"/>
    <tableColumn id="1425" xr3:uid="{0D007B4E-5C26-4BA0-AB35-215ED865FD01}" name="Column1398"/>
    <tableColumn id="1426" xr3:uid="{CCE91B76-9129-4A95-A9F5-4A878C24A82F}" name="Column1399"/>
    <tableColumn id="1427" xr3:uid="{064B8F77-CDF7-4D9E-B96A-2A046984BDDE}" name="Column1400"/>
    <tableColumn id="1428" xr3:uid="{65F82E7B-F594-47F8-AB0C-5EB0A53AA5AE}" name="Column1401"/>
    <tableColumn id="1429" xr3:uid="{8D627068-5305-4D07-9AAF-B47128FB9A5E}" name="Column1402"/>
    <tableColumn id="1430" xr3:uid="{320290F7-942C-48D9-A978-A2407CAF22B8}" name="Column1403"/>
    <tableColumn id="1431" xr3:uid="{C31FDA4D-3438-452E-A209-89B6224A60F2}" name="Column1404"/>
    <tableColumn id="1432" xr3:uid="{2CE4EE8D-4D12-4890-A513-0F7583A48354}" name="Column1405"/>
    <tableColumn id="1433" xr3:uid="{52F73412-9D15-49D7-A012-CA822CEF795E}" name="Column1406"/>
    <tableColumn id="1434" xr3:uid="{C0E4B675-3383-43DA-8ABB-57C7AA00EE72}" name="Column1407"/>
    <tableColumn id="1435" xr3:uid="{75374D42-613C-4E60-9E86-75C07A7322AC}" name="Column1408"/>
    <tableColumn id="1436" xr3:uid="{35D9BE60-706F-4D67-8525-DF8D261942E3}" name="Column1409"/>
    <tableColumn id="1437" xr3:uid="{D1459B6F-7F3C-48B4-AE3A-21C7E077D0D7}" name="Column1410"/>
    <tableColumn id="1438" xr3:uid="{AF27A8F6-624D-42A0-9B1C-55B1A6BF8A63}" name="Column1411"/>
    <tableColumn id="1439" xr3:uid="{D5777681-EB01-42AD-881B-292DA7E89F29}" name="Column1412"/>
    <tableColumn id="1440" xr3:uid="{EFE9B5DB-48C8-4B17-8712-5C2CF4BEC3A7}" name="Column1413"/>
    <tableColumn id="1441" xr3:uid="{5F3B4F0D-2DF0-46E5-A77F-FC495E9E4BF9}" name="Column1414"/>
    <tableColumn id="1442" xr3:uid="{C71CEE91-6B9A-4B0A-B4D4-C03731303043}" name="Column1415"/>
    <tableColumn id="1443" xr3:uid="{9F78F85E-466C-4D5A-903B-FF78FDAA9273}" name="Column1416"/>
    <tableColumn id="1444" xr3:uid="{A10361A0-59CE-4D8D-913A-54F8ADB94D58}" name="Column1417"/>
    <tableColumn id="1445" xr3:uid="{27CF0BD1-EDFD-4C67-B1E3-A10A3B65F098}" name="Column1418"/>
    <tableColumn id="1446" xr3:uid="{370BEE9A-A539-4C6F-8A9E-0F032325663A}" name="Column1419"/>
    <tableColumn id="1447" xr3:uid="{12BC9F8B-2DC3-4EA2-818E-7ECE3D64C9D1}" name="Column1420"/>
    <tableColumn id="1448" xr3:uid="{CD301E11-2DD2-4FF0-A8AE-0174A1631A58}" name="Column1421"/>
    <tableColumn id="1449" xr3:uid="{477F4ED6-25F6-40B5-945D-F859C8B3FC8D}" name="Column1422"/>
    <tableColumn id="1450" xr3:uid="{0F174D63-E94B-4370-8D15-7A02C01B12D6}" name="Column1423"/>
    <tableColumn id="1451" xr3:uid="{F9E272B7-B4AC-46B9-8969-06E19A5FF1AA}" name="Column1424"/>
    <tableColumn id="1452" xr3:uid="{688E0112-70A5-4916-A921-03A280678F8F}" name="Column1425"/>
    <tableColumn id="1453" xr3:uid="{C7EA9FC4-958D-419F-8EC5-A9BA767EC058}" name="Column1426"/>
    <tableColumn id="1454" xr3:uid="{B403D05F-49DD-48F6-87DE-92B207C670B2}" name="Column1427"/>
    <tableColumn id="1455" xr3:uid="{1EEB022D-6497-4B58-A4B6-ADB6AE11C604}" name="Column1428"/>
    <tableColumn id="1456" xr3:uid="{661D6C99-CCD6-4F17-A972-BEC73B949404}" name="Column1429"/>
    <tableColumn id="1457" xr3:uid="{BC53FB9D-87F7-4FE9-A672-7BA00F0A97B5}" name="Column1430"/>
    <tableColumn id="1458" xr3:uid="{5A7AF76D-2B53-4449-A6FF-FC1CF50455D9}" name="Column1431"/>
    <tableColumn id="1459" xr3:uid="{189CE675-FE67-41DC-8251-B90A79F68BB6}" name="Column1432"/>
    <tableColumn id="1460" xr3:uid="{3D6F9724-134B-4CC0-B8D8-4E0040B6973F}" name="Column1433"/>
    <tableColumn id="1461" xr3:uid="{307B1729-5EBD-48C0-9749-758298D1459B}" name="Column1434"/>
    <tableColumn id="1462" xr3:uid="{739C9314-121C-454E-9009-21E0ACC8EC32}" name="Column1435"/>
    <tableColumn id="1463" xr3:uid="{7CF762D9-7EAB-4521-9456-29E91DDDFD8E}" name="Column1436"/>
    <tableColumn id="1464" xr3:uid="{F0E3FFF9-AFF3-485A-82AC-B4235CAB692A}" name="Column1437"/>
    <tableColumn id="1465" xr3:uid="{54AD0807-65ED-49BE-B04E-5D91DB273344}" name="Column1438"/>
    <tableColumn id="1466" xr3:uid="{742CF807-B3DC-4A97-A02F-266243EC2FE1}" name="Column1439"/>
    <tableColumn id="1467" xr3:uid="{965E381E-ADD8-4C39-AAB4-E88AA6E99AF8}" name="Column1440"/>
    <tableColumn id="1468" xr3:uid="{A8CA43A7-9824-45DA-8C21-193E657449D1}" name="Column1441"/>
    <tableColumn id="1469" xr3:uid="{16E14F1D-FFBA-4EF7-AD64-E71F5B4314B2}" name="Column1442"/>
    <tableColumn id="1470" xr3:uid="{AD12959E-85B5-4197-8B0F-988F450E61AF}" name="Column1443"/>
    <tableColumn id="1471" xr3:uid="{A3E6539F-A84E-4B29-BE30-F805DDD91ED2}" name="Column1444"/>
    <tableColumn id="1472" xr3:uid="{9B381C3F-9ED6-4484-A8DA-D605C2E146E3}" name="Column1445"/>
    <tableColumn id="1473" xr3:uid="{4788298E-1A1C-4A42-AAFE-81E175491500}" name="Column1446"/>
    <tableColumn id="1474" xr3:uid="{D589A5D8-0FB2-47AC-A59D-38CBFAD8800A}" name="Column1447"/>
    <tableColumn id="1475" xr3:uid="{65F7AFC2-11C2-4D2C-853B-25D4749FC01E}" name="Column1448"/>
    <tableColumn id="1476" xr3:uid="{0C25D749-8753-48FA-9A7D-9106BBB4CE51}" name="Column1449"/>
    <tableColumn id="1477" xr3:uid="{81295457-42BD-4DED-8D03-41F9C3C5D3F3}" name="Column1450"/>
    <tableColumn id="1478" xr3:uid="{788515E7-1173-472D-9AE8-9D6D33BA6A64}" name="Column1451"/>
    <tableColumn id="1479" xr3:uid="{95B03F88-A5A3-455C-8EFD-ACAE0C260623}" name="Column1452"/>
    <tableColumn id="1480" xr3:uid="{1CBEAF2B-A55C-4374-9D4D-FD1CC114B3A2}" name="Column1453"/>
    <tableColumn id="1481" xr3:uid="{917783D8-119A-4D8F-B68D-7B24159194DE}" name="Column1454"/>
    <tableColumn id="1482" xr3:uid="{ED30D93C-CEA8-4691-AD42-EC19CAA603FF}" name="Column1455"/>
    <tableColumn id="1483" xr3:uid="{C0C408D5-3667-498A-B85A-65FA9312A056}" name="Column1456"/>
    <tableColumn id="1484" xr3:uid="{8B826375-BF3C-4A54-95C6-30C4C2654A33}" name="Column1457"/>
    <tableColumn id="1485" xr3:uid="{FA8DA435-4F48-437A-B949-88F01CBC66D4}" name="Column1458"/>
    <tableColumn id="1486" xr3:uid="{5A42A7E3-C7BE-4775-90A5-9C8787B1B770}" name="Column1459"/>
    <tableColumn id="1487" xr3:uid="{F7A9F5F1-280C-4B52-911D-17D573C4F11F}" name="Column1460"/>
    <tableColumn id="1488" xr3:uid="{1FB6929A-9562-414A-A657-8F3C76B4E9FF}" name="Column1461"/>
    <tableColumn id="1489" xr3:uid="{322DED29-FBFE-4DE7-BC65-49FD55C09BD8}" name="Column1462"/>
    <tableColumn id="1490" xr3:uid="{889AB67C-1211-4039-9460-216CDA3545CE}" name="Column1463"/>
    <tableColumn id="1491" xr3:uid="{EA9E52E8-4727-4386-8A2D-10954D382CFC}" name="Column1464"/>
    <tableColumn id="1492" xr3:uid="{3FEC9B7C-CE4D-40E5-BB47-4D8C213EB50F}" name="Column1465"/>
    <tableColumn id="1493" xr3:uid="{3BE44C66-8A70-4339-9BC4-ECD9178BCFFD}" name="Column1466"/>
    <tableColumn id="1494" xr3:uid="{19270B38-5101-4A75-BBD3-27D85046C464}" name="Column1467"/>
    <tableColumn id="1495" xr3:uid="{E54EEE1F-2E43-4AAF-8DE8-A7F0ACA6993E}" name="Column1468"/>
    <tableColumn id="1496" xr3:uid="{ED09D25B-468F-408D-ABBC-389E4ACD0652}" name="Column1469"/>
    <tableColumn id="1497" xr3:uid="{B0CF9B0B-C3EE-4CE6-9821-686D6419B416}" name="Column1470"/>
    <tableColumn id="1498" xr3:uid="{EA0B9E18-07EB-4F66-A802-CAC69EE64EE5}" name="Column1471"/>
    <tableColumn id="1499" xr3:uid="{164DCBB8-B5A7-4700-9B8A-5A31F9DD9A4C}" name="Column1472"/>
    <tableColumn id="1500" xr3:uid="{DA9781BF-594B-4392-BAC4-4A14B9AE2856}" name="Column1473"/>
    <tableColumn id="1501" xr3:uid="{ECBB9DB1-5D2D-4E6B-9B73-C311E2D29BDC}" name="Column1474"/>
    <tableColumn id="1502" xr3:uid="{0789CE86-3186-4AF1-A978-F1ACF032BE41}" name="Column1475"/>
    <tableColumn id="1503" xr3:uid="{E0AF28A3-EC0B-49D1-AEFB-098FAC14DF91}" name="Column1476"/>
    <tableColumn id="1504" xr3:uid="{32D532E7-352A-4321-931E-C05EB53FA422}" name="Column1477"/>
    <tableColumn id="1505" xr3:uid="{E325C7D0-5220-46D2-A317-EDEC79DE4FF1}" name="Column1478"/>
    <tableColumn id="1506" xr3:uid="{A198B2D2-B006-4639-B98C-834F6B35B792}" name="Column1479"/>
    <tableColumn id="1507" xr3:uid="{C9423020-736B-4725-BE7B-BD23A43E1FB6}" name="Column1480"/>
    <tableColumn id="1508" xr3:uid="{F4055BDF-1C90-4458-AD30-520151CB688F}" name="Column1481"/>
    <tableColumn id="1509" xr3:uid="{AFF46F38-EA70-40BC-8C78-2C2E8D369A13}" name="Column1482"/>
    <tableColumn id="1510" xr3:uid="{DBF49971-E03D-4DEE-B464-CC5FD8386093}" name="Column1483"/>
    <tableColumn id="1511" xr3:uid="{DCDD3E88-0B30-4F1F-9597-F48A13FD5F22}" name="Column1484"/>
    <tableColumn id="1512" xr3:uid="{D9B91B10-BF3F-4B5C-80AC-8CDA98A23C54}" name="Column1485"/>
    <tableColumn id="1513" xr3:uid="{CC487079-FE4C-4BE6-AD1E-965B4ADF2FE6}" name="Column1486"/>
    <tableColumn id="1514" xr3:uid="{9CA89F5D-EDD9-4CB6-A43C-8E293B9262E5}" name="Column1487"/>
    <tableColumn id="1515" xr3:uid="{A6279368-3A40-4A88-A42C-0A063AFE26B5}" name="Column1488"/>
    <tableColumn id="1516" xr3:uid="{208BDDD2-4960-45EE-A154-CA53D3195B1E}" name="Column1489"/>
    <tableColumn id="1517" xr3:uid="{51AB762C-326A-4E85-A6C0-21D696001C89}" name="Column1490"/>
    <tableColumn id="1518" xr3:uid="{1C47C5AA-A849-4813-8609-9AA98A4F07C1}" name="Column1491"/>
    <tableColumn id="1519" xr3:uid="{9B1555E9-F15E-4DA1-BD75-0CC064D66DDD}" name="Column1492"/>
    <tableColumn id="1520" xr3:uid="{A97DFC35-6398-430A-BBD1-6B03D9A7FFC0}" name="Column1493"/>
    <tableColumn id="1521" xr3:uid="{C796D8AB-5394-480C-A7B3-9E5BE481C011}" name="Column1494"/>
    <tableColumn id="1522" xr3:uid="{7D6ED6DC-C3B7-4C72-80C6-3B5A68BC2250}" name="Column1495"/>
    <tableColumn id="1523" xr3:uid="{A8778888-6621-44F0-A4DF-0AA540DDA261}" name="Column1496"/>
    <tableColumn id="1524" xr3:uid="{09056C7B-910D-4C80-A56F-C0AF19011630}" name="Column1497"/>
    <tableColumn id="1525" xr3:uid="{F2248D5A-F946-451B-A5C0-26C7424443B7}" name="Column1498"/>
    <tableColumn id="1526" xr3:uid="{4DFF9AA4-4B5E-4358-B024-6767CE8A7617}" name="Column1499"/>
    <tableColumn id="1527" xr3:uid="{FE1C2AA0-099C-40D4-A376-1E821A81025B}" name="Column1500"/>
    <tableColumn id="1528" xr3:uid="{459EAFC8-498F-4D31-BCD6-B6CCF4908A30}" name="Column1501"/>
    <tableColumn id="1529" xr3:uid="{CAB4BA8D-BBAB-4349-B95E-DF49DFBC7749}" name="Column1502"/>
    <tableColumn id="1530" xr3:uid="{6CF63B82-4B97-4DBD-9E53-79D095487DA4}" name="Column1503"/>
    <tableColumn id="1531" xr3:uid="{A103A58A-9DCD-4D7D-AAFC-2D9E3D295D46}" name="Column1504"/>
    <tableColumn id="1532" xr3:uid="{4EEB4BE8-D337-438D-83AC-9EB079B352A1}" name="Column1505"/>
    <tableColumn id="1533" xr3:uid="{BEE02FF7-495E-4E56-915A-BDC8D4357032}" name="Column1506"/>
    <tableColumn id="1534" xr3:uid="{86F7B90E-F86F-47EC-9143-71244DD79258}" name="Column1507"/>
    <tableColumn id="1535" xr3:uid="{6D9265A5-9D58-47E2-AFD4-2F33009F80F4}" name="Column1508"/>
    <tableColumn id="1536" xr3:uid="{2926A591-C999-41F1-A9C1-75209D3747F9}" name="Column1509"/>
    <tableColumn id="1537" xr3:uid="{CADE252E-13B5-4944-A453-F2A92782305B}" name="Column1510"/>
    <tableColumn id="1538" xr3:uid="{DDF8A6BA-612D-4AE5-9B4C-B3C6E90D8E7D}" name="Column1511"/>
    <tableColumn id="1539" xr3:uid="{90B010EE-2827-489F-9429-B0C716204AA7}" name="Column1512"/>
    <tableColumn id="1540" xr3:uid="{F4CC23C8-4376-4015-87D6-26ED527FC7FF}" name="Column1513"/>
    <tableColumn id="1541" xr3:uid="{B676E871-E2A3-4764-929A-2184464CFA0F}" name="Column1514"/>
    <tableColumn id="1542" xr3:uid="{C39721C4-0A3D-4324-93C3-3D97B9F12600}" name="Column1515"/>
    <tableColumn id="1543" xr3:uid="{C4F727CA-44DD-4798-A950-E35FE16CE2EB}" name="Column1516"/>
    <tableColumn id="1544" xr3:uid="{A2240017-0A75-44B1-99B5-1DF00983D69D}" name="Column1517"/>
    <tableColumn id="1545" xr3:uid="{04D139FD-C1D5-42AD-A23F-3357A0F257FC}" name="Column1518"/>
    <tableColumn id="1546" xr3:uid="{DE93870C-D0C7-4C13-AFBC-7FBDE71D6968}" name="Column1519"/>
    <tableColumn id="1547" xr3:uid="{3042D890-416C-4E88-9509-B8C339CB3E2D}" name="Column1520"/>
    <tableColumn id="1548" xr3:uid="{FA9B7625-1543-440D-8575-CC9ED67F157D}" name="Column1521"/>
    <tableColumn id="1549" xr3:uid="{94BB46D8-AFC9-4A39-86D2-2704A40D100B}" name="Column1522"/>
    <tableColumn id="1550" xr3:uid="{62286DD9-A1A4-4FBF-9563-75934EA73277}" name="Column1523"/>
    <tableColumn id="1551" xr3:uid="{C20E39E3-56B9-454E-8155-8D2FFA5DE0D8}" name="Column1524"/>
    <tableColumn id="1552" xr3:uid="{9389C5F4-62AC-47E4-80C6-89AC8A64F8E9}" name="Column1525"/>
    <tableColumn id="1553" xr3:uid="{8A4A11F2-16C2-4219-8878-FB3BB99B8AFB}" name="Column1526"/>
    <tableColumn id="1554" xr3:uid="{83479298-8B27-49CF-99D8-4A8979DB1870}" name="Column1527"/>
    <tableColumn id="1555" xr3:uid="{94202F83-08D4-47FE-86DC-51FE8A9146B5}" name="Column1528"/>
    <tableColumn id="1556" xr3:uid="{214D6EEF-7922-4D72-9E1A-6402720E6000}" name="Column1529"/>
    <tableColumn id="1557" xr3:uid="{19AA3A7E-6E1C-436F-B520-FB96B93BF484}" name="Column1530"/>
    <tableColumn id="1558" xr3:uid="{2B10446D-DA35-486D-B022-63EFDD0D97D4}" name="Column1531"/>
    <tableColumn id="1559" xr3:uid="{43776266-6A31-4982-9379-C8FFE324B203}" name="Column1532"/>
    <tableColumn id="1560" xr3:uid="{5FF3DE8A-48CF-49A1-A1B2-7EAFDAB87958}" name="Column1533"/>
    <tableColumn id="1561" xr3:uid="{4FAAA049-949B-4AD7-A87C-121570C9E0F9}" name="Column1534"/>
    <tableColumn id="1562" xr3:uid="{C75E5AC5-5C86-4DF4-A80B-B5203E03AE6A}" name="Column1535"/>
    <tableColumn id="1563" xr3:uid="{FECAC07C-F2C9-475A-AA57-646D1856A470}" name="Column1536"/>
    <tableColumn id="1564" xr3:uid="{72063D59-FDEB-4578-8E11-D48FDB2A97E0}" name="Column1537"/>
    <tableColumn id="1565" xr3:uid="{1015EF27-F427-47C8-A02B-014C10C57E2D}" name="Column1538"/>
    <tableColumn id="1566" xr3:uid="{3B36105F-4EDB-4D9F-B708-18D2C33B0C98}" name="Column1539"/>
    <tableColumn id="1567" xr3:uid="{6BD2C95E-0D1E-4A34-84B0-F02686143F16}" name="Column1540"/>
    <tableColumn id="1568" xr3:uid="{182929C3-3B58-49B2-A4C6-3D843F0CE2F5}" name="Column1541"/>
    <tableColumn id="1569" xr3:uid="{7C8A793C-F36D-4F95-9216-7D96DDA88593}" name="Column1542"/>
    <tableColumn id="1570" xr3:uid="{9013924B-A6E3-4255-99B1-56AF38583288}" name="Column1543"/>
    <tableColumn id="1571" xr3:uid="{50AC20B3-492A-489C-8762-115C10722FF9}" name="Column1544"/>
    <tableColumn id="1572" xr3:uid="{A3305763-28EF-42FE-B8E4-704A1A2E3DEA}" name="Column1545"/>
    <tableColumn id="1573" xr3:uid="{6EC87DC6-DDA8-481E-A7BB-9CEF27BC429E}" name="Column1546"/>
    <tableColumn id="1574" xr3:uid="{79EEDCB9-5803-4ED1-B11D-B44113BCD26E}" name="Column1547"/>
    <tableColumn id="1575" xr3:uid="{27CEEB24-7C16-4CAA-8209-947CE8C55CB9}" name="Column1548"/>
    <tableColumn id="1576" xr3:uid="{0F47E5C1-4CE5-494E-A0CA-4205FD325EBA}" name="Column1549"/>
    <tableColumn id="1577" xr3:uid="{B781326A-DEB9-4135-906C-E859961453BD}" name="Column1550"/>
    <tableColumn id="1578" xr3:uid="{439FFB57-2511-4300-9388-474C2A8BF916}" name="Column1551"/>
    <tableColumn id="1579" xr3:uid="{BE211FA2-B4ED-44CD-BAF6-747E50C25A99}" name="Column1552"/>
    <tableColumn id="1580" xr3:uid="{E70DD7A9-4B48-4E7B-B59D-0208C48CF9B4}" name="Column1553"/>
    <tableColumn id="1581" xr3:uid="{E2ED035D-A399-4B6C-B31E-A806EE1884C1}" name="Column1554"/>
    <tableColumn id="1582" xr3:uid="{0AD7A837-3DE7-410B-B316-1CDC24C74A6E}" name="Column1555"/>
    <tableColumn id="1583" xr3:uid="{D29DC02D-50F5-44B4-9654-B46F78A531D9}" name="Column1556"/>
    <tableColumn id="1584" xr3:uid="{DE2AFC64-0280-4114-8433-F71D348C8890}" name="Column1557"/>
    <tableColumn id="1585" xr3:uid="{6100F5C4-5CC5-411D-8E8D-F97D19ECC783}" name="Column1558"/>
    <tableColumn id="1586" xr3:uid="{BCC521F6-62FB-44AC-B9C6-7AA33687C8F6}" name="Column1559"/>
    <tableColumn id="1587" xr3:uid="{98798A46-8794-41B2-8C55-8471408F7A2B}" name="Column1560"/>
    <tableColumn id="1588" xr3:uid="{31C4FEF0-2F7F-4837-8786-CB0206507D6D}" name="Column1561"/>
    <tableColumn id="1589" xr3:uid="{2AC44CD9-9BC0-4DBF-AD93-BEC03AADC802}" name="Column1562"/>
    <tableColumn id="1590" xr3:uid="{866FA556-B147-46EB-BCB3-733EA03FD77D}" name="Column1563"/>
    <tableColumn id="1591" xr3:uid="{73984C5E-A9FE-483D-A632-7C418BCBD822}" name="Column1564"/>
    <tableColumn id="1592" xr3:uid="{7CFFA468-11AE-4372-9397-FBD0481B1925}" name="Column1565"/>
    <tableColumn id="1593" xr3:uid="{7797C2E2-3F28-4C37-B847-FF87C208E62A}" name="Column1566"/>
    <tableColumn id="1594" xr3:uid="{893D9B33-7E83-456B-BAA5-65CB09CFBF07}" name="Column1567"/>
    <tableColumn id="1595" xr3:uid="{09B4E2A1-CD82-47AF-A6AE-7FF4D0758AEA}" name="Column1568"/>
    <tableColumn id="1596" xr3:uid="{2EBBE839-007F-4BCB-B7BC-2709C9079919}" name="Column1569"/>
    <tableColumn id="1597" xr3:uid="{7142DCFF-A207-48FA-8D1C-E465501554E3}" name="Column1570"/>
    <tableColumn id="1598" xr3:uid="{0F10871B-DE2B-4D49-93E1-C9F418254F7A}" name="Column1571"/>
    <tableColumn id="1599" xr3:uid="{D7BFBC5F-0683-4DAD-8552-2A45C316BC32}" name="Column1572"/>
    <tableColumn id="1600" xr3:uid="{ECEA2915-55DF-435A-B0D4-DAE6E54D6831}" name="Column1573"/>
    <tableColumn id="1601" xr3:uid="{11353325-AF9F-49A6-8257-77AE6A6E5F36}" name="Column1574"/>
    <tableColumn id="1602" xr3:uid="{C5385C9B-C56E-40D3-A71E-11685DAC56C4}" name="Column1575"/>
    <tableColumn id="1603" xr3:uid="{B6D6627E-A7A5-4CE3-8138-D5BB46810072}" name="Column1576"/>
    <tableColumn id="1604" xr3:uid="{6D237EA7-C15D-467A-97D7-1888023DB9DB}" name="Column1577"/>
    <tableColumn id="1605" xr3:uid="{5AC6A37F-B460-4101-B822-984D0318C89F}" name="Column1578"/>
    <tableColumn id="1606" xr3:uid="{2CECA471-55E3-4EDF-8AAB-0875DCD7B3E2}" name="Column1579"/>
    <tableColumn id="1607" xr3:uid="{A811C3F9-AB39-4EBC-8F25-FEDFE4F8257D}" name="Column1580"/>
    <tableColumn id="1608" xr3:uid="{CED7419A-A284-44FC-BC14-8E62D6EF27A1}" name="Column1581"/>
    <tableColumn id="1609" xr3:uid="{A9E94937-6800-43B0-8522-E6E221195DD8}" name="Column1582"/>
    <tableColumn id="1610" xr3:uid="{E030D550-92E6-41CF-88E5-5828F7F5F9BE}" name="Column1583"/>
    <tableColumn id="1611" xr3:uid="{EC4EE1E1-AD35-4420-BCCD-CED3CE483C9E}" name="Column1584"/>
    <tableColumn id="1612" xr3:uid="{D8FD53F0-8A72-4E38-A8CE-FDD25B7330FD}" name="Column1585"/>
    <tableColumn id="1613" xr3:uid="{E7E56DC6-CF94-4B7D-A5AC-540B1A5F5FF3}" name="Column1586"/>
    <tableColumn id="1614" xr3:uid="{86A771C3-5065-4491-8A93-FAEB14489D38}" name="Column1587"/>
    <tableColumn id="1615" xr3:uid="{A1EFC840-215B-452C-88B7-4C9274A84CF0}" name="Column1588"/>
    <tableColumn id="1616" xr3:uid="{E5C8E752-0596-4401-9ACE-42DF4CCEEF4F}" name="Column1589"/>
    <tableColumn id="1617" xr3:uid="{63054CA1-D6C7-4525-985C-1B6B905857D0}" name="Column1590"/>
    <tableColumn id="1618" xr3:uid="{AE79E50B-9CD4-46E4-8C4E-010FCD3E3360}" name="Column1591"/>
    <tableColumn id="1619" xr3:uid="{5139AB07-9503-4C55-AC91-2ADD513E39BD}" name="Column1592"/>
    <tableColumn id="1620" xr3:uid="{8F2ABAF7-A897-434D-B9AB-E114841EE683}" name="Column1593"/>
    <tableColumn id="1621" xr3:uid="{8E054297-CE3F-4D22-89E5-97B50ED8C78D}" name="Column1594"/>
    <tableColumn id="1622" xr3:uid="{6BBEA53B-7950-4C8F-BC96-437D9445D7DD}" name="Column1595"/>
    <tableColumn id="1623" xr3:uid="{DFEE4685-7CFD-445E-B253-1D4CAEBEB5E5}" name="Column1596"/>
    <tableColumn id="1624" xr3:uid="{116CDDF1-F6F4-4BF1-A5C4-5741055673E8}" name="Column1597"/>
    <tableColumn id="1625" xr3:uid="{927526B1-49B0-421C-A021-E0AD900F8251}" name="Column1598"/>
    <tableColumn id="1626" xr3:uid="{B161E52E-2310-4115-81D9-DACB458744AC}" name="Column1599"/>
    <tableColumn id="1627" xr3:uid="{D6FE9AEC-3C4E-4E55-A8B4-5A6B261E338A}" name="Column1600"/>
    <tableColumn id="1628" xr3:uid="{C6A976DC-39C2-4D64-B059-36D7F46FC5DF}" name="Column1601"/>
    <tableColumn id="1629" xr3:uid="{DAE92E41-C7BC-47A3-8E93-F3426201B391}" name="Column1602"/>
    <tableColumn id="1630" xr3:uid="{0D55C7C7-1B78-4DBC-9667-982F9C472046}" name="Column1603"/>
    <tableColumn id="1631" xr3:uid="{28F72566-9F88-408E-B674-ED46322A9671}" name="Column1604"/>
    <tableColumn id="1632" xr3:uid="{98117865-FA1C-43FE-873F-FE09BC52EB00}" name="Column1605"/>
    <tableColumn id="1633" xr3:uid="{B607742D-10DF-4E01-8393-4BA13F7F2E4C}" name="Column1606"/>
    <tableColumn id="1634" xr3:uid="{FF0A2611-665C-48E3-A22D-22303F46C42F}" name="Column1607"/>
    <tableColumn id="1635" xr3:uid="{B9D03A08-7580-4042-A28D-C98E33BA252E}" name="Column1608"/>
    <tableColumn id="1636" xr3:uid="{BBA33841-610D-4B25-A3A3-8D52F9B5C9D1}" name="Column1609"/>
    <tableColumn id="1637" xr3:uid="{E6B157C4-6259-4851-8453-4CC99840A26B}" name="Column1610"/>
    <tableColumn id="1638" xr3:uid="{3DDBA96D-D638-4275-A568-9A044DFFB361}" name="Column1611"/>
    <tableColumn id="1639" xr3:uid="{71506D71-9344-4C02-A6E3-5175F56211AF}" name="Column1612"/>
    <tableColumn id="1640" xr3:uid="{6BDF661F-9410-4016-A8A5-11F5C2D8CD30}" name="Column1613"/>
    <tableColumn id="1641" xr3:uid="{B9D5DD63-5AC8-40F2-A906-C84F607DDEDA}" name="Column1614"/>
    <tableColumn id="1642" xr3:uid="{055F6168-3FE6-4288-9264-4886F888F045}" name="Column1615"/>
    <tableColumn id="1643" xr3:uid="{023BD4E3-5A3E-4E71-BF44-690DF5806B22}" name="Column1616"/>
    <tableColumn id="1644" xr3:uid="{42EEDD30-86FD-4750-BB8F-B898B9832352}" name="Column1617"/>
    <tableColumn id="1645" xr3:uid="{7361D372-9DD2-40A7-9941-2AE2F1064032}" name="Column1618"/>
    <tableColumn id="1646" xr3:uid="{659E3D80-2264-4876-87AF-7E622DF12A04}" name="Column1619"/>
    <tableColumn id="1647" xr3:uid="{09490A7D-975E-4A28-A05E-4BD0092898CE}" name="Column1620"/>
    <tableColumn id="1648" xr3:uid="{1E4BC89A-654C-4CD3-AA8D-F928BC710F66}" name="Column1621"/>
    <tableColumn id="1649" xr3:uid="{72E940AB-FECE-4E35-B3AA-7F83F16CFB1A}" name="Column1622"/>
    <tableColumn id="1650" xr3:uid="{937991A4-A3B6-4288-B432-F46DEC938253}" name="Column1623"/>
    <tableColumn id="1651" xr3:uid="{77179D02-B59B-4CC1-9ED8-0896304C041C}" name="Column1624"/>
    <tableColumn id="1652" xr3:uid="{742230B2-A623-426D-BB42-9D1F936E5654}" name="Column1625"/>
    <tableColumn id="1653" xr3:uid="{24F288C6-0F33-4D88-8EAE-273E3FF1F18A}" name="Column1626"/>
    <tableColumn id="1654" xr3:uid="{6DC3E198-83E3-4FC5-AD24-B1CE0AAB4A77}" name="Column1627"/>
    <tableColumn id="1655" xr3:uid="{CEC09D07-987C-402D-8044-5E8337A5AE32}" name="Column1628"/>
    <tableColumn id="1656" xr3:uid="{EA52725B-335C-4C58-848D-2A2DFD807055}" name="Column1629"/>
    <tableColumn id="1657" xr3:uid="{C8FE597A-ED42-49F7-8C36-74EC603CFDB9}" name="Column1630"/>
    <tableColumn id="1658" xr3:uid="{83805511-F74D-4AF7-B313-14CEDDFE94CA}" name="Column1631"/>
    <tableColumn id="1659" xr3:uid="{46254114-9AC3-4273-8F67-6999628A628F}" name="Column1632"/>
    <tableColumn id="1660" xr3:uid="{A7C54315-217F-4320-AF00-D035BAA319EE}" name="Column1633"/>
    <tableColumn id="1661" xr3:uid="{CBD17C7D-D6BD-4061-A32E-9B48F7903AEF}" name="Column1634"/>
    <tableColumn id="1662" xr3:uid="{D80648CD-A95B-4009-AD4D-2AC3BC3FA0AB}" name="Column1635"/>
    <tableColumn id="1663" xr3:uid="{9A81A99E-5C8A-40D1-A8A3-0E816452B3F2}" name="Column1636"/>
    <tableColumn id="1664" xr3:uid="{C0CF8E61-FA18-4483-8110-24C32784C0C3}" name="Column1637"/>
    <tableColumn id="1665" xr3:uid="{DB1EF70A-E16C-4CCE-B715-0B0C1483779F}" name="Column1638"/>
    <tableColumn id="1666" xr3:uid="{3966119D-3526-46A2-8130-B86FEB98212D}" name="Column1639"/>
    <tableColumn id="1667" xr3:uid="{A4508588-3238-46BE-A02A-92EAAD4FC91F}" name="Column1640"/>
    <tableColumn id="1668" xr3:uid="{CB71F3AC-4E7D-4A21-8605-B2FC03488386}" name="Column1641"/>
    <tableColumn id="1669" xr3:uid="{4E39CC9B-7FF3-4DCC-8A7A-81133196839C}" name="Column1642"/>
    <tableColumn id="1670" xr3:uid="{0B09D0D4-FCF5-4FFD-BB3C-8B02BA6851A0}" name="Column1643"/>
    <tableColumn id="1671" xr3:uid="{643D7712-AB77-43B3-93C8-25E47E871761}" name="Column1644"/>
    <tableColumn id="1672" xr3:uid="{AC206936-2288-40EE-AD70-E48915F61801}" name="Column1645"/>
    <tableColumn id="1673" xr3:uid="{38326DC8-B429-4558-BFA7-6826CFE027A0}" name="Column1646"/>
    <tableColumn id="1674" xr3:uid="{F30093E8-4E25-4851-A08D-7A4E8F621D94}" name="Column1647"/>
    <tableColumn id="1675" xr3:uid="{AFA78F3E-91D6-45BD-B791-C3B3D69C264F}" name="Column1648"/>
    <tableColumn id="1676" xr3:uid="{131C2AEA-34CC-4ECF-8551-85189C3B7C0B}" name="Column1649"/>
    <tableColumn id="1677" xr3:uid="{D67C332D-15D7-400F-A588-42B9F9177128}" name="Column1650"/>
    <tableColumn id="1678" xr3:uid="{31CF1D72-DBB1-47AB-8845-5107CF5E7E35}" name="Column1651"/>
    <tableColumn id="1679" xr3:uid="{7177C8D2-37A5-4CE8-A468-34522971FE01}" name="Column1652"/>
    <tableColumn id="1680" xr3:uid="{4AC28AF7-7F42-473E-B93D-7B22DBAD4E00}" name="Column1653"/>
    <tableColumn id="1681" xr3:uid="{E313292F-4127-4052-8D67-BCF1D3678755}" name="Column1654"/>
    <tableColumn id="1682" xr3:uid="{62260B50-60F6-4EAD-94E1-7B6CB5BBED8A}" name="Column1655"/>
    <tableColumn id="1683" xr3:uid="{487E80C5-47E5-4D25-8C65-EB7FD46E9DF0}" name="Column1656"/>
    <tableColumn id="1684" xr3:uid="{E1ACDE42-220E-4BB3-962F-83C13530C43D}" name="Column1657"/>
    <tableColumn id="1685" xr3:uid="{FF869B62-C9DA-4D1A-829A-F114C961CC4E}" name="Column1658"/>
    <tableColumn id="1686" xr3:uid="{E8AAD2B0-52C6-4F28-9075-447ABA8EF636}" name="Column1659"/>
    <tableColumn id="1687" xr3:uid="{4B77A4CF-1653-483B-BC0B-6DCA28890E11}" name="Column1660"/>
    <tableColumn id="1688" xr3:uid="{4E9A7190-B8AF-47C1-AD57-7D0706591A20}" name="Column1661"/>
    <tableColumn id="1689" xr3:uid="{2DC55A71-D0A3-483E-9EAA-721863348A4C}" name="Column1662"/>
    <tableColumn id="1690" xr3:uid="{07176DB0-51D8-4829-82CE-FB6074616882}" name="Column1663"/>
    <tableColumn id="1691" xr3:uid="{F113820A-5791-45C0-801B-009D8B31433F}" name="Column1664"/>
    <tableColumn id="1692" xr3:uid="{B3885F41-C234-4E44-9051-660BB9865139}" name="Column1665"/>
    <tableColumn id="1693" xr3:uid="{E7E50316-6188-46AA-A575-0A47AFF95751}" name="Column1666"/>
    <tableColumn id="1694" xr3:uid="{FFA48C0A-A408-4ABB-8D4B-4D42A7E1A36D}" name="Column1667"/>
    <tableColumn id="1695" xr3:uid="{88E152AE-E1FA-4620-8911-35A70E935C56}" name="Column1668"/>
    <tableColumn id="1696" xr3:uid="{C385AEDD-9381-4C0D-BA33-535659A0F5BD}" name="Column1669"/>
    <tableColumn id="1697" xr3:uid="{C12FFCCA-48F0-4047-B0FE-EF22F0D2F287}" name="Column1670"/>
    <tableColumn id="1698" xr3:uid="{29B969D2-6D78-481F-A7C8-15199D110492}" name="Column1671"/>
    <tableColumn id="1699" xr3:uid="{89C215B3-B851-4761-A762-D40481D2D0FE}" name="Column1672"/>
    <tableColumn id="1700" xr3:uid="{F20A12A3-846D-4D2E-97E2-781CD044221D}" name="Column1673"/>
    <tableColumn id="1701" xr3:uid="{106B82FC-FEA7-445E-AFF3-668C1F6B60AC}" name="Column1674"/>
    <tableColumn id="1702" xr3:uid="{2BAB8792-3E37-4624-A578-1620B40596C2}" name="Column1675"/>
    <tableColumn id="1703" xr3:uid="{6EDC34DE-2947-480C-976C-B64FFAF019F5}" name="Column1676"/>
    <tableColumn id="1704" xr3:uid="{8EA9BB30-37A9-4226-991D-BECA49ACDE61}" name="Column1677"/>
    <tableColumn id="1705" xr3:uid="{1521B2FB-046A-4B38-9253-181E15A7C0B4}" name="Column1678"/>
    <tableColumn id="1706" xr3:uid="{7FA38C7B-B2D7-451A-B782-1AB1408E9610}" name="Column1679"/>
    <tableColumn id="1707" xr3:uid="{BE96CC7A-F2AA-4A8A-8B0A-C46B42FABBB9}" name="Column1680"/>
    <tableColumn id="1708" xr3:uid="{327FE38E-2BC1-4AB1-A87D-6BD21FAA95A4}" name="Column1681"/>
    <tableColumn id="1709" xr3:uid="{11DD799E-5FB9-4F85-9133-A9FDD27308BC}" name="Column1682"/>
    <tableColumn id="1710" xr3:uid="{98DF84BB-9D87-4C12-BE71-CFDEAD341A28}" name="Column1683"/>
    <tableColumn id="1711" xr3:uid="{401083B6-6468-485E-A45B-140F1B96537F}" name="Column1684"/>
    <tableColumn id="1712" xr3:uid="{2F321BE1-DE16-4B77-AF80-D5A59E101BBF}" name="Column1685"/>
    <tableColumn id="1713" xr3:uid="{7A5A1489-788C-483F-A898-6A37760217BD}" name="Column1686"/>
    <tableColumn id="1714" xr3:uid="{BB8DACFF-5D19-49DA-B6D4-97BBD15C0637}" name="Column1687"/>
    <tableColumn id="1715" xr3:uid="{AE56E3B8-83F2-4CEB-8F5B-67EB8E7858CA}" name="Column1688"/>
    <tableColumn id="1716" xr3:uid="{279967B6-941E-426B-9313-919F6541B9B2}" name="Column1689"/>
    <tableColumn id="1717" xr3:uid="{97CB6494-2FBC-45F1-A8A5-AA541B7C8946}" name="Column1690"/>
    <tableColumn id="1718" xr3:uid="{9EEF1F0A-0622-42CD-83DF-D2DAAEBBCD0B}" name="Column1691"/>
    <tableColumn id="1719" xr3:uid="{BFCFB0BB-49A4-49F8-903E-505415B68F11}" name="Column1692"/>
    <tableColumn id="1720" xr3:uid="{C77966C8-B5A6-4DA3-B7CB-61850A528431}" name="Column1693"/>
    <tableColumn id="1721" xr3:uid="{646FACDD-E952-4C24-B622-1EE92C18D2E0}" name="Column1694"/>
    <tableColumn id="1722" xr3:uid="{89E17410-A9AF-491E-93A5-8022D11F0D47}" name="Column1695"/>
    <tableColumn id="1723" xr3:uid="{425CB68E-15B6-46FC-917D-3CDA4664EF16}" name="Column1696"/>
    <tableColumn id="1724" xr3:uid="{4CD999AF-6B70-40A1-894C-1F9312F6D99B}" name="Column1697"/>
    <tableColumn id="1725" xr3:uid="{606CE69E-C0A8-4B9B-B17D-1F2FBF877227}" name="Column1698"/>
    <tableColumn id="1726" xr3:uid="{56641906-193D-43F4-88F2-E0542DBA2ED5}" name="Column1699"/>
    <tableColumn id="1727" xr3:uid="{3A8DC1DD-48EA-471B-B2CB-EB3970AD2D7B}" name="Column1700"/>
    <tableColumn id="1728" xr3:uid="{5CA85BA8-AEB3-4324-9944-5FEBFCD786A7}" name="Column1701"/>
    <tableColumn id="1729" xr3:uid="{2117A31D-5247-4AE0-9421-8B13E63AF28A}" name="Column1702"/>
    <tableColumn id="1730" xr3:uid="{87BF2137-456B-427D-9E67-A71EC31BCD57}" name="Column1703"/>
    <tableColumn id="1731" xr3:uid="{58C7E36F-B8EB-4601-9561-F7C1423DBC0E}" name="Column1704"/>
    <tableColumn id="1732" xr3:uid="{105F802F-58F2-46A1-8F30-C633A341D7C8}" name="Column1705"/>
    <tableColumn id="1733" xr3:uid="{0BB6E2BA-00A3-47FA-87C6-E7A73262FC5B}" name="Column1706"/>
    <tableColumn id="1734" xr3:uid="{DCC79F16-6053-4CA1-9B7F-1D1D15785246}" name="Column1707"/>
    <tableColumn id="1735" xr3:uid="{1EAC08E8-23A9-45D1-BF10-79E2F1BB7205}" name="Column1708"/>
    <tableColumn id="1736" xr3:uid="{94165845-547D-498D-BD1E-2E6A5E24B3B3}" name="Column1709"/>
    <tableColumn id="1737" xr3:uid="{FA9770FC-8DCD-4F5F-ACC4-3E1BFB6B1605}" name="Column1710"/>
    <tableColumn id="1738" xr3:uid="{C27C12DD-33D4-42AB-9BC3-EC1C3A471C1E}" name="Column1711"/>
    <tableColumn id="1739" xr3:uid="{D80435D5-FCEF-473A-9978-1E72393411FE}" name="Column1712"/>
    <tableColumn id="1740" xr3:uid="{636830F4-B0EC-4DC5-B787-59FF142BD374}" name="Column1713"/>
    <tableColumn id="1741" xr3:uid="{8421D4EF-082E-41C4-93FF-AF647150F9B5}" name="Column1714"/>
    <tableColumn id="1742" xr3:uid="{13600615-E0E4-4859-8F26-68DA532598EC}" name="Column1715"/>
    <tableColumn id="1743" xr3:uid="{ACA34022-5EFC-49E7-9409-E4B410EB76E9}" name="Column1716"/>
    <tableColumn id="1744" xr3:uid="{F7760C1C-0717-4EBD-B8F5-BE71E464FDC9}" name="Column1717"/>
    <tableColumn id="1745" xr3:uid="{8AEB8697-A788-4D82-918F-FB7D79C5C12E}" name="Column1718"/>
    <tableColumn id="1746" xr3:uid="{50A0BBFD-4A1E-4B54-A179-8E2602A14F34}" name="Column1719"/>
    <tableColumn id="1747" xr3:uid="{B94ED648-A2DF-40B1-BA20-8475C99B268F}" name="Column1720"/>
    <tableColumn id="1748" xr3:uid="{DD556342-5C3D-47F8-BC77-25F40C899963}" name="Column1721"/>
    <tableColumn id="1749" xr3:uid="{BF96858D-083C-40D2-A181-E7B7C6B9976C}" name="Column1722"/>
    <tableColumn id="1750" xr3:uid="{DA5FBF75-29D4-40B3-9F78-F145BD3358A7}" name="Column1723"/>
    <tableColumn id="1751" xr3:uid="{723F4D76-6E42-4C51-90CB-FD3BBEE46632}" name="Column1724"/>
    <tableColumn id="1752" xr3:uid="{4152770C-2ED7-4370-A595-306A57D60F76}" name="Column1725"/>
    <tableColumn id="1753" xr3:uid="{A13E59D8-4AE2-4019-9D82-6A05F1CC2D08}" name="Column1726"/>
    <tableColumn id="1754" xr3:uid="{B2AB1DC7-EB77-41DB-A265-E452DD058E21}" name="Column1727"/>
    <tableColumn id="1755" xr3:uid="{666CC37B-2167-4BA8-9BDB-0444F22D6478}" name="Column1728"/>
    <tableColumn id="1756" xr3:uid="{E6475BC6-3458-4E1E-A7B3-7F93D5EF04BF}" name="Column1729"/>
    <tableColumn id="1757" xr3:uid="{01116FAF-869E-417B-9325-F977AADD8F40}" name="Column1730"/>
    <tableColumn id="1758" xr3:uid="{9B43462F-8A66-4098-96C4-D55FF06F334E}" name="Column1731"/>
    <tableColumn id="1759" xr3:uid="{5D1417D8-8718-4FF2-A867-AA93AE4C8777}" name="Column1732"/>
    <tableColumn id="1760" xr3:uid="{C0F9F320-B998-4CCD-BB36-B8302E2B2BEA}" name="Column1733"/>
    <tableColumn id="1761" xr3:uid="{410C3409-E352-4614-A2BC-CC4AECC15804}" name="Column1734"/>
    <tableColumn id="1762" xr3:uid="{D7234812-1C17-4798-8AF8-96B71E12CA61}" name="Column1735"/>
    <tableColumn id="1763" xr3:uid="{F9434787-B7EE-4932-95B6-05231DDFBCF8}" name="Column1736"/>
    <tableColumn id="1764" xr3:uid="{BE035D91-7665-4612-9663-2E43AC2A18CB}" name="Column1737"/>
    <tableColumn id="1765" xr3:uid="{B0984431-C4C0-410E-B7B1-02CC66C97C08}" name="Column1738"/>
    <tableColumn id="1766" xr3:uid="{608D0A2F-2477-4B44-96D8-D9536AC678A4}" name="Column1739"/>
    <tableColumn id="1767" xr3:uid="{92D46CE5-8B89-4D1D-8DED-5E5BFA8B0F8E}" name="Column1740"/>
    <tableColumn id="1768" xr3:uid="{3F9D6845-466A-404E-BC49-635BFD89DD0F}" name="Column1741"/>
    <tableColumn id="1769" xr3:uid="{45A8CE01-C2F0-40B5-ACBA-6D46D6B59F73}" name="Column1742"/>
    <tableColumn id="1770" xr3:uid="{34B9C906-F50C-42D6-86E6-6496A922CC58}" name="Column1743"/>
    <tableColumn id="1771" xr3:uid="{9BEA217A-D835-4B69-A991-E92352E2C8AA}" name="Column1744"/>
    <tableColumn id="1772" xr3:uid="{FCADD35E-0AA9-4E34-8283-B5B5DC2F3C07}" name="Column1745"/>
    <tableColumn id="1773" xr3:uid="{8CA50253-8129-4746-89DA-854F60F1CB8C}" name="Column1746"/>
    <tableColumn id="1774" xr3:uid="{EE90B902-3087-45C6-A30D-7E00BBCC7E04}" name="Column1747"/>
    <tableColumn id="1775" xr3:uid="{8FEB8C68-5B5E-4B34-A243-8BA853042891}" name="Column1748"/>
    <tableColumn id="1776" xr3:uid="{9193238B-4A52-4413-B734-FD844CDB2506}" name="Column1749"/>
    <tableColumn id="1777" xr3:uid="{72D9DB4C-0FDB-4E8B-B375-7CB1F9D06326}" name="Column1750"/>
    <tableColumn id="1778" xr3:uid="{071DC042-EFC7-4C13-A8C3-48BAC5E3F777}" name="Column1751"/>
    <tableColumn id="1779" xr3:uid="{DFB729AD-DD7D-42B4-9F4D-EE4164C2120B}" name="Column1752"/>
    <tableColumn id="1780" xr3:uid="{5BA624CE-3AB0-4BDA-A466-B71E36C9BB20}" name="Column1753"/>
    <tableColumn id="1781" xr3:uid="{0CAD5825-8562-4AE3-826E-AE8B1B92A648}" name="Column1754"/>
    <tableColumn id="1782" xr3:uid="{A3B67BA3-9993-44D3-AE10-BA8FB16779AF}" name="Column1755"/>
    <tableColumn id="1783" xr3:uid="{9689EFFC-447E-4031-B47D-83A937B2BDB4}" name="Column1756"/>
    <tableColumn id="1784" xr3:uid="{06D5AEB1-8000-4BD7-8F6F-AC087C72940D}" name="Column1757"/>
    <tableColumn id="1785" xr3:uid="{FF05304E-B231-4BEA-82DC-51149399E959}" name="Column1758"/>
    <tableColumn id="1786" xr3:uid="{BD1872D7-F5EE-47F6-A6FD-64EF28D60969}" name="Column1759"/>
    <tableColumn id="1787" xr3:uid="{D95EBDE8-F2A4-4938-8431-9EF4E8D3351A}" name="Column1760"/>
    <tableColumn id="1788" xr3:uid="{D09B7BCC-A867-462C-A6DE-9F1DA4977F1A}" name="Column1761"/>
    <tableColumn id="1789" xr3:uid="{8FACF010-01B8-46F5-9742-CD2DC49817D9}" name="Column1762"/>
    <tableColumn id="1790" xr3:uid="{5ABCC484-BCC0-44D7-932E-630B2AD32625}" name="Column1763"/>
    <tableColumn id="1791" xr3:uid="{40312E6F-4FA2-40DC-9786-904959BC44A0}" name="Column1764"/>
    <tableColumn id="1792" xr3:uid="{238AE51F-D0E8-4893-B008-590CE3C5ED7D}" name="Column1765"/>
    <tableColumn id="1793" xr3:uid="{5E368194-7400-460F-879A-39AE8CFD8929}" name="Column1766"/>
    <tableColumn id="1794" xr3:uid="{C5727485-B4C3-4ABC-B8CA-55028A98A031}" name="Column1767"/>
    <tableColumn id="1795" xr3:uid="{67011E1F-E84B-431B-A9AF-5CA28C67E438}" name="Column1768"/>
    <tableColumn id="1796" xr3:uid="{AED488C5-5C05-4FEF-A412-E55339496809}" name="Column1769"/>
    <tableColumn id="1797" xr3:uid="{EF42214D-A79F-4B2F-9CCE-C8DA75BF46F3}" name="Column1770"/>
    <tableColumn id="1798" xr3:uid="{1C10BF31-306C-403D-909C-2DB0DFBEA456}" name="Column1771"/>
    <tableColumn id="1799" xr3:uid="{FD60D522-1FA9-44AD-B408-A5484F1E5953}" name="Column1772"/>
    <tableColumn id="1800" xr3:uid="{6E73BCC7-7F89-4034-882A-6505A26B2E52}" name="Column1773"/>
    <tableColumn id="1801" xr3:uid="{3FD8F045-5470-4F5B-96C3-B280C66D51DF}" name="Column1774"/>
    <tableColumn id="1802" xr3:uid="{597DA92A-F0F1-4A5C-A571-55CDB41CA23C}" name="Column1775"/>
    <tableColumn id="1803" xr3:uid="{F2E7C787-F58C-4B87-880B-4467BA8CF1E5}" name="Column1776"/>
    <tableColumn id="1804" xr3:uid="{DF551A23-39E0-466F-B7DC-AA6CDDBB1D10}" name="Column1777"/>
    <tableColumn id="1805" xr3:uid="{639B9DD1-CBFF-4031-BCFB-DA13EDB57914}" name="Column1778"/>
    <tableColumn id="1806" xr3:uid="{6D8DE51C-46EC-48B0-8361-7A0121734165}" name="Column1779"/>
    <tableColumn id="1807" xr3:uid="{670C3012-BD63-4BFE-B771-4902D4C490F3}" name="Column1780"/>
    <tableColumn id="1808" xr3:uid="{17D50A18-BBCF-43B7-9652-3EA4C57900EE}" name="Column1781"/>
    <tableColumn id="1809" xr3:uid="{3AA0DD29-ADA3-4477-97E2-5D2ACD14F7E7}" name="Column1782"/>
    <tableColumn id="1810" xr3:uid="{7A6145FD-729E-46B4-BD0D-97768436270C}" name="Column1783"/>
    <tableColumn id="1811" xr3:uid="{12B6BD5C-309E-4073-B7B3-EE44939EA34C}" name="Column1784"/>
    <tableColumn id="1812" xr3:uid="{0C82F132-C940-48FC-81EB-359A4DD35D41}" name="Column1785"/>
    <tableColumn id="1813" xr3:uid="{6D5B4BCB-31BE-43A9-BE58-28F054271A48}" name="Column1786"/>
    <tableColumn id="1814" xr3:uid="{BA2C2802-4C90-47A1-A33F-B49311033072}" name="Column1787"/>
    <tableColumn id="1815" xr3:uid="{1E266BDB-4CF1-4CEC-89AF-9617AAFE4162}" name="Column1788"/>
    <tableColumn id="1816" xr3:uid="{56F61919-228A-4781-B679-E3850BAB735C}" name="Column1789"/>
    <tableColumn id="1817" xr3:uid="{FBEEAFF8-1996-493A-A2AE-D6151AA473AB}" name="Column1790"/>
    <tableColumn id="1818" xr3:uid="{6A03788E-FBF3-4A58-898C-515C015A98F3}" name="Column1791"/>
    <tableColumn id="1819" xr3:uid="{DCCA43C9-1507-47B7-BC73-A6491C4EEF94}" name="Column1792"/>
    <tableColumn id="1820" xr3:uid="{EFCDEC13-9CB2-4460-B129-58930EDF042D}" name="Column1793"/>
    <tableColumn id="1821" xr3:uid="{4ABCE9F8-A5AB-4F2E-B682-A34D93728417}" name="Column1794"/>
    <tableColumn id="1822" xr3:uid="{68A6B158-266A-495E-ABD1-EDA62E620FCE}" name="Column1795"/>
    <tableColumn id="1823" xr3:uid="{0E4CDB48-38A6-4075-B800-108789290F24}" name="Column1796"/>
    <tableColumn id="1824" xr3:uid="{9FCB110E-8FB4-418D-99BD-B3DE68D79707}" name="Column1797"/>
    <tableColumn id="1825" xr3:uid="{16416D13-4A9E-4A0C-8828-62F5796A9EC8}" name="Column1798"/>
    <tableColumn id="1826" xr3:uid="{CAB47299-68E0-48C7-86FF-E44B23B02098}" name="Column1799"/>
    <tableColumn id="1827" xr3:uid="{4A84EB90-DEB2-4EDC-9D3F-2FEBF76D8E9B}" name="Column1800"/>
    <tableColumn id="1828" xr3:uid="{2B2039CC-74D7-4813-B1FB-E263E03F37C5}" name="Column1801"/>
    <tableColumn id="1829" xr3:uid="{2A4D98B1-5EFB-425A-8CC9-BDEFF59FC0DE}" name="Column1802"/>
    <tableColumn id="1830" xr3:uid="{4F935AFE-360C-473F-B276-A44BA3429D21}" name="Column1803"/>
    <tableColumn id="1831" xr3:uid="{F4A6B025-4757-4DA8-B2FB-E11588868C89}" name="Column1804"/>
    <tableColumn id="1832" xr3:uid="{46FE627F-911C-4F56-99BD-80F5859C30C9}" name="Column1805"/>
    <tableColumn id="1833" xr3:uid="{EFE7B296-ED1D-48C3-8795-1DA962D0B3B5}" name="Column1806"/>
    <tableColumn id="1834" xr3:uid="{6E9033F0-4CD7-444A-B4C0-21B941715B2A}" name="Column1807"/>
    <tableColumn id="1835" xr3:uid="{F47A32F1-9C9C-4545-B9E2-D85F8B8D8FA2}" name="Column1808"/>
    <tableColumn id="1836" xr3:uid="{26DE7295-9546-44D9-BD70-35348D689D67}" name="Column1809"/>
    <tableColumn id="1837" xr3:uid="{25E5B454-4E60-40CE-BAA9-CA02FAC9A36C}" name="Column1810"/>
    <tableColumn id="1838" xr3:uid="{EA039563-549E-4386-B899-A14B8762FC97}" name="Column1811"/>
    <tableColumn id="1839" xr3:uid="{546EB81D-0B9E-49CA-A0DB-8B55854BF623}" name="Column1812"/>
    <tableColumn id="1840" xr3:uid="{6ADDF5A8-AC87-4DA8-B1A8-E1C17EFE65D8}" name="Column1813"/>
    <tableColumn id="1841" xr3:uid="{722E2BCD-AF4A-4A88-B5B4-EA97D0B412ED}" name="Column1814"/>
    <tableColumn id="1842" xr3:uid="{3F4347C2-08CF-471E-97E9-A78EEE0AEA9D}" name="Column1815"/>
    <tableColumn id="1843" xr3:uid="{E73A801D-47B2-49BD-930E-F7358E4AC472}" name="Column1816"/>
    <tableColumn id="1844" xr3:uid="{0F14C0C2-C964-40F7-B05F-FA517EFD32F7}" name="Column1817"/>
    <tableColumn id="1845" xr3:uid="{63657995-4877-477D-8661-E9824E52CFF5}" name="Column1818"/>
    <tableColumn id="1846" xr3:uid="{3C8FBF9D-6FD5-4CC6-AE4A-63AECACAC0D3}" name="Column1819"/>
    <tableColumn id="1847" xr3:uid="{15CA3321-E6A5-480E-95DB-A888824589AC}" name="Column1820"/>
    <tableColumn id="1848" xr3:uid="{2780BFF1-A848-486C-B5F8-2AD37D0D1B8C}" name="Column1821"/>
    <tableColumn id="1849" xr3:uid="{F8FBE18F-9CBD-43D1-9708-8DE2CF14B5C9}" name="Column1822"/>
    <tableColumn id="1850" xr3:uid="{6DC74812-351F-416B-B650-BAF2E406BC39}" name="Column1823"/>
    <tableColumn id="1851" xr3:uid="{09CF9BE5-B931-478B-B8CB-BCA7BC14E17C}" name="Column1824"/>
    <tableColumn id="1852" xr3:uid="{EF034411-F686-47C3-A16B-EB2757405100}" name="Column1825"/>
    <tableColumn id="1853" xr3:uid="{8C0B982C-4CC5-4CC1-9486-6CCC7947DB74}" name="Column1826"/>
    <tableColumn id="1854" xr3:uid="{95E87628-C3B5-4F97-8BD2-4C07026B11DD}" name="Column1827"/>
    <tableColumn id="1855" xr3:uid="{DCB646EE-F2B4-4618-BC74-1F5CDBDA9E70}" name="Column1828"/>
    <tableColumn id="1856" xr3:uid="{8000645A-45FA-490B-97E0-160AA9D9C7E1}" name="Column1829"/>
    <tableColumn id="1857" xr3:uid="{AEA1B210-8E53-460C-ADB1-17977610B910}" name="Column1830"/>
    <tableColumn id="1858" xr3:uid="{3B10EE5D-7932-4490-ABE0-FEDE17AB579D}" name="Column1831"/>
    <tableColumn id="1859" xr3:uid="{68B7D77D-C0D2-4977-B128-D0FF06608AD4}" name="Column1832"/>
    <tableColumn id="1860" xr3:uid="{06C65B36-34FF-405E-85C7-DCD56312CCAE}" name="Column1833"/>
    <tableColumn id="1861" xr3:uid="{70A6CEB2-F305-416C-8A21-E09FB604D8A7}" name="Column1834"/>
    <tableColumn id="1862" xr3:uid="{CA2F8C56-4D95-49BE-82DF-6365B320F691}" name="Column1835"/>
    <tableColumn id="1863" xr3:uid="{53C2613C-7897-4D33-A153-8AD0D1E76A23}" name="Column1836"/>
    <tableColumn id="1864" xr3:uid="{3B75FFB3-F54A-4969-B5B3-DADD32087F4D}" name="Column1837"/>
    <tableColumn id="1865" xr3:uid="{4F0318ED-68DE-49E5-85DF-99CCBC2C1BF8}" name="Column1838"/>
    <tableColumn id="1866" xr3:uid="{C498BEFB-47D8-4EF7-9C64-18830DB9B3AF}" name="Column1839"/>
    <tableColumn id="1867" xr3:uid="{367301C4-5532-43E5-830E-063BFA934BED}" name="Column1840"/>
    <tableColumn id="1868" xr3:uid="{AD6677C6-EAFD-4696-A38B-A5B217B7F9B1}" name="Column1841"/>
    <tableColumn id="1869" xr3:uid="{791827ED-CCFC-4FC7-98E8-F57B139CDC6A}" name="Column1842"/>
    <tableColumn id="1870" xr3:uid="{0E7D4872-8D74-49CE-83B8-14DD8C1B6C8E}" name="Column1843"/>
    <tableColumn id="1871" xr3:uid="{70686EFB-388D-4424-85B9-3A190152C39D}" name="Column1844"/>
    <tableColumn id="1872" xr3:uid="{B7AD5D32-E653-4167-B10C-E66334DF1C96}" name="Column1845"/>
    <tableColumn id="1873" xr3:uid="{B3349044-F726-4F84-BA41-409037D722CF}" name="Column1846"/>
    <tableColumn id="1874" xr3:uid="{00A01F97-D08B-40C0-8F81-C18B20C11AE8}" name="Column1847"/>
    <tableColumn id="1875" xr3:uid="{0F13EC7C-FF41-4B24-B14C-9328EC17C6D4}" name="Column1848"/>
    <tableColumn id="1876" xr3:uid="{26919A0E-CAEF-4032-86EC-BB40C66B1860}" name="Column1849"/>
    <tableColumn id="1877" xr3:uid="{20346851-645E-4BA5-98BA-98060FED70C6}" name="Column1850"/>
    <tableColumn id="1878" xr3:uid="{62D51F41-E65E-4D17-8FB6-52FEA592C046}" name="Column1851"/>
    <tableColumn id="1879" xr3:uid="{7C1C69B0-3D7A-4E3C-845B-F0CBCF418F31}" name="Column1852"/>
    <tableColumn id="1880" xr3:uid="{6DC3E517-7AD9-49D6-94E8-09E41D0B069B}" name="Column1853"/>
    <tableColumn id="1881" xr3:uid="{CAD44FD2-1A79-40BA-8864-82C882330B7A}" name="Column1854"/>
    <tableColumn id="1882" xr3:uid="{79312B77-DE85-486E-865A-B882A584AC30}" name="Column1855"/>
    <tableColumn id="1883" xr3:uid="{C0A59AA4-E20C-423C-8F55-D8C53BC63876}" name="Column1856"/>
    <tableColumn id="1884" xr3:uid="{5EBEF21C-2E1F-4696-893E-B9394B421C46}" name="Column1857"/>
    <tableColumn id="1885" xr3:uid="{CA4E0156-DE11-447A-83FB-A48029E1A8E7}" name="Column1858"/>
    <tableColumn id="1886" xr3:uid="{A76759BB-462D-48F9-AE53-6BD40B549365}" name="Column1859"/>
    <tableColumn id="1887" xr3:uid="{6E377EB2-AE2A-4026-ABE5-46D95BF7C013}" name="Column1860"/>
    <tableColumn id="1888" xr3:uid="{CE401BC3-3003-420E-8088-36F60ED1D21D}" name="Column1861"/>
    <tableColumn id="1889" xr3:uid="{EFBB80E5-FADC-4BB7-8805-622F179BEF89}" name="Column1862"/>
    <tableColumn id="1890" xr3:uid="{E1CF1C53-10D5-478E-A685-33A282949FA8}" name="Column1863"/>
    <tableColumn id="1891" xr3:uid="{3695BC76-4A94-41DA-9AC4-663521302151}" name="Column1864"/>
    <tableColumn id="1892" xr3:uid="{9FF3BD21-C93E-49CF-A76A-158AE3CD055C}" name="Column1865"/>
    <tableColumn id="1893" xr3:uid="{DCA6E8AC-5CBA-4EE8-A3A8-AEF083CE85B5}" name="Column1866"/>
    <tableColumn id="1894" xr3:uid="{1AB16B85-9ACC-498F-9C32-8128B8DB7D7F}" name="Column1867"/>
    <tableColumn id="1895" xr3:uid="{E5DE28D1-EC3D-4741-AF9B-CB574DEF5321}" name="Column1868"/>
    <tableColumn id="1896" xr3:uid="{C0DEEC74-47DB-44D9-A65B-AD6902499007}" name="Column1869"/>
    <tableColumn id="1897" xr3:uid="{ED5A4CAB-0A99-4715-8E9A-07789904CAB1}" name="Column1870"/>
    <tableColumn id="1898" xr3:uid="{D5C2D792-AB68-4F20-8A57-FFC3338D5B17}" name="Column1871"/>
    <tableColumn id="1899" xr3:uid="{7649469B-F62D-4688-A81D-159B11B7E07D}" name="Column1872"/>
    <tableColumn id="1900" xr3:uid="{38581BBA-A800-47A4-B592-1F0BED0FB47B}" name="Column1873"/>
    <tableColumn id="1901" xr3:uid="{1DCE5A1F-BA8A-4E69-A277-71E88052C583}" name="Column1874"/>
    <tableColumn id="1902" xr3:uid="{6CC30A87-E015-498C-AE55-7E9F7BF45356}" name="Column1875"/>
    <tableColumn id="1903" xr3:uid="{8E1609AD-19BD-45AC-BC70-D7508A674F4E}" name="Column1876"/>
    <tableColumn id="1904" xr3:uid="{4E4D426B-2894-4387-BB15-67E3D8D8D611}" name="Column1877"/>
    <tableColumn id="1905" xr3:uid="{0215C170-7ABC-4936-9383-A52EA2998C70}" name="Column1878"/>
    <tableColumn id="1906" xr3:uid="{B56755F6-7A72-4E6E-A435-9BF0891AD059}" name="Column1879"/>
    <tableColumn id="1907" xr3:uid="{4622EED5-F905-4406-8DB0-1DC3624C3BDE}" name="Column1880"/>
    <tableColumn id="1908" xr3:uid="{96752737-8C1D-4B38-AFC1-46664690C69C}" name="Column1881"/>
    <tableColumn id="1909" xr3:uid="{5D8A36B3-49D6-418C-8735-6468428072D3}" name="Column1882"/>
    <tableColumn id="1910" xr3:uid="{13906DEA-F505-44D4-9A27-F4A68893BB07}" name="Column1883"/>
    <tableColumn id="1911" xr3:uid="{01BA2041-F3AE-4CFB-9696-D49F30CD7E0F}" name="Column1884"/>
    <tableColumn id="1912" xr3:uid="{F8EA4089-D38C-4292-831F-BE6B60692834}" name="Column1885"/>
    <tableColumn id="1913" xr3:uid="{0C794A73-7836-43BB-AB64-53A1DC1508EC}" name="Column1886"/>
    <tableColumn id="1914" xr3:uid="{7E957E7B-DF6B-49EC-8944-D5DC7387A8B0}" name="Column1887"/>
    <tableColumn id="1915" xr3:uid="{F9E777C4-DFB7-41B3-80E1-E0CC464D6DD3}" name="Column1888"/>
    <tableColumn id="1916" xr3:uid="{64B3A3F9-5617-4EC1-9D46-948ED9358267}" name="Column1889"/>
    <tableColumn id="1917" xr3:uid="{5436E733-F277-4891-BBA1-774135B00D8E}" name="Column1890"/>
    <tableColumn id="1918" xr3:uid="{294C8E27-8C32-490E-85BC-1A6D59776F0D}" name="Column1891"/>
    <tableColumn id="1919" xr3:uid="{B2B7CA06-C533-419C-8337-34AF1959ED24}" name="Column1892"/>
    <tableColumn id="1920" xr3:uid="{C965A533-C9A0-403F-8D75-27FB7CEA30CC}" name="Column1893"/>
    <tableColumn id="1921" xr3:uid="{FA625D0A-8E15-4FDC-9BD1-F80209A2872F}" name="Column1894"/>
    <tableColumn id="1922" xr3:uid="{038EFCDE-33BB-4E54-A026-06E27D275F62}" name="Column1895"/>
    <tableColumn id="1923" xr3:uid="{E203801D-F8B3-40D5-9AD0-9FB4F50270B9}" name="Column1896"/>
    <tableColumn id="1924" xr3:uid="{FD4B7BF4-3291-43E0-B8AE-CDD2E4B648CC}" name="Column1897"/>
    <tableColumn id="1925" xr3:uid="{9BC08C69-BCA6-4D89-87B8-5B44898D2D15}" name="Column1898"/>
    <tableColumn id="1926" xr3:uid="{3E4CB249-6B73-4B45-9C1E-8F5C4AC0E422}" name="Column1899"/>
    <tableColumn id="1927" xr3:uid="{8732D981-37B7-425D-8671-2BF2324DDC43}" name="Column1900"/>
    <tableColumn id="1928" xr3:uid="{9C8356D8-F2A2-46C3-BBF7-3D8148D720E9}" name="Column1901"/>
    <tableColumn id="1929" xr3:uid="{5CEA1B2C-2D00-46CD-80EE-79F6FC0B2D2A}" name="Column1902"/>
    <tableColumn id="1930" xr3:uid="{7B2EAE4E-9901-4BB4-A3F3-DFBB95A1C1BB}" name="Column1903"/>
    <tableColumn id="1931" xr3:uid="{5A39681D-0EFD-424C-BBB5-958BCF28D033}" name="Column1904"/>
    <tableColumn id="1932" xr3:uid="{49400C2F-DC54-4998-AEF8-747864397A02}" name="Column1905"/>
    <tableColumn id="1933" xr3:uid="{021C7D93-0620-4E9A-9E9E-A86F1C843FB9}" name="Column1906"/>
    <tableColumn id="1934" xr3:uid="{0E073D12-A288-4096-90F4-CD47AEA60040}" name="Column1907"/>
    <tableColumn id="1935" xr3:uid="{A4A42730-7E13-4B0F-A9D6-DC765E5BF15E}" name="Column1908"/>
    <tableColumn id="1936" xr3:uid="{9A2C20B2-B1C1-47CB-934A-EFF422485EFC}" name="Column1909"/>
    <tableColumn id="1937" xr3:uid="{49F9F20C-DC1B-4769-8D83-0719AF7E7920}" name="Column1910"/>
    <tableColumn id="1938" xr3:uid="{3B85077E-136C-43FC-8D4E-84D9FFF34B3C}" name="Column1911"/>
    <tableColumn id="1939" xr3:uid="{FA9DEDA3-5E1B-43BC-8903-F532BB199EEE}" name="Column1912"/>
    <tableColumn id="1940" xr3:uid="{B226AC20-69F8-4CDE-8BE3-CE49F9E2FFD0}" name="Column1913"/>
    <tableColumn id="1941" xr3:uid="{0C8EE142-0148-408C-B5FD-C515A9B9F826}" name="Column1914"/>
    <tableColumn id="1942" xr3:uid="{A3642E15-A349-4BFC-9637-8C9542AA7F23}" name="Column1915"/>
    <tableColumn id="1943" xr3:uid="{DDAC4E36-4DB8-4AA0-84DD-600671245ED6}" name="Column1916"/>
    <tableColumn id="1944" xr3:uid="{D2A39016-F9D3-4033-8744-521625A2E4B0}" name="Column1917"/>
    <tableColumn id="1945" xr3:uid="{185C9B28-DD72-4FA4-9E83-769F66685D04}" name="Column1918"/>
    <tableColumn id="1946" xr3:uid="{4848ABEC-54D6-4E16-9BC2-FB04B1933430}" name="Column1919"/>
    <tableColumn id="1947" xr3:uid="{39B8A1C2-DE1F-43F0-B50C-FD8D3521EA59}" name="Column1920"/>
    <tableColumn id="1948" xr3:uid="{DED1903E-4B91-4C96-AF15-4FCBE66B2C82}" name="Column1921"/>
    <tableColumn id="1949" xr3:uid="{07C69DC3-1FF1-491A-8731-6F0D2B4533A9}" name="Column1922"/>
    <tableColumn id="1950" xr3:uid="{BB3F09BC-E8B9-4FCF-A091-348ACA14D6CD}" name="Column1923"/>
    <tableColumn id="1951" xr3:uid="{F61794B7-DE27-49C2-BDE2-F8A596D41F33}" name="Column1924"/>
    <tableColumn id="1952" xr3:uid="{34E95E56-2DCC-4A1B-AC40-1604D945B7E9}" name="Column1925"/>
    <tableColumn id="1953" xr3:uid="{2C6165D3-B4EA-4330-960A-5ADD1F95D0F6}" name="Column1926"/>
    <tableColumn id="1954" xr3:uid="{BBA90C77-75C0-49CD-848D-96D470E87E21}" name="Column1927"/>
    <tableColumn id="1955" xr3:uid="{560197DB-1E1B-4BA5-9A05-4C861FC1A17A}" name="Column1928"/>
    <tableColumn id="1956" xr3:uid="{123EDA1C-BB10-4CEA-82A7-15E731B689DF}" name="Column1929"/>
    <tableColumn id="1957" xr3:uid="{5D2842DE-D5CA-4B06-8656-13087F7B872C}" name="Column1930"/>
    <tableColumn id="1958" xr3:uid="{5243107B-9E4A-46D6-B678-1A32F6606A25}" name="Column1931"/>
    <tableColumn id="1959" xr3:uid="{B7DA6801-E7F4-4608-84B1-1698312FB9D9}" name="Column1932"/>
    <tableColumn id="1960" xr3:uid="{FAC779EC-7416-4355-9A91-0014C107A6BD}" name="Column1933"/>
    <tableColumn id="1961" xr3:uid="{D5BCB96E-A581-46DF-BAE8-5F9DE7177341}" name="Column1934"/>
    <tableColumn id="1962" xr3:uid="{D6F051D7-3C2E-4701-A217-1B40667D92B8}" name="Column1935"/>
    <tableColumn id="1963" xr3:uid="{B690988E-44A5-47AC-B2C7-AD69C4A7ACB9}" name="Column1936"/>
    <tableColumn id="1964" xr3:uid="{02E19ED8-97C6-4D28-B8DD-96DFA9FA4F81}" name="Column1937"/>
    <tableColumn id="1965" xr3:uid="{6ACE2F85-B694-456D-99CE-AD6CC62FE23C}" name="Column1938"/>
    <tableColumn id="1966" xr3:uid="{CF49EA42-CFDA-431C-B8D2-AB96E9CD3ACF}" name="Column1939"/>
    <tableColumn id="1967" xr3:uid="{9E3DAC11-4B81-482A-9942-490CBA7EAE6F}" name="Column1940"/>
    <tableColumn id="1968" xr3:uid="{5C62C90C-9800-414C-8907-83C1F9EA8EE9}" name="Column1941"/>
    <tableColumn id="1969" xr3:uid="{895DBA0F-60E6-4401-9DB5-B386CBF13FB8}" name="Column1942"/>
    <tableColumn id="1970" xr3:uid="{8803A060-3861-4C22-9BF2-D301323CA73C}" name="Column1943"/>
    <tableColumn id="1971" xr3:uid="{DEEDAD70-B37B-41AC-BABA-EFBE5924F0AA}" name="Column1944"/>
    <tableColumn id="1972" xr3:uid="{68FBDC60-52DB-45FF-9900-5F7F0A8E8338}" name="Column1945"/>
    <tableColumn id="1973" xr3:uid="{BEFFFDA5-7C78-4045-97D0-D272F9583D4D}" name="Column1946"/>
    <tableColumn id="1974" xr3:uid="{3F093C36-20F8-417C-9C0F-75AD7364D196}" name="Column1947"/>
    <tableColumn id="1975" xr3:uid="{409FB373-ABEC-4187-ACDF-08734B383CE5}" name="Column1948"/>
    <tableColumn id="1976" xr3:uid="{3983A6EB-29C3-408A-8E6A-F1D0973BEEA8}" name="Column1949"/>
    <tableColumn id="1977" xr3:uid="{53997D87-C99E-4F6C-A21D-36F6E73B2505}" name="Column1950"/>
    <tableColumn id="1978" xr3:uid="{402A0D00-85D6-4A72-B35F-44CDEECF2421}" name="Column1951"/>
    <tableColumn id="1979" xr3:uid="{D3B065FB-E13D-47CE-BE09-F23C45C51637}" name="Column1952"/>
    <tableColumn id="1980" xr3:uid="{78982B9C-AB2C-4559-969C-6794F20775ED}" name="Column1953"/>
    <tableColumn id="1981" xr3:uid="{E634608D-F9B6-4E79-80A9-94E62CA788DC}" name="Column1954"/>
    <tableColumn id="1982" xr3:uid="{C28D771D-8E4A-4794-A6E8-20D28975326F}" name="Column1955"/>
    <tableColumn id="1983" xr3:uid="{7234572E-7648-4DAC-B72F-8D42BE870826}" name="Column1956"/>
    <tableColumn id="1984" xr3:uid="{5B3A3A51-76E5-4085-949C-3E363EBA1D8D}" name="Column1957"/>
    <tableColumn id="1985" xr3:uid="{CCC273FD-0E6F-45B4-BC22-FC8D9A0C41BA}" name="Column1958"/>
    <tableColumn id="1986" xr3:uid="{21D9E1FD-EE12-4151-B4A4-B894EE8973C8}" name="Column1959"/>
    <tableColumn id="1987" xr3:uid="{ADAC49DD-6836-4678-B7BF-70CE1762FBFC}" name="Column1960"/>
    <tableColumn id="1988" xr3:uid="{4F6D2370-233E-4989-8587-9EDB1FF165BF}" name="Column1961"/>
    <tableColumn id="1989" xr3:uid="{A397B2AC-F7B6-462F-B441-BDA9A5F749F2}" name="Column1962"/>
    <tableColumn id="1990" xr3:uid="{C887E264-2716-40F9-9511-A68C573ED662}" name="Column1963"/>
    <tableColumn id="1991" xr3:uid="{94E71F16-CA99-484A-8D13-63C13263333B}" name="Column1964"/>
    <tableColumn id="1992" xr3:uid="{373FA42F-5B12-4F04-96F0-42F06D1A8494}" name="Column1965"/>
    <tableColumn id="1993" xr3:uid="{581DFB13-A073-4F3A-967C-2C9464A419AE}" name="Column1966"/>
    <tableColumn id="1994" xr3:uid="{CDBA520E-3C27-434D-86E7-20C8C80C2F9A}" name="Column1967"/>
    <tableColumn id="1995" xr3:uid="{4DE29B68-F41F-4EC7-BB10-32FDBA352B34}" name="Column1968"/>
    <tableColumn id="1996" xr3:uid="{DA70CC62-6EC7-401A-8616-E20F8603EA9D}" name="Column1969"/>
    <tableColumn id="1997" xr3:uid="{A9787937-29B7-49DC-A931-4BC5B5954BC2}" name="Column1970"/>
    <tableColumn id="1998" xr3:uid="{342C8995-651E-43BE-999B-15903C1454B4}" name="Column1971"/>
    <tableColumn id="1999" xr3:uid="{A3746332-0CE4-4071-8A58-65A6EADBD38A}" name="Column1972"/>
    <tableColumn id="2000" xr3:uid="{E37AA5BC-DC78-41AD-826B-F11706D1135D}" name="Column1973"/>
    <tableColumn id="2001" xr3:uid="{2CA85819-9441-43F6-AEBB-5614BF964C4F}" name="Column1974"/>
    <tableColumn id="2002" xr3:uid="{8FA801EA-98A5-4DED-8812-83CF492B8986}" name="Column1975"/>
    <tableColumn id="2003" xr3:uid="{6681FFF8-4B8B-466B-97B8-3235F665E57E}" name="Column1976"/>
    <tableColumn id="2004" xr3:uid="{F0F8A8C2-3826-47FD-8A6D-06F2840DD6DB}" name="Column1977"/>
    <tableColumn id="2005" xr3:uid="{CBF6012D-ECBA-4231-AF5E-D8B4C140CB78}" name="Column1978"/>
    <tableColumn id="2006" xr3:uid="{045D0F8E-C3E5-4DF4-BD88-FEC6D8B722F5}" name="Column1979"/>
    <tableColumn id="2007" xr3:uid="{50971C27-125E-4193-9E5B-A87A66FDF0A4}" name="Column1980"/>
    <tableColumn id="2008" xr3:uid="{0F056F0D-3859-45C1-8BD9-457ADAE2EFAB}" name="Column1981"/>
    <tableColumn id="2009" xr3:uid="{0374AF00-9117-4240-ADD4-641DD6A76F3C}" name="Column1982"/>
    <tableColumn id="2010" xr3:uid="{78C22D75-7FA9-489B-97FC-C2EC5B80B5F2}" name="Column1983"/>
    <tableColumn id="2011" xr3:uid="{3D37F303-F722-43E9-A99D-24D35618511A}" name="Column1984"/>
    <tableColumn id="2012" xr3:uid="{DD2D0575-189B-436E-A0DA-6983B4089001}" name="Column1985"/>
    <tableColumn id="2013" xr3:uid="{6926B21E-D0CA-439B-88A8-4293C6D642DB}" name="Column1986"/>
    <tableColumn id="2014" xr3:uid="{D294D908-2FA9-4D68-946B-5BE0C055E10A}" name="Column1987"/>
    <tableColumn id="2015" xr3:uid="{E9D482B1-126E-40BC-B0F3-C43C5E150A1A}" name="Column1988"/>
    <tableColumn id="2016" xr3:uid="{69463EE2-1C85-47AD-B65E-424F493B36F1}" name="Column1989"/>
    <tableColumn id="2017" xr3:uid="{588C94BF-B06D-47D1-BF1A-B847924EA377}" name="Column1990"/>
    <tableColumn id="2018" xr3:uid="{01101034-E60B-4EB7-AD0D-FB3812962D8F}" name="Column1991"/>
    <tableColumn id="2019" xr3:uid="{4ED087DD-6DCF-4A27-896B-3E3BC034530C}" name="Column1992"/>
    <tableColumn id="2020" xr3:uid="{ADF41E2C-5C22-4FF5-B25A-EE2A5EF108BD}" name="Column1993"/>
    <tableColumn id="2021" xr3:uid="{7125DCD3-9082-444D-91E5-A40CDABC0B7A}" name="Column1994"/>
    <tableColumn id="2022" xr3:uid="{1B1D61DA-A9FF-489F-8B61-280079CFB78F}" name="Column1995"/>
    <tableColumn id="2023" xr3:uid="{1B3F923D-6E47-4B83-AC1D-0C53B0D65FFC}" name="Column1996"/>
    <tableColumn id="2024" xr3:uid="{3186FFBE-E532-41C1-8C02-0DF50045BC3F}" name="Column1997"/>
    <tableColumn id="2025" xr3:uid="{964CEF4D-ABC9-423B-8C80-9F366B2C1B38}" name="Column1998"/>
    <tableColumn id="2026" xr3:uid="{C2225C8F-9408-4DE3-BEF9-38A4C2A42C06}" name="Column1999"/>
    <tableColumn id="2027" xr3:uid="{783083CF-C4D5-4BB9-BC92-E2F8ED802884}" name="Column2000"/>
    <tableColumn id="2028" xr3:uid="{F1E96C48-831C-4E25-B88F-7721C1BFFBCC}" name="Column2001"/>
    <tableColumn id="2029" xr3:uid="{F19C5F7C-7D50-4C1B-9C29-793F26F68202}" name="Column2002"/>
    <tableColumn id="2030" xr3:uid="{B540A586-9EFA-4EEC-94B2-0323AE43022C}" name="Column2003"/>
    <tableColumn id="2031" xr3:uid="{C3C743EA-168D-43F3-B662-09A063CA02CE}" name="Column2004"/>
    <tableColumn id="2032" xr3:uid="{6B4971C1-73C3-4631-B3B5-DE71A5EA14F0}" name="Column2005"/>
    <tableColumn id="2033" xr3:uid="{2EBC924F-02FA-4236-9BE8-1FDEEECAA3B7}" name="Column2006"/>
    <tableColumn id="2034" xr3:uid="{B74C7B19-7CEC-4AB4-8782-79A19282D535}" name="Column2007"/>
    <tableColumn id="2035" xr3:uid="{F43B44C8-DD0F-42E1-908E-DBEC6EEDE8C3}" name="Column2008"/>
    <tableColumn id="2036" xr3:uid="{31FF582D-FD29-415A-85B6-0E6E58172F23}" name="Column2009"/>
    <tableColumn id="2037" xr3:uid="{8A395AD9-09C6-44F9-9DCB-A80B650F3E62}" name="Column2010"/>
    <tableColumn id="2038" xr3:uid="{F41C499F-991A-4837-A242-F59739998095}" name="Column2011"/>
    <tableColumn id="2039" xr3:uid="{EE2247EA-4180-4328-87C8-2F8DF5C17B49}" name="Column2012"/>
    <tableColumn id="2040" xr3:uid="{176A3B14-E899-4C96-8CBD-2ED6D042DE5F}" name="Column2013"/>
    <tableColumn id="2041" xr3:uid="{E2DA1577-BB9F-4515-9411-F7E06CFD82E9}" name="Column2014"/>
    <tableColumn id="2042" xr3:uid="{4C848955-7E74-44C3-9AE3-E254E004329C}" name="Column2015"/>
    <tableColumn id="2043" xr3:uid="{564DC3BA-7853-4CAC-8EE4-8C59597B01B6}" name="Column2016"/>
    <tableColumn id="2044" xr3:uid="{2257AB02-7E6D-4389-AB59-27A6925CDCE3}" name="Column2017"/>
    <tableColumn id="2045" xr3:uid="{DEDBD8BA-3340-48AB-A986-CC9EC533D34E}" name="Column2018"/>
    <tableColumn id="2046" xr3:uid="{C5FE025B-1ECE-4019-8432-3F0F66817C7F}" name="Column2019"/>
    <tableColumn id="2047" xr3:uid="{D9EB7D68-F4FF-4255-ADF8-7C73380C45B5}" name="Column2020"/>
    <tableColumn id="2048" xr3:uid="{C1FAE755-DA6C-41B2-98CA-2A4997C5CD0A}" name="Column2021"/>
    <tableColumn id="2049" xr3:uid="{E9E72AEA-33C4-4853-8AB9-E093C04804FF}" name="Column2022"/>
    <tableColumn id="2050" xr3:uid="{D5D17FF8-BB8B-4555-A81B-99DA0D14D0A7}" name="Column2023"/>
    <tableColumn id="2051" xr3:uid="{DA55C3A9-605F-44CA-9A50-5E298819D233}" name="Column2024"/>
    <tableColumn id="2052" xr3:uid="{5D1EC380-B536-4C94-814D-91DE251DFD10}" name="Column2025"/>
    <tableColumn id="2053" xr3:uid="{6F7DA410-DDCE-4942-A880-70B865AB1527}" name="Column2026"/>
    <tableColumn id="2054" xr3:uid="{303ABB4B-3433-4CC1-8A6B-A3A15E779C7B}" name="Column2027"/>
    <tableColumn id="2055" xr3:uid="{24E71716-5A18-492F-8200-689E35575CBB}" name="Column2028"/>
    <tableColumn id="2056" xr3:uid="{3D409D63-5970-407C-9083-299ABD754BD4}" name="Column2029"/>
    <tableColumn id="2057" xr3:uid="{BE5C7A35-49B8-439A-9325-E6587A61B5A3}" name="Column2030"/>
    <tableColumn id="2058" xr3:uid="{B73EE017-0DCD-4883-8239-90D0565B1DD1}" name="Column2031"/>
    <tableColumn id="2059" xr3:uid="{18901614-04D5-4274-9E34-C4E45E42DABC}" name="Column2032"/>
    <tableColumn id="2060" xr3:uid="{64EB3D95-8A42-46F5-BB49-B2479568A98B}" name="Column2033"/>
    <tableColumn id="2061" xr3:uid="{C5530727-E4C8-4AC8-88B0-9F2B415A294B}" name="Column2034"/>
    <tableColumn id="2062" xr3:uid="{43D98929-4FD5-4049-8C23-46F01726AEC0}" name="Column2035"/>
    <tableColumn id="2063" xr3:uid="{A1B45C9F-7890-4F1D-9A7F-4FCEDDF06851}" name="Column2036"/>
    <tableColumn id="2064" xr3:uid="{4E2445FB-1C37-4A04-A519-E74DA09CC5DD}" name="Column2037"/>
    <tableColumn id="2065" xr3:uid="{992F04F9-E42B-4E5A-BE9B-14A9240AAF96}" name="Column2038"/>
    <tableColumn id="2066" xr3:uid="{6DEAF957-6829-4CA7-8A11-F96B522CF1AF}" name="Column2039"/>
    <tableColumn id="2067" xr3:uid="{266CFCD9-A435-492B-BAB9-C0FC753DF977}" name="Column2040"/>
    <tableColumn id="2068" xr3:uid="{F3239B1B-EB11-460E-AB3C-14AE0961B593}" name="Column2041"/>
    <tableColumn id="2069" xr3:uid="{0AA98E07-32D8-4D2F-BA3E-4C2F1580B0F4}" name="Column2042"/>
    <tableColumn id="2070" xr3:uid="{0CDFE38B-16DB-428C-AA63-73A194772EB5}" name="Column2043"/>
    <tableColumn id="2071" xr3:uid="{F64D4780-1D9E-4D3D-AFFB-A050722CA579}" name="Column2044"/>
    <tableColumn id="2072" xr3:uid="{D4157FE7-D614-4A64-99D5-1039A98A3BF8}" name="Column2045"/>
    <tableColumn id="2073" xr3:uid="{5AF2CDC8-4E8F-4FD2-A7DD-7485A7BD7C51}" name="Column2046"/>
    <tableColumn id="2074" xr3:uid="{2932A00C-6C6A-4808-B47A-C121A952713B}" name="Column2047"/>
    <tableColumn id="2075" xr3:uid="{9AC5E6A7-5B88-47A0-B360-F45B92A84F2A}" name="Column2048"/>
    <tableColumn id="2076" xr3:uid="{81066483-31B3-4F8C-AD2A-12E38159CF16}" name="Column2049"/>
    <tableColumn id="2077" xr3:uid="{FA4F53CC-D78C-4104-94D0-442ABBF05B32}" name="Column2050"/>
    <tableColumn id="2078" xr3:uid="{86FFE5F6-3B50-4513-8FAC-3CDDBD3FD2AD}" name="Column2051"/>
    <tableColumn id="2079" xr3:uid="{B91A27DE-3ABA-4A76-BAF3-70241CF0C77B}" name="Column2052"/>
    <tableColumn id="2080" xr3:uid="{FF99CEC0-DD5D-4A20-9B45-3EB9BD35857B}" name="Column2053"/>
    <tableColumn id="2081" xr3:uid="{3D275F49-E072-4BEE-9861-719CF45C79BD}" name="Column2054"/>
    <tableColumn id="2082" xr3:uid="{CBB70D1D-88E7-4F4C-8BA5-4DEC1744AE74}" name="Column2055"/>
    <tableColumn id="2083" xr3:uid="{B0F305C8-B4A8-4DAF-BA33-6604320C6CC6}" name="Column2056"/>
    <tableColumn id="2084" xr3:uid="{11306ABC-3267-4C9F-B45C-EB35E436D193}" name="Column2057"/>
    <tableColumn id="2085" xr3:uid="{81F258C1-3048-4478-9800-7DB9B5BE53FC}" name="Column2058"/>
    <tableColumn id="2086" xr3:uid="{3FC06A5E-AC6B-4EAA-BFDC-832CE57DD833}" name="Column2059"/>
    <tableColumn id="2087" xr3:uid="{C6AF4D97-659A-46DB-9358-97E1A90582F5}" name="Column2060"/>
    <tableColumn id="2088" xr3:uid="{C5AF608F-2176-4358-B2AF-61BCB3AC0F45}" name="Column2061"/>
    <tableColumn id="2089" xr3:uid="{65139D71-D70E-4868-A580-14F8D8FAE7DB}" name="Column2062"/>
    <tableColumn id="2090" xr3:uid="{7D1D5F22-3BED-4B99-97A6-95A9E1D2DEEA}" name="Column2063"/>
    <tableColumn id="2091" xr3:uid="{60B16D4D-4AF3-4CC6-B755-5E0E14A6CBE9}" name="Column2064"/>
    <tableColumn id="2092" xr3:uid="{3202C4C9-A300-4979-AC42-B0FEC3EAD3E8}" name="Column2065"/>
    <tableColumn id="2093" xr3:uid="{36C0D1EF-7A74-4A9E-93E7-66FD2F5165CA}" name="Column2066"/>
    <tableColumn id="2094" xr3:uid="{92AEE68E-2694-4FAB-827F-9366A705130B}" name="Column2067"/>
    <tableColumn id="2095" xr3:uid="{7B0F48CD-4F62-4DDC-975C-771D29D3A8CC}" name="Column2068"/>
    <tableColumn id="2096" xr3:uid="{098EA259-2A51-4835-9399-69442D789D9B}" name="Column2069"/>
    <tableColumn id="2097" xr3:uid="{B5D04410-9B39-47BB-A659-B8790EFBDF72}" name="Column2070"/>
    <tableColumn id="2098" xr3:uid="{3011D2D0-5FAE-452E-A36D-E2FAD35C90A2}" name="Column2071"/>
    <tableColumn id="2099" xr3:uid="{B3F38B7F-722F-4D23-8D3F-017A0531528B}" name="Column2072"/>
    <tableColumn id="2100" xr3:uid="{F5F0D6ED-EA26-4405-8DB0-287C112C3148}" name="Column2073"/>
    <tableColumn id="2101" xr3:uid="{F8938EA5-2B23-4C65-A384-9CFD9B467C84}" name="Column2074"/>
    <tableColumn id="2102" xr3:uid="{3BB216A1-CB06-4411-9E91-F4938BD8A5E7}" name="Column2075"/>
    <tableColumn id="2103" xr3:uid="{11B7E0B0-D1B5-46DC-ABFA-96A5EA02FA5C}" name="Column2076"/>
    <tableColumn id="2104" xr3:uid="{92E4DCB2-4EFB-4896-9B12-17F8B5F635E4}" name="Column2077"/>
    <tableColumn id="2105" xr3:uid="{BC22936A-5E7C-4D62-B789-22456F93770B}" name="Column2078"/>
    <tableColumn id="2106" xr3:uid="{1F12C810-2C6E-4863-A1ED-31258845D51A}" name="Column2079"/>
    <tableColumn id="2107" xr3:uid="{66EE278D-1B21-4DE3-866D-7707A82B974D}" name="Column2080"/>
    <tableColumn id="2108" xr3:uid="{5D0EEE3F-6DE9-4D5A-883B-CF79E3CAF7B2}" name="Column2081"/>
    <tableColumn id="2109" xr3:uid="{30349AF9-BB58-4C72-8F39-CFC919C5F9A7}" name="Column2082"/>
    <tableColumn id="2110" xr3:uid="{E6AFFE46-D281-4905-9C0C-7E8EDF24FE3F}" name="Column2083"/>
    <tableColumn id="2111" xr3:uid="{336B4B4A-80A4-4195-8097-13A71FAF3F02}" name="Column2084"/>
    <tableColumn id="2112" xr3:uid="{6B70487C-CFB8-4C47-B643-15B7AC564B94}" name="Column2085"/>
    <tableColumn id="2113" xr3:uid="{6A502869-FE75-45A9-8393-44A4384D0194}" name="Column2086"/>
    <tableColumn id="2114" xr3:uid="{B3818D93-AAF4-421F-81A9-6E9FA58B63F9}" name="Column2087"/>
    <tableColumn id="2115" xr3:uid="{CFE42820-40F9-4040-8ED0-D69CA63C0172}" name="Column2088"/>
    <tableColumn id="2116" xr3:uid="{BD50D12A-6216-4CB9-BDB5-E0CF12D31AA5}" name="Column2089"/>
    <tableColumn id="2117" xr3:uid="{AF599DCC-9C47-4A78-A78A-9BAC3CAD7DC1}" name="Column2090"/>
    <tableColumn id="2118" xr3:uid="{5B44AEAA-731E-40F9-B01E-A3A9D97C2914}" name="Column2091"/>
    <tableColumn id="2119" xr3:uid="{E6A875AB-262F-45E7-A9DA-43C56D92A2BA}" name="Column2092"/>
    <tableColumn id="2120" xr3:uid="{BDC231AF-9314-4FA7-BFF6-97B855DD880E}" name="Column2093"/>
    <tableColumn id="2121" xr3:uid="{8AB52083-EBBB-4A5C-8733-E5516D6A3C51}" name="Column2094"/>
    <tableColumn id="2122" xr3:uid="{DE07656E-5D46-495B-8089-506810B27589}" name="Column2095"/>
    <tableColumn id="2123" xr3:uid="{623A5899-6F9E-40A6-9972-119075C4EA19}" name="Column2096"/>
    <tableColumn id="2124" xr3:uid="{A181B358-7523-44AF-92B2-A4F971AA3DC8}" name="Column2097"/>
    <tableColumn id="2125" xr3:uid="{9952AA13-3271-4158-8CCC-813D04162284}" name="Column2098"/>
    <tableColumn id="2126" xr3:uid="{6E1A3186-9286-4662-9825-D2586543820A}" name="Column2099"/>
    <tableColumn id="2127" xr3:uid="{8A061699-7C36-4167-B242-4DBAB290BF2D}" name="Column2100"/>
    <tableColumn id="2128" xr3:uid="{9D991CD1-54B0-4050-9E4D-E8D3F0CDA6B2}" name="Column2101"/>
    <tableColumn id="2129" xr3:uid="{576B6531-63AE-4D9F-9F97-740EF713DD94}" name="Column2102"/>
    <tableColumn id="2130" xr3:uid="{7F6C3A74-9926-4FBD-8667-08E0FF84CE26}" name="Column2103"/>
    <tableColumn id="2131" xr3:uid="{B303C695-638C-46AE-B2DC-8962573E47DB}" name="Column2104"/>
    <tableColumn id="2132" xr3:uid="{22DBC788-EDD7-40ED-878F-C8938F4E0438}" name="Column2105"/>
    <tableColumn id="2133" xr3:uid="{B3E82CF0-468F-410D-A2AE-A5C713EEC62B}" name="Column2106"/>
    <tableColumn id="2134" xr3:uid="{29FCE69B-DD18-4B27-BECA-D8858D70A006}" name="Column2107"/>
    <tableColumn id="2135" xr3:uid="{80F78D00-94A6-4ECF-B732-0A7D017D9945}" name="Column2108"/>
    <tableColumn id="2136" xr3:uid="{6B2923A1-38C5-4CDF-9C57-DFDF8D217E21}" name="Column2109"/>
    <tableColumn id="2137" xr3:uid="{9D2DEC0F-8650-4512-84DA-FF1FA20B6CE9}" name="Column2110"/>
    <tableColumn id="2138" xr3:uid="{93023464-BDF0-45C9-94FC-00792D161863}" name="Column2111"/>
    <tableColumn id="2139" xr3:uid="{B86BAF9F-8DC7-4D95-BB85-AF95058F367D}" name="Column2112"/>
    <tableColumn id="2140" xr3:uid="{E18C1493-D86A-4A45-87CA-2FB1A7214EE0}" name="Column2113"/>
    <tableColumn id="2141" xr3:uid="{3935C30B-C463-4A2D-94A7-338B15C07BF3}" name="Column2114"/>
    <tableColumn id="2142" xr3:uid="{9E8E5FE2-1DE1-44DC-9442-2BF3AD62C846}" name="Column2115"/>
    <tableColumn id="2143" xr3:uid="{5E0A59DB-AE1B-4D67-AD6D-D1CF354A5DA4}" name="Column2116"/>
    <tableColumn id="2144" xr3:uid="{12D6FB23-32B0-4BE6-B405-ACA8461735ED}" name="Column2117"/>
    <tableColumn id="2145" xr3:uid="{76066354-F8F9-4D1E-8ACB-A4A762DC3DEB}" name="Column2118"/>
    <tableColumn id="2146" xr3:uid="{18D3F0DA-C685-4736-85DE-6778C7DAAF9C}" name="Column2119"/>
    <tableColumn id="2147" xr3:uid="{476A870F-732D-46B0-BE3B-3B554B1DB59A}" name="Column2120"/>
    <tableColumn id="2148" xr3:uid="{9F99FD0E-6BCE-43CA-AEF0-ECA2ACDD06B4}" name="Column2121"/>
    <tableColumn id="2149" xr3:uid="{6E68A931-7B7C-4BE7-A587-DEE57D5BCEDD}" name="Column2122"/>
    <tableColumn id="2150" xr3:uid="{D8C2D0AE-9FB1-425C-AF5D-130884DA9578}" name="Column2123"/>
    <tableColumn id="2151" xr3:uid="{9A41490F-8DC3-4596-B36D-6E0BA507CBFA}" name="Column2124"/>
    <tableColumn id="2152" xr3:uid="{698F4CF4-7B50-45A5-BE3D-7D7C34AF485C}" name="Column2125"/>
    <tableColumn id="2153" xr3:uid="{74571BF0-88EF-49A2-AA99-F832548931EE}" name="Column2126"/>
    <tableColumn id="2154" xr3:uid="{9F8B3463-E1FE-4479-B6AA-43C4F537D724}" name="Column2127"/>
    <tableColumn id="2155" xr3:uid="{05DEBD08-65A1-453D-A76D-65FEB53667CB}" name="Column2128"/>
    <tableColumn id="2156" xr3:uid="{7CAF02B2-B028-45E2-8607-0423392EDC8B}" name="Column2129"/>
    <tableColumn id="2157" xr3:uid="{F6DBF968-2249-4D9C-8AAF-D165D8D0CF64}" name="Column2130"/>
    <tableColumn id="2158" xr3:uid="{1A3DBB05-0FB6-4CC8-8668-574F0CF75555}" name="Column2131"/>
    <tableColumn id="2159" xr3:uid="{73AD7D1E-4F67-4DC9-935F-E7385832F6FC}" name="Column2132"/>
    <tableColumn id="2160" xr3:uid="{D089B6EB-B55B-4DBF-A17C-783CCAA0C0B5}" name="Column2133"/>
    <tableColumn id="2161" xr3:uid="{0275E0D3-49BC-4854-8D50-3BBFCE154192}" name="Column2134"/>
    <tableColumn id="2162" xr3:uid="{38ADDE57-4B06-4B8B-8BA9-0B6309AB9511}" name="Column2135"/>
    <tableColumn id="2163" xr3:uid="{E96991CD-54AD-4D51-BE5D-352DFDBFD512}" name="Column2136"/>
    <tableColumn id="2164" xr3:uid="{DA73D039-BEBA-4A3E-8872-D896E0F4CD0E}" name="Column2137"/>
    <tableColumn id="2165" xr3:uid="{DF89B7BC-CE0B-48F1-B553-E1896BBE9CC9}" name="Column2138"/>
    <tableColumn id="2166" xr3:uid="{DE1649D0-4D59-46F7-8FDC-4295491FB037}" name="Column2139"/>
    <tableColumn id="2167" xr3:uid="{C4FD7F76-92C8-44D9-AD1A-EFB88336844B}" name="Column2140"/>
    <tableColumn id="2168" xr3:uid="{A231DC63-9367-4084-943E-AAB2A05B14AD}" name="Column2141"/>
    <tableColumn id="2169" xr3:uid="{4F957D80-52D5-46C7-9589-A9C4601B2FC1}" name="Column2142"/>
    <tableColumn id="2170" xr3:uid="{9F11C3F0-06E6-475A-AD7B-8BDECC155A9D}" name="Column2143"/>
    <tableColumn id="2171" xr3:uid="{ED5779A4-9363-4134-89F6-760049481A85}" name="Column2144"/>
    <tableColumn id="2172" xr3:uid="{05A76211-7E84-4D45-9B7D-5551CC9F56F0}" name="Column2145"/>
    <tableColumn id="2173" xr3:uid="{204E6DBF-1E16-49CC-81B3-E169D536FEFF}" name="Column2146"/>
    <tableColumn id="2174" xr3:uid="{E3647D0C-1149-4B2A-9A8B-A947F85BB4DC}" name="Column2147"/>
    <tableColumn id="2175" xr3:uid="{0D929236-D042-4553-822A-60DEA3296E7B}" name="Column2148"/>
    <tableColumn id="2176" xr3:uid="{E429297E-E8C6-41D3-9176-12D6DE14666D}" name="Column2149"/>
    <tableColumn id="2177" xr3:uid="{E6DD7B6F-D53B-418B-B38E-685C51D889DF}" name="Column2150"/>
    <tableColumn id="2178" xr3:uid="{AD2D729F-7574-49BC-95D2-53CF1957D2BD}" name="Column2151"/>
    <tableColumn id="2179" xr3:uid="{806358FE-C946-43C9-B048-84131FB908FC}" name="Column2152"/>
    <tableColumn id="2180" xr3:uid="{30A3DF21-50C8-451C-B66F-F85509B669B7}" name="Column2153"/>
    <tableColumn id="2181" xr3:uid="{502B248C-AC65-4186-8FEB-B246933393D0}" name="Column2154"/>
    <tableColumn id="2182" xr3:uid="{41EE36DD-F268-4B4E-98C7-A4E7599F24FA}" name="Column2155"/>
    <tableColumn id="2183" xr3:uid="{81EC8E68-03A7-4726-B139-475B86520D81}" name="Column2156"/>
    <tableColumn id="2184" xr3:uid="{56D196E2-D5B6-4C3E-BD45-C3F033212C52}" name="Column2157"/>
    <tableColumn id="2185" xr3:uid="{01FFE57F-F5D0-4909-BF8E-302E215032B6}" name="Column2158"/>
    <tableColumn id="2186" xr3:uid="{0BEDA4A6-59C4-46A0-9DD6-68B60DDAC694}" name="Column2159"/>
    <tableColumn id="2187" xr3:uid="{0B2B14F9-3246-409E-B4C9-B7C51B9F091C}" name="Column2160"/>
    <tableColumn id="2188" xr3:uid="{4C0EF0E0-BB87-4B09-9D4F-65D83C0F190F}" name="Column2161"/>
    <tableColumn id="2189" xr3:uid="{999DBFF4-F614-444B-9103-1636068C81A8}" name="Column2162"/>
    <tableColumn id="2190" xr3:uid="{BC243B87-12B4-4172-873E-1153B3CAC21B}" name="Column2163"/>
    <tableColumn id="2191" xr3:uid="{7074493F-D14F-41C2-8E21-592526158420}" name="Column2164"/>
    <tableColumn id="2192" xr3:uid="{ABFAD9A0-A224-46AC-891D-A0B5133855C0}" name="Column2165"/>
    <tableColumn id="2193" xr3:uid="{80D56C9C-10F8-4DCF-9008-EF2E7619F39D}" name="Column2166"/>
    <tableColumn id="2194" xr3:uid="{89CF3C86-26DF-4460-9A7B-2480125EF679}" name="Column2167"/>
    <tableColumn id="2195" xr3:uid="{FCDFD765-0764-4187-A465-F82DEC0F6CFF}" name="Column2168"/>
    <tableColumn id="2196" xr3:uid="{4BD11AC8-2EE3-4799-8B58-9B9F2EBE72E0}" name="Column2169"/>
    <tableColumn id="2197" xr3:uid="{4AF2B63C-68F3-4679-8730-EB7C5E876299}" name="Column2170"/>
    <tableColumn id="2198" xr3:uid="{EB28EA53-4FB0-4EB5-BEED-1B4E5C6DEACF}" name="Column2171"/>
    <tableColumn id="2199" xr3:uid="{2086343D-802B-4FBB-852E-9B4D1072B11E}" name="Column2172"/>
    <tableColumn id="2200" xr3:uid="{8F54AB9E-7FF0-44E1-BDD6-532A182254F5}" name="Column2173"/>
    <tableColumn id="2201" xr3:uid="{74B8D3D7-C96A-4733-8C7E-1848A94A69CB}" name="Column2174"/>
    <tableColumn id="2202" xr3:uid="{11D5CF1A-8F3A-470A-8ACF-1065BCA9A056}" name="Column2175"/>
    <tableColumn id="2203" xr3:uid="{8CDB2C0E-3CB0-423D-91CC-6BB2E73D26BE}" name="Column2176"/>
    <tableColumn id="2204" xr3:uid="{ACA27E5D-0F31-4CDB-8E43-5A07216D7370}" name="Column2177"/>
    <tableColumn id="2205" xr3:uid="{FBE87DA2-89F6-479F-A31A-2B79D35F9B26}" name="Column2178"/>
    <tableColumn id="2206" xr3:uid="{5B3E05FD-4D66-4109-A487-CB591DD010D3}" name="Column2179"/>
    <tableColumn id="2207" xr3:uid="{332C49D8-0E74-45D8-9447-D24B78273876}" name="Column2180"/>
    <tableColumn id="2208" xr3:uid="{DB372B6E-3149-48FC-89D0-10493B7BC9CB}" name="Column2181"/>
    <tableColumn id="2209" xr3:uid="{93937C00-481C-4815-9C65-5E0D5178AEC2}" name="Column2182"/>
    <tableColumn id="2210" xr3:uid="{55DE9B6E-CE83-4C51-AB09-ED5B9C87A194}" name="Column2183"/>
    <tableColumn id="2211" xr3:uid="{8446CB95-446A-46A5-BD95-B1FB3DA9961D}" name="Column2184"/>
    <tableColumn id="2212" xr3:uid="{9179D778-2063-4CEC-8490-C771E4524BC8}" name="Column2185"/>
    <tableColumn id="2213" xr3:uid="{2FD9F946-D8DE-4A76-9297-5473544B8477}" name="Column2186"/>
    <tableColumn id="2214" xr3:uid="{83F2E960-0B1D-464C-BD20-5E921DF586D2}" name="Column2187"/>
    <tableColumn id="2215" xr3:uid="{1692F280-B6F4-4E64-9B26-5555636A6B02}" name="Column2188"/>
    <tableColumn id="2216" xr3:uid="{4763889A-83A9-45A7-8A42-E52102922954}" name="Column2189"/>
    <tableColumn id="2217" xr3:uid="{87B063FD-54BA-4622-942E-A682C2522B91}" name="Column2190"/>
    <tableColumn id="2218" xr3:uid="{AA18F248-52B0-4ECB-8BE3-9111500DD67F}" name="Column2191"/>
    <tableColumn id="2219" xr3:uid="{4088BFA9-D666-4D2F-BAE3-7E695CF33CC6}" name="Column2192"/>
    <tableColumn id="2220" xr3:uid="{763ABD28-4995-4030-9AB5-A017ADBD0333}" name="Column2193"/>
    <tableColumn id="2221" xr3:uid="{87F1712C-5E22-4CD8-A6BE-DCF7C4853DC1}" name="Column2194"/>
    <tableColumn id="2222" xr3:uid="{AEC43DDE-DFE0-4BA3-B2A9-2F09C710D346}" name="Column2195"/>
    <tableColumn id="2223" xr3:uid="{E55732B1-9473-4324-B2AA-3C0810C3C3E8}" name="Column2196"/>
    <tableColumn id="2224" xr3:uid="{BCD649F1-7450-40F1-BA13-D69B37CF2164}" name="Column2197"/>
    <tableColumn id="2225" xr3:uid="{FE3DCA1B-E1F3-47BD-8CC9-3A703C64B260}" name="Column2198"/>
    <tableColumn id="2226" xr3:uid="{8B85EBA2-6006-48D2-857F-C736ED2A11DA}" name="Column2199"/>
    <tableColumn id="2227" xr3:uid="{8B0D844D-1500-498A-A7ED-4D6283E267F0}" name="Column2200"/>
    <tableColumn id="2228" xr3:uid="{6948DE3F-215F-430F-8D9D-AAE91866DE8D}" name="Column2201"/>
    <tableColumn id="2229" xr3:uid="{9446C7E9-373B-4C58-8D20-FEBB4FF0B847}" name="Column2202"/>
    <tableColumn id="2230" xr3:uid="{0CC32CC3-D4DF-48E0-909B-6D758553D180}" name="Column2203"/>
    <tableColumn id="2231" xr3:uid="{FF844AEF-342F-431B-9EC8-56A662BDEA9F}" name="Column2204"/>
    <tableColumn id="2232" xr3:uid="{EE8A5DBC-BB79-40E9-BA2A-261E5D7E6E40}" name="Column2205"/>
    <tableColumn id="2233" xr3:uid="{4E6DC9B3-F362-4568-B1FE-1E5C651E5374}" name="Column2206"/>
    <tableColumn id="2234" xr3:uid="{6A07BAD6-86E4-4580-A7A0-3CD8BFD90311}" name="Column2207"/>
    <tableColumn id="2235" xr3:uid="{6BB59F19-B6AB-490F-8F9B-93887B94AB2A}" name="Column2208"/>
    <tableColumn id="2236" xr3:uid="{6C7489E9-439E-4DE4-8D50-7CC92DF18D93}" name="Column2209"/>
    <tableColumn id="2237" xr3:uid="{0655EAA9-E2B9-46E0-BE05-A5F0EE69FAAB}" name="Column2210"/>
    <tableColumn id="2238" xr3:uid="{5DD82371-EDBC-4A93-8972-71B204A0D53E}" name="Column2211"/>
    <tableColumn id="2239" xr3:uid="{3FB29FAB-07FD-40D2-9FB0-6FF42E1A3C64}" name="Column2212"/>
    <tableColumn id="2240" xr3:uid="{2976D918-1B76-4F33-B0F5-B40F43FFE8F9}" name="Column2213"/>
    <tableColumn id="2241" xr3:uid="{EA52436E-0575-48ED-8F25-4C440FDA41C9}" name="Column2214"/>
    <tableColumn id="2242" xr3:uid="{F89A6B16-C867-4D8D-9316-6D6ECE0BC175}" name="Column2215"/>
    <tableColumn id="2243" xr3:uid="{22FA8EA1-D14D-48D5-8763-103A4781D029}" name="Column2216"/>
    <tableColumn id="2244" xr3:uid="{E47BA0DC-6678-4558-A824-CBA3132359D1}" name="Column2217"/>
    <tableColumn id="2245" xr3:uid="{2307B7FE-43EE-4894-9597-CA0B25A18B0F}" name="Column2218"/>
    <tableColumn id="2246" xr3:uid="{F33CC216-2E66-4224-9ED9-6AA270AD2C91}" name="Column2219"/>
    <tableColumn id="2247" xr3:uid="{AFEE477C-5AF1-4B33-98B3-2E9E0CE9AAAF}" name="Column2220"/>
    <tableColumn id="2248" xr3:uid="{FAE6200C-4AEE-4D0E-9AB4-AAD67FD921B5}" name="Column2221"/>
    <tableColumn id="2249" xr3:uid="{CA35B26B-608F-4146-8234-DBA97BC01FC1}" name="Column2222"/>
    <tableColumn id="2250" xr3:uid="{62EB8120-404F-4BF2-BB43-873FC2136930}" name="Column2223"/>
    <tableColumn id="2251" xr3:uid="{60E4261A-F9E8-41B9-8761-6051F1607D74}" name="Column2224"/>
    <tableColumn id="2252" xr3:uid="{4AE30ECE-8AF9-4339-BD67-C1B619C6B0A7}" name="Column2225"/>
    <tableColumn id="2253" xr3:uid="{1C1B1D6F-E7F5-41C4-8D1B-06FBBD502038}" name="Column2226"/>
    <tableColumn id="2254" xr3:uid="{E4C07F2B-86A9-44F2-A6BA-476089015F2C}" name="Column2227"/>
    <tableColumn id="2255" xr3:uid="{BB348B08-0D75-4DAF-B1E5-05420B5FF849}" name="Column2228"/>
    <tableColumn id="2256" xr3:uid="{5867867E-7D8C-451C-BAD3-708462DEFD06}" name="Column2229"/>
    <tableColumn id="2257" xr3:uid="{6BCDECC5-44F0-4BC0-B1B8-CC107B04FE7F}" name="Column2230"/>
    <tableColumn id="2258" xr3:uid="{391135B8-5EA2-48D5-B81D-D9BE3000BBAD}" name="Column2231"/>
    <tableColumn id="2259" xr3:uid="{4C5C5E9B-701E-49D4-9E00-37ACBF3FA9B6}" name="Column2232"/>
    <tableColumn id="2260" xr3:uid="{52F738BE-3C53-4828-9FAB-43400683F6A7}" name="Column2233"/>
    <tableColumn id="2261" xr3:uid="{88851709-B9B8-4598-8ED3-D06F759C3608}" name="Column2234"/>
    <tableColumn id="2262" xr3:uid="{42966127-A5B7-4314-A71F-C363F031E551}" name="Column2235"/>
    <tableColumn id="2263" xr3:uid="{43CC46A0-4A5C-4FD3-B991-3E6A30F1CB98}" name="Column2236"/>
    <tableColumn id="2264" xr3:uid="{76371F37-14BE-45EB-A2F4-578B013DE7B6}" name="Column2237"/>
    <tableColumn id="2265" xr3:uid="{FAD3F3B1-7A15-4CD8-B0BA-9215AB872965}" name="Column2238"/>
    <tableColumn id="2266" xr3:uid="{45A87CBA-0727-421D-B22E-EE83F8C954DA}" name="Column2239"/>
    <tableColumn id="2267" xr3:uid="{07985741-625E-4F6A-B3DD-06AC9DB1E668}" name="Column2240"/>
    <tableColumn id="2268" xr3:uid="{9A910D30-02F6-4D89-BC66-69461B960479}" name="Column2241"/>
    <tableColumn id="2269" xr3:uid="{4C1EDBA9-4F78-467B-B431-5C1953B41968}" name="Column2242"/>
    <tableColumn id="2270" xr3:uid="{52BF3716-5788-4BA7-A166-207E38F9D5AE}" name="Column2243"/>
    <tableColumn id="2271" xr3:uid="{9F6553D2-B7BD-4FDC-874C-3A774064A540}" name="Column2244"/>
    <tableColumn id="2272" xr3:uid="{78DC9999-D28E-4DD6-8126-B42CB7105B04}" name="Column2245"/>
    <tableColumn id="2273" xr3:uid="{DDDE4A1A-461E-4C4B-9FC6-054300FCEB68}" name="Column2246"/>
    <tableColumn id="2274" xr3:uid="{C730A3B3-E8AD-4FE2-B2DF-5AD3E82827CF}" name="Column2247"/>
    <tableColumn id="2275" xr3:uid="{6458D755-B9AD-4AA8-8BD7-B70C7CE01B33}" name="Column2248"/>
    <tableColumn id="2276" xr3:uid="{0C92A2A5-A8F3-4225-BD74-06960B962F1A}" name="Column2249"/>
    <tableColumn id="2277" xr3:uid="{69B7706D-EE93-4CBF-99C9-83E10DF9800B}" name="Column2250"/>
    <tableColumn id="2278" xr3:uid="{25772F2F-6AD6-4FC7-A666-29ADE171DC6A}" name="Column2251"/>
    <tableColumn id="2279" xr3:uid="{586905E8-9CE8-4A56-9EB1-00B43FC34A8B}" name="Column2252"/>
    <tableColumn id="2280" xr3:uid="{AC390B76-A095-4832-9CB1-0BB381D92FE2}" name="Column2253"/>
    <tableColumn id="2281" xr3:uid="{31ACB85A-5AE3-4416-ABA8-117FE40F4A7F}" name="Column2254"/>
    <tableColumn id="2282" xr3:uid="{0A8D7D53-D3A5-4F3C-9EAD-67877D47E982}" name="Column2255"/>
    <tableColumn id="2283" xr3:uid="{B96EA309-3CE9-442C-841C-A02FF2B1404F}" name="Column2256"/>
    <tableColumn id="2284" xr3:uid="{B80E4A4B-C0A6-4778-8096-F54271FF54E5}" name="Column2257"/>
    <tableColumn id="2285" xr3:uid="{A37C64BB-70B7-405B-B052-174D851DB172}" name="Column2258"/>
    <tableColumn id="2286" xr3:uid="{76326ECA-8C3F-4901-9ED3-8BFFB7E37902}" name="Column2259"/>
    <tableColumn id="2287" xr3:uid="{5092171D-B5D1-474E-A7EA-6C304BD35466}" name="Column2260"/>
    <tableColumn id="2288" xr3:uid="{C756AFC9-810C-468D-B0F5-CD2F25005CAE}" name="Column2261"/>
    <tableColumn id="2289" xr3:uid="{A66A6C9F-D4E2-46D0-8C4B-1CDCAF4A0A28}" name="Column2262"/>
    <tableColumn id="2290" xr3:uid="{E71C01DF-5D59-4C22-872A-578A1FC51F42}" name="Column2263"/>
    <tableColumn id="2291" xr3:uid="{2276F276-BCA0-4988-A8B0-7ADCFAE37FDD}" name="Column2264"/>
    <tableColumn id="2292" xr3:uid="{3AE20F69-5649-4610-838D-1A206A4A2064}" name="Column2265"/>
    <tableColumn id="2293" xr3:uid="{9CABAB41-85E3-464D-8042-396B744467D3}" name="Column2266"/>
    <tableColumn id="2294" xr3:uid="{98BF7435-310F-4088-B218-CFB3A5933C7B}" name="Column2267"/>
    <tableColumn id="2295" xr3:uid="{986E36E6-E0D6-44FE-9A7A-4CE085751802}" name="Column2268"/>
    <tableColumn id="2296" xr3:uid="{8E2F85AB-2A1E-4387-8785-4CF6B26F1965}" name="Column2269"/>
    <tableColumn id="2297" xr3:uid="{EB950A42-DAE1-43C1-A4EE-4AD316586483}" name="Column2270"/>
    <tableColumn id="2298" xr3:uid="{F4692E9A-1DBC-43C9-ADBC-32AD504626B1}" name="Column2271"/>
    <tableColumn id="2299" xr3:uid="{8346CE0D-5953-4120-9157-BC14942AD179}" name="Column2272"/>
    <tableColumn id="2300" xr3:uid="{0D8EA472-0A6F-47F2-8E16-64030AAB4E7B}" name="Column2273"/>
    <tableColumn id="2301" xr3:uid="{02A33A58-2CE1-40F0-99E9-A71D6B9AB8F3}" name="Column2274"/>
    <tableColumn id="2302" xr3:uid="{F0244C2D-0307-45AD-A07E-A0387DCCA502}" name="Column2275"/>
    <tableColumn id="2303" xr3:uid="{8926D90D-D1FA-4257-8160-5E44FFAC3756}" name="Column2276"/>
    <tableColumn id="2304" xr3:uid="{C959D649-BACB-424D-B912-740E6CD03429}" name="Column2277"/>
    <tableColumn id="2305" xr3:uid="{C450E01C-789A-43C5-ADEC-2EAF679576E7}" name="Column2278"/>
    <tableColumn id="2306" xr3:uid="{5154E719-C0CB-4E4C-A88D-6FF5762C8AEE}" name="Column2279"/>
    <tableColumn id="2307" xr3:uid="{963F423F-7C08-4BDB-8876-7CD1AE6CFDFD}" name="Column2280"/>
    <tableColumn id="2308" xr3:uid="{330202DB-AC46-4DDC-A6C1-6B948C96D368}" name="Column2281"/>
    <tableColumn id="2309" xr3:uid="{65E76F04-6FF1-41D4-8560-9AEB549849DF}" name="Column2282"/>
    <tableColumn id="2310" xr3:uid="{09F17C03-6434-4703-B6BA-0BDC1643CE98}" name="Column2283"/>
    <tableColumn id="2311" xr3:uid="{9CD3D641-AFA8-4982-B5E6-6579B2E5B354}" name="Column2284"/>
    <tableColumn id="2312" xr3:uid="{8B9A2FF9-28B5-47EB-9B24-C50B5996B682}" name="Column2285"/>
    <tableColumn id="2313" xr3:uid="{5CD25382-3CDA-4270-9086-0AA0EA251E98}" name="Column2286"/>
    <tableColumn id="2314" xr3:uid="{2C139831-A08A-4D77-BE98-753E1EAA9073}" name="Column2287"/>
    <tableColumn id="2315" xr3:uid="{9172A8EF-C4B1-4971-A37D-76BBFD7378EE}" name="Column2288"/>
    <tableColumn id="2316" xr3:uid="{A9913E85-0E4A-4474-8B92-69C5298727CD}" name="Column2289"/>
    <tableColumn id="2317" xr3:uid="{634C2948-6D72-491B-BEB4-1579826FEF4B}" name="Column2290"/>
    <tableColumn id="2318" xr3:uid="{0A65A4D6-FD4C-46E8-B9A1-5E9906742844}" name="Column2291"/>
    <tableColumn id="2319" xr3:uid="{C624B750-9D18-4A9A-8CDE-453EB771ECFC}" name="Column2292"/>
    <tableColumn id="2320" xr3:uid="{36B97871-B3A3-4A09-935E-32CB8520E64A}" name="Column2293"/>
    <tableColumn id="2321" xr3:uid="{9DFA3FFF-02DC-42A5-B03B-ECA0C41D031B}" name="Column2294"/>
    <tableColumn id="2322" xr3:uid="{550EBDBC-CCB1-4FF0-993B-29FD786EEE54}" name="Column2295"/>
    <tableColumn id="2323" xr3:uid="{AB44B744-1964-4DE2-8EDF-4DFBA7040F6F}" name="Column2296"/>
    <tableColumn id="2324" xr3:uid="{FE7A51E4-0D98-4B5A-8FC6-8E6FD9730264}" name="Column2297"/>
    <tableColumn id="2325" xr3:uid="{6A8F727D-6D0F-4E96-B77A-28A7D647BE58}" name="Column2298"/>
    <tableColumn id="2326" xr3:uid="{0B3601EB-A48E-4468-BD1B-40CF9948B501}" name="Column2299"/>
    <tableColumn id="2327" xr3:uid="{34E43A54-D37A-4C02-87E5-68827DA5176A}" name="Column2300"/>
    <tableColumn id="2328" xr3:uid="{169DDD58-78DE-4CA6-A806-16CB967C88E7}" name="Column2301"/>
    <tableColumn id="2329" xr3:uid="{CA1DC652-AB56-4264-A58C-077CC5CCB73D}" name="Column2302"/>
    <tableColumn id="2330" xr3:uid="{0C573729-43C9-46E1-A9E1-9609C6E3A9E9}" name="Column2303"/>
    <tableColumn id="2331" xr3:uid="{B7EAABD5-9A8E-464A-BE0C-4B835E6E4598}" name="Column2304"/>
    <tableColumn id="2332" xr3:uid="{AF80F5E8-2598-4C5B-8F29-81AE3551F813}" name="Column2305"/>
    <tableColumn id="2333" xr3:uid="{5ADCE642-C59C-40BE-9EA9-57EBF37D19B7}" name="Column2306"/>
    <tableColumn id="2334" xr3:uid="{29C6A5D2-9A31-4FA7-AE03-29983BDB584F}" name="Column2307"/>
    <tableColumn id="2335" xr3:uid="{C2EA5B52-4AAE-470B-8DD5-2585341B6505}" name="Column2308"/>
    <tableColumn id="2336" xr3:uid="{625691B9-BF58-4DA0-BA1D-5A4C500AA493}" name="Column2309"/>
    <tableColumn id="2337" xr3:uid="{BD863A97-296D-4766-92CE-093E0B61A975}" name="Column2310"/>
    <tableColumn id="2338" xr3:uid="{ACCB46F1-DA62-4143-87CA-310EE7356682}" name="Column2311"/>
    <tableColumn id="2339" xr3:uid="{B704C5F6-744E-480E-B25B-E6ABB2061D34}" name="Column2312"/>
    <tableColumn id="2340" xr3:uid="{B6BF0D40-030F-46FC-87C0-4E6D47F488D6}" name="Column2313"/>
    <tableColumn id="2341" xr3:uid="{4269D122-D17B-443B-A76E-3D007CEA7B56}" name="Column2314"/>
    <tableColumn id="2342" xr3:uid="{EA90E4AA-8559-4C29-90B1-B03C9742423D}" name="Column2315"/>
    <tableColumn id="2343" xr3:uid="{8466B87E-9F61-41F0-9D46-994FD8EDE338}" name="Column2316"/>
    <tableColumn id="2344" xr3:uid="{C46D0A3D-502C-42CA-998A-5E86A29731B9}" name="Column2317"/>
    <tableColumn id="2345" xr3:uid="{412B83DE-6E3E-47B0-BFF5-F4BFA9D9C718}" name="Column2318"/>
    <tableColumn id="2346" xr3:uid="{775123B6-FF29-433A-819B-D8FD25049C8E}" name="Column2319"/>
    <tableColumn id="2347" xr3:uid="{3FC3736A-4083-4C75-AFB4-C6C399A76B8C}" name="Column2320"/>
    <tableColumn id="2348" xr3:uid="{0ABE2438-14DB-4F9F-BEAB-19B53231FD7C}" name="Column2321"/>
    <tableColumn id="2349" xr3:uid="{7A23E4C6-1FB3-49C4-9704-ABA2E21BF608}" name="Column2322"/>
    <tableColumn id="2350" xr3:uid="{FBDAFA8C-0C3D-4C6D-9D3D-06B84A3A208C}" name="Column2323"/>
    <tableColumn id="2351" xr3:uid="{45858266-0B23-4DAF-831B-7261E4D547AA}" name="Column2324"/>
    <tableColumn id="2352" xr3:uid="{7D1D4DE4-5D9A-49FB-BA5F-7E2D1DF0EA0C}" name="Column2325"/>
    <tableColumn id="2353" xr3:uid="{D5E45B02-728F-46FC-AB0D-10ECFD3F8CC1}" name="Column2326"/>
    <tableColumn id="2354" xr3:uid="{57B10045-CA16-473D-B7C2-E7A49F5C1627}" name="Column2327"/>
    <tableColumn id="2355" xr3:uid="{0B1C6995-A2D1-45D3-AF02-778725118B22}" name="Column2328"/>
    <tableColumn id="2356" xr3:uid="{B507A064-D6BB-442A-99B3-257E347F8323}" name="Column2329"/>
    <tableColumn id="2357" xr3:uid="{B73734A8-0604-4719-8D4A-73E6F91C2C2D}" name="Column2330"/>
    <tableColumn id="2358" xr3:uid="{F6134BF0-97C0-4720-80F1-615488C6273B}" name="Column2331"/>
    <tableColumn id="2359" xr3:uid="{4655FA55-38FC-43C4-865D-63DC8B781DEF}" name="Column2332"/>
    <tableColumn id="2360" xr3:uid="{C425E5D8-B858-42BA-8C8F-12D3FDF89383}" name="Column2333"/>
    <tableColumn id="2361" xr3:uid="{00521FDA-9305-408C-BF89-00DD45C0025D}" name="Column2334"/>
    <tableColumn id="2362" xr3:uid="{AD924489-2FBF-4E17-B382-E49F5B94E56A}" name="Column2335"/>
    <tableColumn id="2363" xr3:uid="{ECF3AD23-3D00-4BF4-8546-5776CBE2FFBB}" name="Column2336"/>
    <tableColumn id="2364" xr3:uid="{71B1EF12-071A-470D-ABE0-C23E0E7EB099}" name="Column2337"/>
    <tableColumn id="2365" xr3:uid="{A9546348-5A23-4C68-A1EE-9390D3459648}" name="Column2338"/>
    <tableColumn id="2366" xr3:uid="{1ECFBF79-B03B-4407-809A-319A1713E684}" name="Column2339"/>
    <tableColumn id="2367" xr3:uid="{886A5BC8-B97D-4018-BAB4-EAD2C4E2B275}" name="Column2340"/>
    <tableColumn id="2368" xr3:uid="{0C26CFF7-5841-4A06-AEED-19B6CB8941B6}" name="Column2341"/>
    <tableColumn id="2369" xr3:uid="{6C9DFD83-468E-45BD-8CA2-D752F2A15092}" name="Column2342"/>
    <tableColumn id="2370" xr3:uid="{41D651E8-BE8A-4666-99E9-9D4E995B2051}" name="Column2343"/>
    <tableColumn id="2371" xr3:uid="{38792204-6338-4585-95B2-471106C01892}" name="Column2344"/>
    <tableColumn id="2372" xr3:uid="{D614B5A7-6B9B-4892-AC00-EB19C4F076A0}" name="Column2345"/>
    <tableColumn id="2373" xr3:uid="{7633A3FA-BEE5-480F-8AF5-77E62019EE79}" name="Column2346"/>
    <tableColumn id="2374" xr3:uid="{742D228B-FFC6-4EB2-8F3E-C432FD781920}" name="Column2347"/>
    <tableColumn id="2375" xr3:uid="{485B6C6C-470B-4EF1-8BA6-E1B343555559}" name="Column2348"/>
    <tableColumn id="2376" xr3:uid="{5AE32685-F7C2-4980-8171-65CA75BD67C8}" name="Column2349"/>
    <tableColumn id="2377" xr3:uid="{80C0E9E9-9AF9-43BD-85DE-B6C8470A5F72}" name="Column2350"/>
    <tableColumn id="2378" xr3:uid="{0897856D-7AE7-4F86-8F89-316EC743378B}" name="Column2351"/>
    <tableColumn id="2379" xr3:uid="{94E81B3D-4D03-4C6C-BB3A-59625A2834C9}" name="Column2352"/>
    <tableColumn id="2380" xr3:uid="{FE17F1F0-A462-4C48-9E9F-AE3C058F9422}" name="Column2353"/>
    <tableColumn id="2381" xr3:uid="{374BB841-3156-41D3-B69B-6A58095D70D3}" name="Column2354"/>
    <tableColumn id="2382" xr3:uid="{37F30E03-6CE4-431B-83CC-9B4AAEE3E675}" name="Column2355"/>
    <tableColumn id="2383" xr3:uid="{441AE447-4DD3-4750-B230-B8EBBCD99009}" name="Column2356"/>
    <tableColumn id="2384" xr3:uid="{20608619-E20C-47C4-A91E-10F89DC59338}" name="Column2357"/>
    <tableColumn id="2385" xr3:uid="{72A80A51-D302-4701-8830-6F6398D1D76A}" name="Column2358"/>
    <tableColumn id="2386" xr3:uid="{45277884-C68F-46C1-A009-EBE56A9E6A74}" name="Column2359"/>
    <tableColumn id="2387" xr3:uid="{B79B9D05-2856-495B-91AC-3EEF22692E09}" name="Column2360"/>
    <tableColumn id="2388" xr3:uid="{E3078F3E-329C-4AA3-A0BE-C2A75B01773D}" name="Column2361"/>
    <tableColumn id="2389" xr3:uid="{F0DF7EAE-4299-4B80-B6C6-8FF480299C2A}" name="Column2362"/>
    <tableColumn id="2390" xr3:uid="{18A9E5EB-F8A0-431C-A7CF-297F01BED679}" name="Column2363"/>
    <tableColumn id="2391" xr3:uid="{F961AC2F-81B1-4C85-9CA6-16F8CF63CD68}" name="Column2364"/>
    <tableColumn id="2392" xr3:uid="{0F428D9F-B7A3-4922-83B2-911555F2B397}" name="Column2365"/>
    <tableColumn id="2393" xr3:uid="{6627368F-6195-451B-A79F-5C38AA47C8DA}" name="Column2366"/>
    <tableColumn id="2394" xr3:uid="{F5A40E2A-C97F-4A3E-A5F1-1F1B8DFF33A2}" name="Column2367"/>
    <tableColumn id="2395" xr3:uid="{D6BD9A2D-611A-465E-9FA3-A3D85B82462D}" name="Column2368"/>
    <tableColumn id="2396" xr3:uid="{9F54835E-3EE5-4751-B8EE-07A6BF4169CC}" name="Column2369"/>
    <tableColumn id="2397" xr3:uid="{530C44EC-62D6-470F-AF01-B0D49DF40F54}" name="Column2370"/>
    <tableColumn id="2398" xr3:uid="{2C24A909-A0B8-49D1-B9E3-762AC44908AE}" name="Column2371"/>
    <tableColumn id="2399" xr3:uid="{E461EFB5-F9FE-4E7E-8172-9A76F296AEEB}" name="Column2372"/>
    <tableColumn id="2400" xr3:uid="{1CCDCA3D-FF01-4D4C-8C4F-74F82B513DFB}" name="Column2373"/>
    <tableColumn id="2401" xr3:uid="{64EE306B-FEE7-42A6-8563-E669C2C99AC7}" name="Column2374"/>
    <tableColumn id="2402" xr3:uid="{B39A2D2D-D986-4C97-BD78-A25AB4A04A47}" name="Column2375"/>
    <tableColumn id="2403" xr3:uid="{88169C46-40D1-4FB2-90DB-8419129CE888}" name="Column2376"/>
    <tableColumn id="2404" xr3:uid="{0072D1AE-C716-4D6A-8F06-2A6106E7DAD5}" name="Column2377"/>
    <tableColumn id="2405" xr3:uid="{6DC64F72-DD44-4C32-8F98-C52FC1864AE5}" name="Column2378"/>
    <tableColumn id="2406" xr3:uid="{B2A54E9B-DF32-421C-94F6-8DF770EA90F1}" name="Column2379"/>
    <tableColumn id="2407" xr3:uid="{3E56FE28-738C-402D-9FA8-2ABF9321ED7D}" name="Column2380"/>
    <tableColumn id="2408" xr3:uid="{FF4C4BD6-9D0E-442D-A88C-98F64F94269D}" name="Column2381"/>
    <tableColumn id="2409" xr3:uid="{6F61C3E4-8BCF-429D-8CD6-B27E9B68F5D2}" name="Column2382"/>
    <tableColumn id="2410" xr3:uid="{7C2E9F81-BBAA-4853-8E9E-923654E9DDB0}" name="Column2383"/>
    <tableColumn id="2411" xr3:uid="{61D9C868-ED04-466B-A5B8-B435A927D574}" name="Column2384"/>
    <tableColumn id="2412" xr3:uid="{0B983F0F-1763-461E-BA1C-E122C10923BD}" name="Column2385"/>
    <tableColumn id="2413" xr3:uid="{7F37FD26-F38D-4A0E-9B2B-BE817A4972EE}" name="Column2386"/>
    <tableColumn id="2414" xr3:uid="{BEC86D5C-14CF-4C0E-9CB7-4971BBADB7B7}" name="Column2387"/>
    <tableColumn id="2415" xr3:uid="{52C0226F-5CD7-410D-AA9F-5B985D3B0324}" name="Column2388"/>
    <tableColumn id="2416" xr3:uid="{C3F63D95-B10C-4BF4-9821-FDFC5CE3A5E8}" name="Column2389"/>
    <tableColumn id="2417" xr3:uid="{04230779-45AD-46F8-A247-F9B278125195}" name="Column2390"/>
    <tableColumn id="2418" xr3:uid="{55A1B5D6-1486-4B9F-9685-3A755D736766}" name="Column2391"/>
    <tableColumn id="2419" xr3:uid="{A8AE8EE0-761B-482B-995B-06C6C79859A6}" name="Column2392"/>
    <tableColumn id="2420" xr3:uid="{126E3EBE-0D3E-4E56-8F7A-3A66D57AE3F3}" name="Column2393"/>
    <tableColumn id="2421" xr3:uid="{EC989926-CCD8-4A5B-8063-1ABE071E877F}" name="Column2394"/>
    <tableColumn id="2422" xr3:uid="{0CB4058C-3E4A-4857-B861-66D8A06C7E59}" name="Column2395"/>
    <tableColumn id="2423" xr3:uid="{8B0A1915-2912-49A4-8C71-DF06AC067C80}" name="Column2396"/>
    <tableColumn id="2424" xr3:uid="{8822947F-FAC3-4F23-9B49-5B65D1BEE5F8}" name="Column2397"/>
    <tableColumn id="2425" xr3:uid="{C0B7FD37-F386-4CD0-873D-7BCBD5AC5394}" name="Column2398"/>
    <tableColumn id="2426" xr3:uid="{AED43CC4-D91A-4B07-9937-E100B7B6B095}" name="Column2399"/>
    <tableColumn id="2427" xr3:uid="{CF5E36FF-7A6C-419A-A373-7E36F9B54918}" name="Column2400"/>
    <tableColumn id="2428" xr3:uid="{893C44A2-42A7-4B26-A766-FF50F26728B0}" name="Column2401"/>
    <tableColumn id="2429" xr3:uid="{B372F7D7-76FF-442C-BF36-F8FDA99EB2DD}" name="Column2402"/>
    <tableColumn id="2430" xr3:uid="{847F0EDF-73FB-47B4-997C-93B0ACA4999A}" name="Column2403"/>
    <tableColumn id="2431" xr3:uid="{45F76C5D-0C87-463C-AAB1-6C5A20D9835B}" name="Column2404"/>
    <tableColumn id="2432" xr3:uid="{2E877514-1B96-44F7-A8E3-55811D6E23A7}" name="Column2405"/>
    <tableColumn id="2433" xr3:uid="{C342B6A7-9CF8-4041-9D0F-129D8721FFC3}" name="Column2406"/>
    <tableColumn id="2434" xr3:uid="{87EE523A-4D36-434D-B563-7723C16E4F80}" name="Column2407"/>
    <tableColumn id="2435" xr3:uid="{BAC4651D-C2EE-409D-A550-ECC529BB80F3}" name="Column2408"/>
    <tableColumn id="2436" xr3:uid="{97136902-CDFD-4004-9103-6D5C1B69E3FF}" name="Column2409"/>
    <tableColumn id="2437" xr3:uid="{E4C26C37-30AC-45D7-B928-EC4138DB9EAC}" name="Column2410"/>
    <tableColumn id="2438" xr3:uid="{4D87D001-65BC-4A8D-8CE2-FE4A85136237}" name="Column2411"/>
    <tableColumn id="2439" xr3:uid="{41BF6392-91F0-46DF-9FDB-AFAB8130E451}" name="Column2412"/>
    <tableColumn id="2440" xr3:uid="{0D0D22D4-AE70-4DA8-BE33-EC02983124D8}" name="Column2413"/>
    <tableColumn id="2441" xr3:uid="{EA2F8ECD-E775-4C44-A540-52FC3C5C29BD}" name="Column2414"/>
    <tableColumn id="2442" xr3:uid="{3F1C8153-F086-4FF9-8EAB-0C9D21A6CAB5}" name="Column2415"/>
    <tableColumn id="2443" xr3:uid="{FD11002E-94B4-41E1-9593-F8260B867412}" name="Column2416"/>
    <tableColumn id="2444" xr3:uid="{710B5AEE-1D20-42B2-9649-7B0BA01635CC}" name="Column2417"/>
    <tableColumn id="2445" xr3:uid="{DB01E79E-945E-42DA-A765-6922D9F1B3DE}" name="Column2418"/>
    <tableColumn id="2446" xr3:uid="{9DB8A83E-846D-49E3-BEA3-8275412DAE25}" name="Column2419"/>
    <tableColumn id="2447" xr3:uid="{9BC1BA31-F486-4E38-8A51-05FAC3C171FA}" name="Column2420"/>
    <tableColumn id="2448" xr3:uid="{B4028372-B0E7-4595-94CB-E110AC9859DF}" name="Column2421"/>
    <tableColumn id="2449" xr3:uid="{41D78504-6D5B-49B2-AAC0-BF7AA009A845}" name="Column2422"/>
    <tableColumn id="2450" xr3:uid="{1087CF2B-4A4C-4057-8863-AE5D8B7E34FD}" name="Column2423"/>
    <tableColumn id="2451" xr3:uid="{9D700087-DB96-4333-B3B1-3B0F767BD1DF}" name="Column2424"/>
    <tableColumn id="2452" xr3:uid="{E62AAFE1-4439-4A7D-A7E3-3FBC41BD452A}" name="Column2425"/>
    <tableColumn id="2453" xr3:uid="{0B88C024-8C21-42A5-94A5-0A39DA91233C}" name="Column2426"/>
    <tableColumn id="2454" xr3:uid="{3097B447-566F-480C-AB59-E1E65501348C}" name="Column2427"/>
    <tableColumn id="2455" xr3:uid="{EA0696BE-4851-42D1-8B12-7DCF0760EBC5}" name="Column2428"/>
    <tableColumn id="2456" xr3:uid="{F5831F8F-FDC0-43F7-A75D-AA8BF66CD813}" name="Column2429"/>
    <tableColumn id="2457" xr3:uid="{99D69F44-DEE9-43F4-84C5-B1F3FD4D0867}" name="Column2430"/>
    <tableColumn id="2458" xr3:uid="{30002E3B-90A0-40BD-A433-6608E8645149}" name="Column2431"/>
    <tableColumn id="2459" xr3:uid="{2909E96A-0CC9-4636-A419-8117274A6220}" name="Column2432"/>
    <tableColumn id="2460" xr3:uid="{7E9724CC-5850-4F42-A199-8A7C0E78AECD}" name="Column2433"/>
    <tableColumn id="2461" xr3:uid="{1E731435-2FA4-48B3-94CB-C7D1127AEF72}" name="Column2434"/>
    <tableColumn id="2462" xr3:uid="{F57B60B5-7A8F-4447-8797-3E2B1F8190AF}" name="Column2435"/>
    <tableColumn id="2463" xr3:uid="{5CEDD337-AADD-4D15-8C00-44A3A6E0AA92}" name="Column2436"/>
    <tableColumn id="2464" xr3:uid="{FB81B77E-6E2C-47B2-8989-F87CCF10AE9F}" name="Column2437"/>
    <tableColumn id="2465" xr3:uid="{A731D486-2BDF-45FE-A998-D712FCBDDF9F}" name="Column2438"/>
    <tableColumn id="2466" xr3:uid="{E2092BDA-25C1-48E9-9E23-08DCC449204D}" name="Column2439"/>
    <tableColumn id="2467" xr3:uid="{2A80B5CC-05C0-42B9-B20B-2FDA6C86E447}" name="Column2440"/>
    <tableColumn id="2468" xr3:uid="{2E9C203C-AA8A-404E-96A7-1000F083E54B}" name="Column2441"/>
    <tableColumn id="2469" xr3:uid="{63B7A695-EFEC-4330-9B8D-3CA3727762AC}" name="Column2442"/>
    <tableColumn id="2470" xr3:uid="{1256D2EA-D222-4C2D-9DDF-A41F53E802C7}" name="Column2443"/>
    <tableColumn id="2471" xr3:uid="{6FB502B0-84E4-4F04-BDFD-5A1F2989CA9D}" name="Column2444"/>
    <tableColumn id="2472" xr3:uid="{0BC23786-9C95-491F-8BF1-03986CBAF95D}" name="Column2445"/>
    <tableColumn id="2473" xr3:uid="{CE3EBE3A-9A4F-46B2-8191-481BC467BA30}" name="Column2446"/>
    <tableColumn id="2474" xr3:uid="{39C58494-23E5-4851-AFC6-A6A248999BAA}" name="Column2447"/>
    <tableColumn id="2475" xr3:uid="{CD9DB48B-7A7E-4103-ACBC-6B149CCC2153}" name="Column2448"/>
    <tableColumn id="2476" xr3:uid="{2FFA5203-DB86-428B-A1D6-DA0FC92D4988}" name="Column2449"/>
    <tableColumn id="2477" xr3:uid="{3DBD0B44-3861-40E5-ADBD-7CDB388AF1A4}" name="Column2450"/>
    <tableColumn id="2478" xr3:uid="{898FFD70-67B6-4544-A738-50CB9BA42ED2}" name="Column2451"/>
    <tableColumn id="2479" xr3:uid="{6800136E-37C9-493D-8BC4-1DBA91586433}" name="Column2452"/>
    <tableColumn id="2480" xr3:uid="{DF120220-25E0-4F03-83FC-D665201CA359}" name="Column2453"/>
    <tableColumn id="2481" xr3:uid="{155BDA81-8A29-4727-B60A-9BAB2CF00B0A}" name="Column2454"/>
    <tableColumn id="2482" xr3:uid="{8F0EB072-CB91-4274-A642-C358D67AF62E}" name="Column2455"/>
    <tableColumn id="2483" xr3:uid="{64BF56DC-56FC-48FF-B1FF-312B03E3B940}" name="Column2456"/>
    <tableColumn id="2484" xr3:uid="{FB9222C2-BB61-4F22-BB0C-EEBABB461390}" name="Column2457"/>
    <tableColumn id="2485" xr3:uid="{270C191B-1D95-40F6-94F8-036FC190AE5B}" name="Column2458"/>
    <tableColumn id="2486" xr3:uid="{7BC0F4C3-D7A7-4BE8-8D83-4DC7F80A4A05}" name="Column2459"/>
    <tableColumn id="2487" xr3:uid="{2FE50493-25D2-4827-A8B4-DBBC70D89BD7}" name="Column2460"/>
    <tableColumn id="2488" xr3:uid="{D74C8F84-2C3F-4639-840E-9C24C3EEDF4A}" name="Column2461"/>
    <tableColumn id="2489" xr3:uid="{6C40316B-9995-4F66-A6D9-A56DC8092643}" name="Column2462"/>
    <tableColumn id="2490" xr3:uid="{5DB71315-4176-4D9E-BF75-9EF22E3B583B}" name="Column2463"/>
    <tableColumn id="2491" xr3:uid="{FBDCCDB9-24A6-469B-95B9-4CE22CD66F91}" name="Column2464"/>
    <tableColumn id="2492" xr3:uid="{90A0E3A2-40FD-4A0B-9D06-E06D321F2A3F}" name="Column2465"/>
    <tableColumn id="2493" xr3:uid="{37E01AE4-E7A4-43E7-9B71-D5C0028E8EF4}" name="Column2466"/>
    <tableColumn id="2494" xr3:uid="{778AC491-733D-4902-9FBF-50C50F14DD13}" name="Column2467"/>
    <tableColumn id="2495" xr3:uid="{25425B3B-74E4-429B-81BC-AB8E0BD83F76}" name="Column2468"/>
    <tableColumn id="2496" xr3:uid="{0182CC72-556C-4416-9EC0-86A06931C8F4}" name="Column2469"/>
    <tableColumn id="2497" xr3:uid="{86C7204F-AF44-4A99-96AE-13571F77FEDC}" name="Column2470"/>
    <tableColumn id="2498" xr3:uid="{73753FFE-B15A-408C-B4F3-86B93F07D0AC}" name="Column2471"/>
    <tableColumn id="2499" xr3:uid="{830D8E2B-8819-4803-ADBA-7317FC4BD498}" name="Column2472"/>
    <tableColumn id="2500" xr3:uid="{D078004C-1651-4A77-9A4B-B55937C63A12}" name="Column2473"/>
    <tableColumn id="2501" xr3:uid="{530AC92F-E1CA-4FEB-923B-9B0E5EBE9A66}" name="Column2474"/>
    <tableColumn id="2502" xr3:uid="{E5AAD33E-3ACF-4DB4-85EC-39430A5F8F12}" name="Column2475"/>
    <tableColumn id="2503" xr3:uid="{4D285F99-D740-4CB5-85D6-28F341FEC48B}" name="Column2476"/>
    <tableColumn id="2504" xr3:uid="{03DA7EA3-43B0-4844-90FC-CC6FE8E766C7}" name="Column2477"/>
    <tableColumn id="2505" xr3:uid="{894BA79E-621D-4267-968C-630E88C7BF6A}" name="Column2478"/>
    <tableColumn id="2506" xr3:uid="{1FA70CF0-3F73-4671-A0FE-9FD0C631DF44}" name="Column2479"/>
    <tableColumn id="2507" xr3:uid="{81119672-9884-4414-820A-BB2D4FBF3735}" name="Column2480"/>
    <tableColumn id="2508" xr3:uid="{10BE2D88-6E64-4C10-8D76-1DACCB0DF8DE}" name="Column2481"/>
    <tableColumn id="2509" xr3:uid="{24C32DC2-DEEF-4B43-97DE-A3BCACD57C5D}" name="Column2482"/>
    <tableColumn id="2510" xr3:uid="{7C2DA8C7-32D7-46F8-9E11-404D5A93362F}" name="Column2483"/>
    <tableColumn id="2511" xr3:uid="{30B7497D-A730-46D4-AD12-92F9F6B7A3C1}" name="Column2484"/>
    <tableColumn id="2512" xr3:uid="{B4C9D3D0-C8F0-4692-80B5-7A98DF21DDAC}" name="Column2485"/>
    <tableColumn id="2513" xr3:uid="{6E95B0C8-CD35-44F9-8407-E7BDD6A868EB}" name="Column2486"/>
    <tableColumn id="2514" xr3:uid="{CDC25713-FE0B-496F-B60D-199E4AD73FD0}" name="Column2487"/>
    <tableColumn id="2515" xr3:uid="{837EF6FD-D72A-43F8-B9C0-8A60F6C119A6}" name="Column2488"/>
    <tableColumn id="2516" xr3:uid="{F6A36799-D4BE-47D5-8D94-19EFA29D6A9F}" name="Column2489"/>
    <tableColumn id="2517" xr3:uid="{06DD78EF-54BA-4214-AF26-F0EC36F0B61F}" name="Column2490"/>
    <tableColumn id="2518" xr3:uid="{B2290C90-6D18-455E-B620-24A93E50FF20}" name="Column2491"/>
    <tableColumn id="2519" xr3:uid="{AE701D6D-FC3F-45A5-9944-BEA509CC4F0A}" name="Column2492"/>
    <tableColumn id="2520" xr3:uid="{66411101-76DE-4FBE-8F11-1B65CA994D5C}" name="Column2493"/>
    <tableColumn id="2521" xr3:uid="{31620B30-14B9-49AA-8968-1D530AA46DF3}" name="Column2494"/>
    <tableColumn id="2522" xr3:uid="{AE7BE1CC-CB86-4658-A9BF-E33CEC801A72}" name="Column2495"/>
    <tableColumn id="2523" xr3:uid="{1F2BE2BC-7508-4177-A1FA-9B60801ACECC}" name="Column2496"/>
    <tableColumn id="2524" xr3:uid="{23C0F930-640A-43AB-B3DA-31C8441B5E81}" name="Column2497"/>
    <tableColumn id="2525" xr3:uid="{2936CE13-FF55-4B79-86CE-D8A64F9C2AD5}" name="Column2498"/>
    <tableColumn id="2526" xr3:uid="{256FC84B-4594-4C11-B33B-A5FFBABD5BB2}" name="Column2499"/>
    <tableColumn id="2527" xr3:uid="{DAE43980-21B0-47AD-AA04-90786A8445D3}" name="Column2500"/>
    <tableColumn id="2528" xr3:uid="{ABA9508B-5612-4627-A115-9630157D463E}" name="Column2501"/>
    <tableColumn id="2529" xr3:uid="{562B5466-FB4D-4399-8B42-77CBA27FA7A1}" name="Column2502"/>
    <tableColumn id="2530" xr3:uid="{2EB34C33-FB0F-46BC-A56C-F9034F305630}" name="Column2503"/>
    <tableColumn id="2531" xr3:uid="{9CC5BDFA-F0DE-4801-8FE6-99987C795716}" name="Column2504"/>
    <tableColumn id="2532" xr3:uid="{5D6EA986-D4AA-4B39-8448-96024780BAAC}" name="Column2505"/>
    <tableColumn id="2533" xr3:uid="{56469DAA-AD30-4041-9BAB-6543C9076A32}" name="Column2506"/>
    <tableColumn id="2534" xr3:uid="{A02672BA-51BE-42D3-BBCF-A4BC1D107F91}" name="Column2507"/>
    <tableColumn id="2535" xr3:uid="{0CF49DB9-7333-4899-93CE-5DEA841CEC6A}" name="Column2508"/>
    <tableColumn id="2536" xr3:uid="{FF6F4344-1FE8-435D-B143-8708D68ECEB8}" name="Column2509"/>
    <tableColumn id="2537" xr3:uid="{3F3B75EA-BF65-41A6-B7BF-509DBF517B29}" name="Column2510"/>
    <tableColumn id="2538" xr3:uid="{B6451490-99A0-49A1-9A5E-A315CA48D8AE}" name="Column2511"/>
    <tableColumn id="2539" xr3:uid="{1CCD5674-02A8-40F6-8B1E-6FF061B67F49}" name="Column2512"/>
    <tableColumn id="2540" xr3:uid="{491BC253-5499-4717-ADA4-C37A0ECE1BEC}" name="Column2513"/>
    <tableColumn id="2541" xr3:uid="{936DF75C-6308-48FE-8EC2-D4A3353B1EAA}" name="Column2514"/>
    <tableColumn id="2542" xr3:uid="{99964CC7-15DA-4843-93BC-DD445D0F0704}" name="Column2515"/>
    <tableColumn id="2543" xr3:uid="{693B3477-2637-40BD-91CB-BECBDA8490F9}" name="Column2516"/>
    <tableColumn id="2544" xr3:uid="{7F021F24-6686-4053-AB94-797F717C79E1}" name="Column2517"/>
    <tableColumn id="2545" xr3:uid="{CDAFAB27-6962-4D9E-BF78-12CA3C245677}" name="Column2518"/>
    <tableColumn id="2546" xr3:uid="{17E33B38-B925-47EC-A700-1287F9C239D8}" name="Column2519"/>
    <tableColumn id="2547" xr3:uid="{A63BFB23-55EC-45EF-B783-FE3D08DAA34F}" name="Column2520"/>
    <tableColumn id="2548" xr3:uid="{BA78E5A9-C0E2-4EB0-8958-A0068D9C357A}" name="Column2521"/>
    <tableColumn id="2549" xr3:uid="{6B021360-369E-49D4-96CE-7E49BFE69143}" name="Column2522"/>
    <tableColumn id="2550" xr3:uid="{61502FF9-077E-44BD-AC40-9A38F1CFFDB4}" name="Column2523"/>
    <tableColumn id="2551" xr3:uid="{FB2FA69C-70DD-4389-8E8B-4701B9932D43}" name="Column2524"/>
    <tableColumn id="2552" xr3:uid="{614DB96C-DB5B-4EDA-BF44-C0990B07CB85}" name="Column2525"/>
    <tableColumn id="2553" xr3:uid="{C4FE0DAA-6163-47A5-8663-EFCBCD3F8BE6}" name="Column2526"/>
    <tableColumn id="2554" xr3:uid="{368FE829-3859-42B9-B462-60033D3A3030}" name="Column2527"/>
    <tableColumn id="2555" xr3:uid="{96698613-BFD7-4C23-8028-E9745B0994D4}" name="Column2528"/>
    <tableColumn id="2556" xr3:uid="{E09B824D-9211-4315-8419-7CB3B04A9487}" name="Column2529"/>
    <tableColumn id="2557" xr3:uid="{1541886B-A1C4-4E39-9AE2-F04C2AF4619B}" name="Column2530"/>
    <tableColumn id="2558" xr3:uid="{0E31F3A1-7FE2-4984-B23E-8EB07CD82AAC}" name="Column2531"/>
    <tableColumn id="2559" xr3:uid="{6B95AAAD-4D53-49B0-A45C-2BBA5B4A17E4}" name="Column2532"/>
    <tableColumn id="2560" xr3:uid="{F6A7D7AF-1AFA-4A03-9B24-9EBA0F8CD69D}" name="Column2533"/>
    <tableColumn id="2561" xr3:uid="{EF57B116-02DF-4D30-841E-A450019BD059}" name="Column2534"/>
    <tableColumn id="2562" xr3:uid="{ADCA8781-2D98-4A9C-B290-A9278E1B08A5}" name="Column2535"/>
    <tableColumn id="2563" xr3:uid="{598CD4EA-9C29-44AC-B3A3-3613E42F27CF}" name="Column2536"/>
    <tableColumn id="2564" xr3:uid="{C81F42F9-C64D-4C28-A771-84A948C6F112}" name="Column2537"/>
    <tableColumn id="2565" xr3:uid="{D9877F19-D271-41E6-8D58-90231E22032D}" name="Column2538"/>
    <tableColumn id="2566" xr3:uid="{9F0C90BB-C46E-46F2-BD7E-20C095CE81EA}" name="Column2539"/>
    <tableColumn id="2567" xr3:uid="{AC4B0CF4-13A5-47B9-AED4-5C58D166487C}" name="Column2540"/>
    <tableColumn id="2568" xr3:uid="{0741DFD9-224D-4788-9EB1-D315DD10A044}" name="Column2541"/>
    <tableColumn id="2569" xr3:uid="{C5EC8CBC-D1FA-4549-AA54-4A3F8897CD3B}" name="Column2542"/>
    <tableColumn id="2570" xr3:uid="{C862473D-6C5D-41E3-915F-B3F2A0CE5E0D}" name="Column2543"/>
    <tableColumn id="2571" xr3:uid="{48332D26-1ADD-4871-9BA2-B72FF20015ED}" name="Column2544"/>
    <tableColumn id="2572" xr3:uid="{49B187F8-274F-49A8-A9E1-FE222DF0D610}" name="Column2545"/>
    <tableColumn id="2573" xr3:uid="{E20B4745-F6FD-4425-AA0F-A98F9CE5D89E}" name="Column2546"/>
    <tableColumn id="2574" xr3:uid="{88AE29DD-22A0-4A1C-B9CB-0EA669D5AF21}" name="Column2547"/>
    <tableColumn id="2575" xr3:uid="{DAAAEE0D-7105-429E-93E7-0458B3B96BA2}" name="Column2548"/>
    <tableColumn id="2576" xr3:uid="{DA1F6D3F-05BE-412A-9812-58AB5E962D26}" name="Column2549"/>
    <tableColumn id="2577" xr3:uid="{FCFD2C35-DC46-4F24-BF26-3067DC7AB168}" name="Column2550"/>
    <tableColumn id="2578" xr3:uid="{6F81B261-C55A-4CCF-8E54-7FF0C7744335}" name="Column2551"/>
    <tableColumn id="2579" xr3:uid="{C009FC57-9AD0-43F2-80FD-4C743657FED2}" name="Column2552"/>
    <tableColumn id="2580" xr3:uid="{AB88DDD8-ABFB-4FB2-92F4-113A976ED184}" name="Column2553"/>
    <tableColumn id="2581" xr3:uid="{2D4D09F8-1869-45B2-9FF2-6AB16FA31744}" name="Column2554"/>
    <tableColumn id="2582" xr3:uid="{900DD248-D12B-4E32-9A12-5A2033D11C29}" name="Column2555"/>
    <tableColumn id="2583" xr3:uid="{BEDD36B7-7BC6-4314-8A4B-3DB6FEB36EF2}" name="Column2556"/>
    <tableColumn id="2584" xr3:uid="{2985EA84-6D47-4985-9594-7D2AE4214A42}" name="Column2557"/>
    <tableColumn id="2585" xr3:uid="{3EE51C9A-21F8-4EA7-8D6E-DC16D2A6E551}" name="Column2558"/>
    <tableColumn id="2586" xr3:uid="{210B9DEA-7A6F-46CF-8D1C-FB7CEABACB61}" name="Column2559"/>
    <tableColumn id="2587" xr3:uid="{F6E49C27-0A90-495F-9C37-3027499CBB30}" name="Column2560"/>
    <tableColumn id="2588" xr3:uid="{7B4CD0F0-00B6-4CBC-8DBF-D4629C71D557}" name="Column2561"/>
    <tableColumn id="2589" xr3:uid="{503ECF92-0A97-441C-B43E-DA1CE2390E74}" name="Column2562"/>
    <tableColumn id="2590" xr3:uid="{94268A77-694E-490C-9070-11743740D011}" name="Column2563"/>
    <tableColumn id="2591" xr3:uid="{448281E3-85FF-431D-AE9B-6E42BFED7875}" name="Column2564"/>
    <tableColumn id="2592" xr3:uid="{811C50B3-8C45-4156-BEB5-87A460524175}" name="Column2565"/>
    <tableColumn id="2593" xr3:uid="{871277A5-7208-48EA-B547-983935266158}" name="Column2566"/>
    <tableColumn id="2594" xr3:uid="{C348CC34-0C4E-4281-916B-FEC84F66BFCE}" name="Column2567"/>
    <tableColumn id="2595" xr3:uid="{F8ABD232-A2C4-49A9-8A78-BC5FD47E9CBE}" name="Column2568"/>
    <tableColumn id="2596" xr3:uid="{FF27854C-C024-4724-A85C-042D6F7C798D}" name="Column2569"/>
    <tableColumn id="2597" xr3:uid="{01C958D9-139D-46B2-9A18-C9000BB37A51}" name="Column2570"/>
    <tableColumn id="2598" xr3:uid="{DFC0611E-C1F2-4953-8E99-EFBF59DDAAC4}" name="Column2571"/>
    <tableColumn id="2599" xr3:uid="{65289FE5-5DAC-4C72-A92F-4DD398691F89}" name="Column2572"/>
    <tableColumn id="2600" xr3:uid="{E42F33FE-0E52-4870-AA0B-47208989C0C1}" name="Column2573"/>
    <tableColumn id="2601" xr3:uid="{60AE8716-65B8-426D-B234-85B21529B071}" name="Column2574"/>
    <tableColumn id="2602" xr3:uid="{7D27E636-D7B5-4693-863D-026F0F6290FB}" name="Column2575"/>
    <tableColumn id="2603" xr3:uid="{DBC0691D-C13F-46E2-AE0A-B05ECFE169D5}" name="Column2576"/>
    <tableColumn id="2604" xr3:uid="{2B92ACDF-5AA4-443D-ABDA-94AAE800B480}" name="Column2577"/>
    <tableColumn id="2605" xr3:uid="{4AC902CB-6185-43A7-AD78-F3A683C5D814}" name="Column2578"/>
    <tableColumn id="2606" xr3:uid="{43E4899E-8543-4CEB-A1AF-A2EDECA82FC5}" name="Column2579"/>
    <tableColumn id="2607" xr3:uid="{DDE1DCEA-B6B2-4AB9-B585-93E55DD86865}" name="Column2580"/>
    <tableColumn id="2608" xr3:uid="{2E6B8146-467E-4C23-94E9-3BF987150EBA}" name="Column2581"/>
    <tableColumn id="2609" xr3:uid="{4E67C5FF-4F71-448D-946A-D7BFF82282D5}" name="Column2582"/>
    <tableColumn id="2610" xr3:uid="{45727D21-E6A7-4EFA-A970-C09BFEDE4137}" name="Column2583"/>
    <tableColumn id="2611" xr3:uid="{C6AF1A64-FDD1-4AA8-8D17-257946F70B00}" name="Column2584"/>
    <tableColumn id="2612" xr3:uid="{7F848E31-114D-4DA7-8215-3C354A687131}" name="Column2585"/>
    <tableColumn id="2613" xr3:uid="{13E0B9C2-F3F3-4A1F-B398-85798F9A8141}" name="Column2586"/>
    <tableColumn id="2614" xr3:uid="{737B1E96-5EC9-471C-971B-7EDC5DF34D0F}" name="Column2587"/>
    <tableColumn id="2615" xr3:uid="{43C7C0C2-1132-4AF4-9062-8DCC6D62A582}" name="Column2588"/>
    <tableColumn id="2616" xr3:uid="{F4B2DCE7-EC53-4BB9-B53B-27982EABACCE}" name="Column2589"/>
    <tableColumn id="2617" xr3:uid="{19BDF523-DA91-40B0-88AD-2FB7E833E251}" name="Column2590"/>
    <tableColumn id="2618" xr3:uid="{CF613564-A426-4C38-A45B-0D5919A1AEC7}" name="Column2591"/>
    <tableColumn id="2619" xr3:uid="{10FCA4B2-6B90-4932-A110-E5DA5AD015A0}" name="Column2592"/>
    <tableColumn id="2620" xr3:uid="{67D2ABF9-32F6-4A87-A6C7-7B18CD361030}" name="Column2593"/>
    <tableColumn id="2621" xr3:uid="{16E54CA7-E5E3-4A8E-802D-BAFD5EDD9BEB}" name="Column2594"/>
    <tableColumn id="2622" xr3:uid="{A4B369A5-BB0E-41A0-A4C7-EFF0B4E5EA8D}" name="Column2595"/>
    <tableColumn id="2623" xr3:uid="{FBB1447F-6D37-4C1E-B7D8-1C3290FE4D7F}" name="Column2596"/>
    <tableColumn id="2624" xr3:uid="{5471B531-62F8-413C-AD49-5D495159C027}" name="Column2597"/>
    <tableColumn id="2625" xr3:uid="{3627AB30-596C-4609-A1E5-A89CF3D2B7A2}" name="Column2598"/>
    <tableColumn id="2626" xr3:uid="{3F64393C-1405-457F-B241-C0D2A68C123B}" name="Column2599"/>
    <tableColumn id="2627" xr3:uid="{94AA223E-1336-4196-92EA-4A50E39EC909}" name="Column2600"/>
    <tableColumn id="2628" xr3:uid="{511E7A0D-69F0-44BB-BF67-71388AC484B2}" name="Column2601"/>
    <tableColumn id="2629" xr3:uid="{3F0C17FD-7E7E-4F6D-834E-8C0BAF94A547}" name="Column2602"/>
    <tableColumn id="2630" xr3:uid="{F47978F4-382B-41A3-A3E2-C9C428D0F7C1}" name="Column2603"/>
    <tableColumn id="2631" xr3:uid="{60919CD0-2BE1-40EF-A6EF-F6DCC674ECA2}" name="Column2604"/>
    <tableColumn id="2632" xr3:uid="{C2261315-FE35-48A3-8212-B421C4833C2D}" name="Column2605"/>
    <tableColumn id="2633" xr3:uid="{A955A66A-3F8C-4343-99E7-D32CEBF2CAA4}" name="Column2606"/>
    <tableColumn id="2634" xr3:uid="{D9455154-520A-4ED0-8588-9518655CBC0E}" name="Column2607"/>
    <tableColumn id="2635" xr3:uid="{2E59EAA9-BF6D-435C-9E6E-FE2CF539DEBA}" name="Column2608"/>
    <tableColumn id="2636" xr3:uid="{FA35405F-3C1E-46C2-AE73-8B5A1E404116}" name="Column2609"/>
    <tableColumn id="2637" xr3:uid="{495B03D1-89C4-44A9-B540-4E8DF0A6B33A}" name="Column2610"/>
    <tableColumn id="2638" xr3:uid="{EA0C0C7A-EB88-4D0E-81C2-03798304B844}" name="Column2611"/>
    <tableColumn id="2639" xr3:uid="{D7FFE181-9545-4040-B5BF-329407146EEC}" name="Column2612"/>
    <tableColumn id="2640" xr3:uid="{3D41426D-8CA5-465D-A3B0-A9DC7B3C0830}" name="Column2613"/>
    <tableColumn id="2641" xr3:uid="{E37BCD45-C468-43B1-9E28-DF3654F4F1D9}" name="Column2614"/>
    <tableColumn id="2642" xr3:uid="{CAE45EB5-2225-47D0-8420-AA279A36C1E1}" name="Column2615"/>
    <tableColumn id="2643" xr3:uid="{831FD1AE-50DE-4867-8907-3902B52677EF}" name="Column2616"/>
    <tableColumn id="2644" xr3:uid="{C400502E-6EFD-47D9-9371-93AB51A307CD}" name="Column2617"/>
    <tableColumn id="2645" xr3:uid="{D085D343-12F9-44CA-9A84-9811485B579C}" name="Column2618"/>
    <tableColumn id="2646" xr3:uid="{8374A01A-3C86-4819-9D08-9EB3FB06D46B}" name="Column2619"/>
    <tableColumn id="2647" xr3:uid="{1E860A6C-8A66-4D47-9345-1AE64ADB2A24}" name="Column2620"/>
    <tableColumn id="2648" xr3:uid="{4A20E94C-E480-4324-8701-61FB2070CB43}" name="Column2621"/>
    <tableColumn id="2649" xr3:uid="{852EA4EF-31C2-4D21-911A-7A49A1816917}" name="Column2622"/>
    <tableColumn id="2650" xr3:uid="{2A02B178-3D65-4047-98E0-BAAF330531EB}" name="Column2623"/>
    <tableColumn id="2651" xr3:uid="{3065D852-A7A0-4A95-8277-657E9BD31F17}" name="Column2624"/>
    <tableColumn id="2652" xr3:uid="{623FCFA2-30AB-42C5-9342-17BB9FA1457C}" name="Column2625"/>
    <tableColumn id="2653" xr3:uid="{8FD385A7-CB21-42E9-B763-0F5AD067FDB4}" name="Column2626"/>
    <tableColumn id="2654" xr3:uid="{FA04A083-429C-4DD8-B38F-663DEA3915F3}" name="Column2627"/>
    <tableColumn id="2655" xr3:uid="{EDA8135D-BB72-4DDE-B89F-8BE9DBE02D57}" name="Column2628"/>
    <tableColumn id="2656" xr3:uid="{0A951067-AD78-4B63-BBB5-4B8E73839EB5}" name="Column2629"/>
    <tableColumn id="2657" xr3:uid="{10F07DED-F5F1-4A26-B768-6482DBE0B67B}" name="Column2630"/>
    <tableColumn id="2658" xr3:uid="{0BDF593C-8BCD-46BF-A668-0CCE2C05CB66}" name="Column2631"/>
    <tableColumn id="2659" xr3:uid="{AB7393AC-0B24-4F6F-8262-67956CA7A0DE}" name="Column2632"/>
    <tableColumn id="2660" xr3:uid="{7F7919E0-067F-4324-AA8E-FEA28E322CF5}" name="Column2633"/>
    <tableColumn id="2661" xr3:uid="{59E2D3F1-B938-4FFE-BB9B-CE6647F1E89C}" name="Column2634"/>
    <tableColumn id="2662" xr3:uid="{F21A7FC5-477D-4906-A8A6-478F54A94E9C}" name="Column2635"/>
    <tableColumn id="2663" xr3:uid="{EDAE9564-36E7-4EE8-8875-EDC54E8CAD54}" name="Column2636"/>
    <tableColumn id="2664" xr3:uid="{191784C2-5935-4885-8919-A2F73832A93B}" name="Column2637"/>
    <tableColumn id="2665" xr3:uid="{F2039374-9536-4918-92CE-18EFF72733EF}" name="Column2638"/>
    <tableColumn id="2666" xr3:uid="{77FAB11A-3852-4743-AE6B-6318900D88E8}" name="Column2639"/>
    <tableColumn id="2667" xr3:uid="{3E6A0836-76A8-4875-B427-A62062037E66}" name="Column2640"/>
    <tableColumn id="2668" xr3:uid="{E560F62B-A10A-43AE-842C-1A7757D57627}" name="Column2641"/>
    <tableColumn id="2669" xr3:uid="{C40B712D-E019-4D9D-8441-761CFE5FE549}" name="Column2642"/>
    <tableColumn id="2670" xr3:uid="{2F397993-C363-4C75-82C7-5A55A3B17736}" name="Column2643"/>
    <tableColumn id="2671" xr3:uid="{5C7956B2-22A7-4417-B8A8-8975449A0FEA}" name="Column2644"/>
    <tableColumn id="2672" xr3:uid="{F8A07E2E-4802-452B-8D75-1C1BD2B075F2}" name="Column2645"/>
    <tableColumn id="2673" xr3:uid="{F0515B61-2F00-4B9D-9CD5-98F734239F7E}" name="Column2646"/>
    <tableColumn id="2674" xr3:uid="{300C2D84-D02D-443D-88BD-D020DF7FA8E1}" name="Column2647"/>
    <tableColumn id="2675" xr3:uid="{4DEC5C02-DC01-4E88-BB1F-D397C50B1DC3}" name="Column2648"/>
    <tableColumn id="2676" xr3:uid="{3D4D7C60-843B-42C6-8B49-CC8AA95C5041}" name="Column2649"/>
    <tableColumn id="2677" xr3:uid="{F30FCCB7-75DC-49A7-95BA-064EF10B815E}" name="Column2650"/>
    <tableColumn id="2678" xr3:uid="{88518DED-A797-4FF5-A2E0-271D18830661}" name="Column2651"/>
    <tableColumn id="2679" xr3:uid="{444FD7B0-7E8C-44C8-9D10-7156B0B6EAFD}" name="Column2652"/>
    <tableColumn id="2680" xr3:uid="{5F06049C-64D0-4012-AA63-FC23CFB50DEA}" name="Column2653"/>
    <tableColumn id="2681" xr3:uid="{56E9FFB9-E0A2-49DC-8451-CB8CECDDF4EF}" name="Column2654"/>
    <tableColumn id="2682" xr3:uid="{6BCB2107-13F9-4FFA-BF1F-9FF1B91CFE7D}" name="Column2655"/>
    <tableColumn id="2683" xr3:uid="{CEFD0899-55AD-470E-A491-7811D6EFEDD2}" name="Column2656"/>
    <tableColumn id="2684" xr3:uid="{F2A9DF1B-332A-4022-B45B-EBCCD9B7F0AE}" name="Column2657"/>
    <tableColumn id="2685" xr3:uid="{05846F00-C0E5-4E80-9335-356C3459D8A3}" name="Column2658"/>
    <tableColumn id="2686" xr3:uid="{B217C7EB-F131-40A4-B42B-8BA6DB39B8FC}" name="Column2659"/>
    <tableColumn id="2687" xr3:uid="{5076912A-CFA5-4E36-B553-A9177853D428}" name="Column2660"/>
    <tableColumn id="2688" xr3:uid="{290D837D-CCE5-4249-BF51-8DF453B45FE1}" name="Column2661"/>
    <tableColumn id="2689" xr3:uid="{9B6B308D-AA0A-4868-B0F4-E0FE7986A1A8}" name="Column2662"/>
    <tableColumn id="2690" xr3:uid="{5C92AE23-F887-456E-B942-E6024434E160}" name="Column2663"/>
    <tableColumn id="2691" xr3:uid="{EA74F2B4-5C4D-46E4-BAC7-384DB545D642}" name="Column2664"/>
    <tableColumn id="2692" xr3:uid="{296A148B-F52C-4661-A6B5-DAC20E7297FB}" name="Column2665"/>
    <tableColumn id="2693" xr3:uid="{70E55776-26C2-49B0-A957-A1025BF48211}" name="Column2666"/>
    <tableColumn id="2694" xr3:uid="{66EB33C2-DB19-4FEF-8C76-9586804BFBDF}" name="Column2667"/>
    <tableColumn id="2695" xr3:uid="{2A58AD7A-203E-4D6C-BF06-9719B08A97DF}" name="Column2668"/>
    <tableColumn id="2696" xr3:uid="{102BF7CE-AB2A-49D1-A0F9-027E2C2BCCC7}" name="Column2669"/>
    <tableColumn id="2697" xr3:uid="{1FA907FA-C23D-43AC-BA35-4FF5C422D7A2}" name="Column2670"/>
    <tableColumn id="2698" xr3:uid="{DE2727AA-2D83-4F64-8343-2076671BF57E}" name="Column2671"/>
    <tableColumn id="2699" xr3:uid="{CA768203-8994-44F0-AA13-A8E5543ED45C}" name="Column2672"/>
    <tableColumn id="2700" xr3:uid="{59021576-7D90-4C3D-BFEC-14BAD4580A46}" name="Column2673"/>
    <tableColumn id="2701" xr3:uid="{72D37CD2-865C-49FC-9165-3099AC49C78B}" name="Column2674"/>
    <tableColumn id="2702" xr3:uid="{73383B1F-3866-4983-8BC8-C07D9F0F44CD}" name="Column2675"/>
    <tableColumn id="2703" xr3:uid="{A002EDD8-3A1D-41DD-BDC6-9EBBC5A16CDB}" name="Column2676"/>
    <tableColumn id="2704" xr3:uid="{F9ABB79A-B678-4155-9FA0-CEAE7B7329EC}" name="Column2677"/>
    <tableColumn id="2705" xr3:uid="{EF7629E3-65D9-4901-9DDA-98C53AA65687}" name="Column2678"/>
    <tableColumn id="2706" xr3:uid="{706230CB-2811-4E1F-8A29-7D53F8575158}" name="Column2679"/>
    <tableColumn id="2707" xr3:uid="{FF4F810B-A1D2-47F5-B835-C5D6B7A129BE}" name="Column2680"/>
    <tableColumn id="2708" xr3:uid="{28013F1B-2BA7-40AC-AC8C-C959EBC97001}" name="Column2681"/>
    <tableColumn id="2709" xr3:uid="{291C58CD-1158-4A14-8FF2-5109CDBB7866}" name="Column2682"/>
    <tableColumn id="2710" xr3:uid="{18A26C1A-ECF4-4953-A988-B11D914C0666}" name="Column2683"/>
    <tableColumn id="2711" xr3:uid="{B74EF67F-A78C-463F-8F77-52130CB38AA0}" name="Column2684"/>
    <tableColumn id="2712" xr3:uid="{645B92F4-D909-4C39-A499-E5838CFDD462}" name="Column2685"/>
    <tableColumn id="2713" xr3:uid="{E3852EE6-F4A7-4BF7-810A-946F951D44E6}" name="Column2686"/>
    <tableColumn id="2714" xr3:uid="{6FB5D0BB-776F-40FB-9367-CC685D3AB0F2}" name="Column2687"/>
    <tableColumn id="2715" xr3:uid="{55DFBE07-4A73-4DF6-9325-36FEA625FBC2}" name="Column2688"/>
    <tableColumn id="2716" xr3:uid="{D4155114-5E96-4A20-AA72-EE075461392E}" name="Column2689"/>
    <tableColumn id="2717" xr3:uid="{B3A96280-795A-4B9A-9167-634E2493C657}" name="Column2690"/>
    <tableColumn id="2718" xr3:uid="{D262543E-DD70-4733-9F6B-DA93748C2FCE}" name="Column2691"/>
    <tableColumn id="2719" xr3:uid="{B54EAE51-AF34-4CD6-8481-48554ADB6DE1}" name="Column2692"/>
    <tableColumn id="2720" xr3:uid="{EDE64E91-4300-45D0-9CFD-442118CF6A11}" name="Column2693"/>
    <tableColumn id="2721" xr3:uid="{100A0A94-84B6-4228-8180-428834F23AEE}" name="Column2694"/>
    <tableColumn id="2722" xr3:uid="{03CC6A8D-4A61-4C35-B720-E877D748CBE8}" name="Column2695"/>
    <tableColumn id="2723" xr3:uid="{D15730E5-8140-45F8-B3EC-554E53739831}" name="Column2696"/>
    <tableColumn id="2724" xr3:uid="{3CB38DBC-D8CC-4A91-B8DC-71277D9D703A}" name="Column2697"/>
    <tableColumn id="2725" xr3:uid="{8323FAD3-A238-402D-AA75-BDF0449A4335}" name="Column2698"/>
    <tableColumn id="2726" xr3:uid="{16F24466-73B7-447B-961A-724DE114D325}" name="Column2699"/>
    <tableColumn id="2727" xr3:uid="{9A0F4E67-F83F-4B22-918B-C68C1B6A8825}" name="Column2700"/>
    <tableColumn id="2728" xr3:uid="{54917B21-D34B-48E8-A667-DD9CAB662973}" name="Column2701"/>
    <tableColumn id="2729" xr3:uid="{97B5D291-7220-4B21-A30B-D9759BD80E95}" name="Column2702"/>
    <tableColumn id="2730" xr3:uid="{409859C8-E66C-48B4-8918-3D985C4A4875}" name="Column2703"/>
    <tableColumn id="2731" xr3:uid="{C2FF4FB0-6622-422E-A5B2-AC99BAD5ED8D}" name="Column2704"/>
    <tableColumn id="2732" xr3:uid="{D5685E04-CBAD-428F-9284-9A5CC879A001}" name="Column2705"/>
    <tableColumn id="2733" xr3:uid="{B234BDC1-EDED-41C7-8DBF-00EF7B7DE109}" name="Column2706"/>
    <tableColumn id="2734" xr3:uid="{E36418A5-1CB2-439C-A748-5DC27DE8FCAF}" name="Column2707"/>
    <tableColumn id="2735" xr3:uid="{7D99B1F6-C973-4405-ACC9-A560D666C4AE}" name="Column2708"/>
    <tableColumn id="2736" xr3:uid="{ACE30271-B644-45A6-B92A-C802C6FE53FD}" name="Column2709"/>
    <tableColumn id="2737" xr3:uid="{7B8E2E0F-6A81-4DAF-A25E-9F90048EA8D1}" name="Column2710"/>
    <tableColumn id="2738" xr3:uid="{620C268C-E7A1-4355-A714-3715425D8322}" name="Column2711"/>
    <tableColumn id="2739" xr3:uid="{4CCD786D-E96E-437E-AFAE-319D651A61B6}" name="Column2712"/>
    <tableColumn id="2740" xr3:uid="{30D0B6E8-FD56-4EA5-8F22-D93DB8119206}" name="Column2713"/>
    <tableColumn id="2741" xr3:uid="{0C4103C1-5617-4666-A9D9-0210AD69E6D4}" name="Column2714"/>
    <tableColumn id="2742" xr3:uid="{19122C26-243D-48A6-A9A9-9A992C310B8B}" name="Column2715"/>
    <tableColumn id="2743" xr3:uid="{3ECFC2F8-BF46-40F0-876D-7B64ECBE435D}" name="Column2716"/>
    <tableColumn id="2744" xr3:uid="{0EEB519A-39A6-4BAE-952B-F963D371C59E}" name="Column2717"/>
    <tableColumn id="2745" xr3:uid="{A6BAF5E0-2A05-45D5-A93F-D3388D499DCE}" name="Column2718"/>
    <tableColumn id="2746" xr3:uid="{5F2A23B5-F3C3-4EFD-B48A-4E85956EE17F}" name="Column2719"/>
    <tableColumn id="2747" xr3:uid="{B0484489-8DF8-4684-8C31-1FE1B0B5FED1}" name="Column2720"/>
    <tableColumn id="2748" xr3:uid="{32D9166F-04C1-45A9-AE88-0D6D430585EF}" name="Column2721"/>
    <tableColumn id="2749" xr3:uid="{855F3BAA-BDD7-4A56-9E47-38C84DEF836A}" name="Column2722"/>
    <tableColumn id="2750" xr3:uid="{3B6A9851-207B-4339-912F-902D355EFEB9}" name="Column2723"/>
    <tableColumn id="2751" xr3:uid="{B5D41F9A-239E-41AA-8387-73D4FADC3DB4}" name="Column2724"/>
    <tableColumn id="2752" xr3:uid="{A907E6CD-8B25-43F0-A2E5-9952A9B5C199}" name="Column2725"/>
    <tableColumn id="2753" xr3:uid="{32724FD8-5F26-4241-ABF9-BF87B376C83D}" name="Column2726"/>
    <tableColumn id="2754" xr3:uid="{64963293-5A97-45DF-AA82-EF295B28676A}" name="Column2727"/>
    <tableColumn id="2755" xr3:uid="{A4849FE4-D328-4A94-B268-DA2CFF712C7A}" name="Column2728"/>
    <tableColumn id="2756" xr3:uid="{8D1A461B-4F12-42A1-A823-5DB9B05CE6B4}" name="Column2729"/>
    <tableColumn id="2757" xr3:uid="{C32FC9AD-5980-4683-926B-885CAC48ABD4}" name="Column2730"/>
    <tableColumn id="2758" xr3:uid="{50A4C9F1-AAD9-4364-A58C-F8018698E043}" name="Column2731"/>
    <tableColumn id="2759" xr3:uid="{8AD7E513-6CC8-4367-884D-8DF9A53C91C2}" name="Column2732"/>
    <tableColumn id="2760" xr3:uid="{0D61A1B9-23D0-4586-BFDA-88364D2568FA}" name="Column2733"/>
    <tableColumn id="2761" xr3:uid="{5ADA4C02-9991-47C8-9E59-3C9737584A97}" name="Column2734"/>
    <tableColumn id="2762" xr3:uid="{6E8691AB-8797-477D-B106-D1450F335E62}" name="Column2735"/>
    <tableColumn id="2763" xr3:uid="{8562FD4B-1421-49C6-BD22-3E1A19EDB871}" name="Column2736"/>
    <tableColumn id="2764" xr3:uid="{F32AA6C0-00B8-4E7C-8D54-9E49BE4BBEC0}" name="Column2737"/>
    <tableColumn id="2765" xr3:uid="{7D24AD97-AEE2-46F9-A14A-BCD85E2B067C}" name="Column2738"/>
    <tableColumn id="2766" xr3:uid="{A7A91116-D3A2-484D-ADCC-769B6BFD204D}" name="Column2739"/>
    <tableColumn id="2767" xr3:uid="{F851F037-24BD-4B62-9256-FF917601DB6F}" name="Column2740"/>
    <tableColumn id="2768" xr3:uid="{5D149FE8-F015-4646-A764-28FB333CC718}" name="Column2741"/>
    <tableColumn id="2769" xr3:uid="{B38D2A7E-089E-4EC8-8B96-AF137ED3F61A}" name="Column2742"/>
    <tableColumn id="2770" xr3:uid="{B991FBD9-D3BD-411F-8377-D2C664C926C3}" name="Column2743"/>
    <tableColumn id="2771" xr3:uid="{BC360310-1021-4057-A7B7-6477247BF212}" name="Column2744"/>
    <tableColumn id="2772" xr3:uid="{0F12ED58-59E5-4179-ACF7-6906485A7526}" name="Column2745"/>
    <tableColumn id="2773" xr3:uid="{E2EA778E-483D-4F0B-8CE2-4E3C93FE2E09}" name="Column2746"/>
    <tableColumn id="2774" xr3:uid="{1B182876-4056-4668-9807-E387439D8127}" name="Column2747"/>
    <tableColumn id="2775" xr3:uid="{D48DFB83-884E-4462-A423-1AEA7E2A5D8E}" name="Column2748"/>
    <tableColumn id="2776" xr3:uid="{417CEC2E-50B9-4511-8FD5-6CBFDA77E884}" name="Column2749"/>
    <tableColumn id="2777" xr3:uid="{5F68DF47-A108-43D9-AF82-D0351AF3F002}" name="Column2750"/>
    <tableColumn id="2778" xr3:uid="{4B9A510E-9765-405A-A485-FD36C2D38B28}" name="Column2751"/>
    <tableColumn id="2779" xr3:uid="{439B5E4E-DAB2-4ACD-8C1B-C9FA4EBF0B1D}" name="Column2752"/>
    <tableColumn id="2780" xr3:uid="{74441538-8281-4E06-9E95-92C64840B7CB}" name="Column2753"/>
    <tableColumn id="2781" xr3:uid="{B70259A5-A87B-409F-A46C-951BFB96407C}" name="Column2754"/>
    <tableColumn id="2782" xr3:uid="{0A39F553-AEB7-44BC-8D72-FFB002405BBB}" name="Column2755"/>
    <tableColumn id="2783" xr3:uid="{6F85AF00-C50A-4180-BABA-57952F68395F}" name="Column2756"/>
    <tableColumn id="2784" xr3:uid="{232E8BD6-02DC-427F-9D98-265BCFC00D79}" name="Column2757"/>
    <tableColumn id="2785" xr3:uid="{28AD1611-F2DF-40B9-8D28-40B12DF7610D}" name="Column2758"/>
    <tableColumn id="2786" xr3:uid="{7C0E60AC-4592-4693-B54B-86AA6681AC5D}" name="Column2759"/>
    <tableColumn id="2787" xr3:uid="{D975433E-F2F5-4684-B164-A0301DAC8E1A}" name="Column2760"/>
    <tableColumn id="2788" xr3:uid="{341D7E60-28CD-4947-8D7A-B0D357E1022B}" name="Column2761"/>
    <tableColumn id="2789" xr3:uid="{4F2F4EAB-D8CD-42C3-A6DD-AE82662DC7E5}" name="Column2762"/>
    <tableColumn id="2790" xr3:uid="{53FF190F-BC35-4D92-96A5-B52C05CDEA21}" name="Column2763"/>
    <tableColumn id="2791" xr3:uid="{3479F387-A5CC-432B-B531-0BF7E41A26BF}" name="Column2764"/>
    <tableColumn id="2792" xr3:uid="{1E808458-BFCA-4629-990C-05CA716712A5}" name="Column2765"/>
    <tableColumn id="2793" xr3:uid="{986F9557-0EDB-4795-B5B3-8C5E5F354A65}" name="Column2766"/>
    <tableColumn id="2794" xr3:uid="{2CCAD189-421C-40E5-A15E-30B0F8BAB3FF}" name="Column2767"/>
    <tableColumn id="2795" xr3:uid="{5DD1E1CC-6A2D-436E-AFEA-E6BE659FBEED}" name="Column2768"/>
    <tableColumn id="2796" xr3:uid="{21252264-87E0-4DDC-B19B-B67604AB17E4}" name="Column2769"/>
    <tableColumn id="2797" xr3:uid="{F5A210BA-5922-4FD3-84DB-8AF290891D14}" name="Column2770"/>
    <tableColumn id="2798" xr3:uid="{430491D3-9B60-47EE-93A4-FBEA2B69D327}" name="Column2771"/>
    <tableColumn id="2799" xr3:uid="{0B545FAD-7827-4790-8413-AA7494404FE4}" name="Column2772"/>
    <tableColumn id="2800" xr3:uid="{73C2AB5D-7BE7-412D-82C0-1EE1765640CB}" name="Column2773"/>
    <tableColumn id="2801" xr3:uid="{CDA88ECC-8539-4258-B60F-A1B84D38CCC1}" name="Column2774"/>
    <tableColumn id="2802" xr3:uid="{73102203-801D-411E-A2A4-F6665BBEC376}" name="Column2775"/>
    <tableColumn id="2803" xr3:uid="{27946C06-C82C-44C2-9CD9-C694DF95C6DC}" name="Column2776"/>
    <tableColumn id="2804" xr3:uid="{A8EBC148-598B-4781-A0FA-1398BCBCC3FE}" name="Column2777"/>
    <tableColumn id="2805" xr3:uid="{F5B73B0B-B620-42AA-952B-64CF0B72604B}" name="Column2778"/>
    <tableColumn id="2806" xr3:uid="{E4807C75-3499-43D5-A8B5-81808B7EA152}" name="Column2779"/>
    <tableColumn id="2807" xr3:uid="{33375D47-8E1A-41A9-9E3E-ABDB7AEBB845}" name="Column2780"/>
    <tableColumn id="2808" xr3:uid="{CD4D994D-CE43-4570-B59C-029D3D4D2AD3}" name="Column2781"/>
    <tableColumn id="2809" xr3:uid="{45ACE6DF-4EC6-49DF-8C45-C168F9423A7E}" name="Column2782"/>
    <tableColumn id="2810" xr3:uid="{4089BF33-43F0-4A0B-A0F9-03EAC7032136}" name="Column2783"/>
    <tableColumn id="2811" xr3:uid="{33874DB4-AFA6-47AD-8F31-271BF433204B}" name="Column2784"/>
    <tableColumn id="2812" xr3:uid="{5F5C7A13-F58F-4D89-A428-60F54B3F0128}" name="Column2785"/>
    <tableColumn id="2813" xr3:uid="{7ED7D16B-0763-4CC1-9D20-B9393F965F82}" name="Column2786"/>
    <tableColumn id="2814" xr3:uid="{1C7E29E1-F54F-476E-AD7E-1F09ED00F7DC}" name="Column2787"/>
    <tableColumn id="2815" xr3:uid="{684F80C0-E87A-4BA7-BBFE-117CE0DEE405}" name="Column2788"/>
    <tableColumn id="2816" xr3:uid="{EC883E74-0577-4ADD-93B6-349A85BF032A}" name="Column2789"/>
    <tableColumn id="2817" xr3:uid="{4306B75B-0F36-4C69-B634-F6818BB3BA27}" name="Column2790"/>
    <tableColumn id="2818" xr3:uid="{EFAF2130-A582-47C3-BAC0-9536CE31812C}" name="Column2791"/>
    <tableColumn id="2819" xr3:uid="{F11803FF-CC53-4C63-BCE7-8D4B888DA8F6}" name="Column2792"/>
    <tableColumn id="2820" xr3:uid="{31BA6AB5-C721-4ED4-AB49-6631A891CB09}" name="Column2793"/>
    <tableColumn id="2821" xr3:uid="{BBEFC22F-5896-463A-BD89-BBF593F4E298}" name="Column2794"/>
    <tableColumn id="2822" xr3:uid="{1C3F067B-ACD5-4144-A476-9F3DFB891895}" name="Column2795"/>
    <tableColumn id="2823" xr3:uid="{9774F10A-C56F-49B5-8E4C-BC962C6309FF}" name="Column2796"/>
    <tableColumn id="2824" xr3:uid="{674EB4C1-FE20-4A0E-8849-9FFA87AA62CC}" name="Column2797"/>
    <tableColumn id="2825" xr3:uid="{0F72B3D3-E4AF-4F46-9493-8DA4111A8F1D}" name="Column2798"/>
    <tableColumn id="2826" xr3:uid="{97BBD55A-0373-4304-9408-CE9436660B49}" name="Column2799"/>
    <tableColumn id="2827" xr3:uid="{E31C1CBE-7479-47DD-8CE6-4C0E3861B39D}" name="Column2800"/>
    <tableColumn id="2828" xr3:uid="{DD29DCF7-22DD-438A-9DB9-8294E36CEC5E}" name="Column2801"/>
    <tableColumn id="2829" xr3:uid="{4082348D-952D-44B1-B369-97D290BDB37D}" name="Column2802"/>
    <tableColumn id="2830" xr3:uid="{E063AEB9-8C6F-446A-BB9B-B6D59FABDC1E}" name="Column2803"/>
    <tableColumn id="2831" xr3:uid="{6A135BE9-5126-4A8D-AD61-F7A63AA752D6}" name="Column2804"/>
    <tableColumn id="2832" xr3:uid="{A9B8C73C-998E-4968-9CB0-E289A799DB78}" name="Column2805"/>
    <tableColumn id="2833" xr3:uid="{5CA681AD-8034-417E-A657-D4EB429F65C6}" name="Column2806"/>
    <tableColumn id="2834" xr3:uid="{EF4EABF8-4A28-4519-9BA8-2641D6678114}" name="Column2807"/>
    <tableColumn id="2835" xr3:uid="{8A557737-F7CF-4C2A-B9D3-C7AF89BBA799}" name="Column2808"/>
    <tableColumn id="2836" xr3:uid="{B1A7EC6A-9F4E-479C-8143-04C8240E1BB2}" name="Column2809"/>
    <tableColumn id="2837" xr3:uid="{B906ABB9-E852-4B8D-9760-61EAF02E35CE}" name="Column2810"/>
    <tableColumn id="2838" xr3:uid="{371F5604-44B5-401A-B2DC-E055D5B03E3E}" name="Column2811"/>
    <tableColumn id="2839" xr3:uid="{B577F181-706F-466C-8302-594437EE51E1}" name="Column2812"/>
    <tableColumn id="2840" xr3:uid="{C716C03A-C302-4D34-A115-4BFAB870A1DD}" name="Column2813"/>
    <tableColumn id="2841" xr3:uid="{F265FCA7-85C2-4114-9265-541D1E8106E7}" name="Column2814"/>
    <tableColumn id="2842" xr3:uid="{1F7D8811-FE1B-49EC-A3E2-FDF241915B62}" name="Column2815"/>
    <tableColumn id="2843" xr3:uid="{A435FC1D-B260-45C1-8D65-D15C64A0E5F6}" name="Column2816"/>
    <tableColumn id="2844" xr3:uid="{270B4BF2-298E-4C28-8A9D-B4C19D2717DC}" name="Column2817"/>
    <tableColumn id="2845" xr3:uid="{FC25D840-4D7B-41A2-887D-D152F3E9809E}" name="Column2818"/>
    <tableColumn id="2846" xr3:uid="{18FDF0E2-4FDE-4BB5-A346-2918476EC8DA}" name="Column2819"/>
    <tableColumn id="2847" xr3:uid="{CE675BA8-DBE7-4F39-A199-0EEEDCDFD530}" name="Column2820"/>
    <tableColumn id="2848" xr3:uid="{4BBAFD8B-C60E-4A2D-99F0-0ECB15E01A80}" name="Column2821"/>
    <tableColumn id="2849" xr3:uid="{9F444BDB-8000-4AE8-9619-12764893F97C}" name="Column2822"/>
    <tableColumn id="2850" xr3:uid="{C21A7AF7-0884-44BF-903E-E32F4844A5C7}" name="Column2823"/>
    <tableColumn id="2851" xr3:uid="{1F444247-66C6-4B28-BD15-E6CDCA9A324B}" name="Column2824"/>
    <tableColumn id="2852" xr3:uid="{42B3E93E-B29F-4BC9-84FD-DA0F10A71E5C}" name="Column2825"/>
    <tableColumn id="2853" xr3:uid="{BD60E2D0-4DB3-4276-A133-611A4B20F755}" name="Column2826"/>
    <tableColumn id="2854" xr3:uid="{8B0FA7F2-9F76-452E-848C-557959B50B74}" name="Column2827"/>
    <tableColumn id="2855" xr3:uid="{2D3B30D5-0FD8-4EAC-8436-71325983FFE1}" name="Column2828"/>
    <tableColumn id="2856" xr3:uid="{0DA5D871-9F4F-4C49-B536-236B781D9EC8}" name="Column2829"/>
    <tableColumn id="2857" xr3:uid="{57A3ADFE-C35E-4D76-994F-6D81D26EABB9}" name="Column2830"/>
    <tableColumn id="2858" xr3:uid="{1DB69533-20FA-4717-9C17-C51753EA12A5}" name="Column2831"/>
    <tableColumn id="2859" xr3:uid="{FB20760C-53A0-43D8-A72C-ACC836093620}" name="Column2832"/>
    <tableColumn id="2860" xr3:uid="{4B5AF9BA-7B3C-43A6-A08D-71B0DF792B72}" name="Column2833"/>
    <tableColumn id="2861" xr3:uid="{6DD04F66-C805-451D-B7E0-3B7483A7566D}" name="Column2834"/>
    <tableColumn id="2862" xr3:uid="{7C493DC6-1D78-40B0-A377-5678DDD4886D}" name="Column2835"/>
    <tableColumn id="2863" xr3:uid="{E07EFCFB-E956-4325-BE54-0674CF5F8793}" name="Column2836"/>
    <tableColumn id="2864" xr3:uid="{183546B4-4040-4557-A6E4-822DB537577F}" name="Column2837"/>
    <tableColumn id="2865" xr3:uid="{0C9B495F-6177-4DC1-8EEF-DB112B70B225}" name="Column2838"/>
    <tableColumn id="2866" xr3:uid="{C60140CE-DCA0-4137-86FA-9EB3EDDFD31D}" name="Column2839"/>
    <tableColumn id="2867" xr3:uid="{99247168-D92C-449B-8D36-2C4DBD7BB935}" name="Column2840"/>
    <tableColumn id="2868" xr3:uid="{A3E5DC7C-F3CA-4A6B-B8C6-91E1194E0779}" name="Column2841"/>
    <tableColumn id="2869" xr3:uid="{81DEF5E4-F38D-4EFD-9B36-A2F8DA6AA877}" name="Column2842"/>
    <tableColumn id="2870" xr3:uid="{56C65803-DFEC-4F42-8571-CA877ECA3FFE}" name="Column2843"/>
    <tableColumn id="2871" xr3:uid="{5817BED1-6632-4AF7-939C-583A4CE7C919}" name="Column2844"/>
    <tableColumn id="2872" xr3:uid="{6D4AD14E-084C-4532-8B5E-C4C0F7E54597}" name="Column2845"/>
    <tableColumn id="2873" xr3:uid="{5224DB4A-398E-4E5F-AC8B-09F07C4EEBB9}" name="Column2846"/>
    <tableColumn id="2874" xr3:uid="{330F122D-4586-40CA-B956-8D88539B88FC}" name="Column2847"/>
    <tableColumn id="2875" xr3:uid="{FE27E9AB-2C01-4132-8C42-550B648BF404}" name="Column2848"/>
    <tableColumn id="2876" xr3:uid="{344610B1-90B7-401A-93FF-F1F9E0336B15}" name="Column2849"/>
    <tableColumn id="2877" xr3:uid="{FCE27AD3-3845-4C53-8394-71201F79BEDF}" name="Column2850"/>
    <tableColumn id="2878" xr3:uid="{C713F0F5-4E1A-4C05-B3D1-5311203707A6}" name="Column2851"/>
    <tableColumn id="2879" xr3:uid="{20695CA1-CC88-4128-9EA7-B9052F9878AF}" name="Column2852"/>
    <tableColumn id="2880" xr3:uid="{8AE7DF34-DF4A-4E34-BC5E-092BDD8B447B}" name="Column2853"/>
    <tableColumn id="2881" xr3:uid="{DE383C73-8B94-4078-AA2F-1EE4033BFEED}" name="Column2854"/>
    <tableColumn id="2882" xr3:uid="{C7233F66-A827-48C4-BE7E-394881A37F72}" name="Column2855"/>
    <tableColumn id="2883" xr3:uid="{64914769-751C-4D72-9F31-120745A707D6}" name="Column2856"/>
    <tableColumn id="2884" xr3:uid="{2C66A139-131F-41C1-82AF-4927BEC75BFB}" name="Column2857"/>
    <tableColumn id="2885" xr3:uid="{71214489-F9C4-4777-B345-2EF1C724FE5D}" name="Column2858"/>
    <tableColumn id="2886" xr3:uid="{4E2B3FB5-6892-45EF-980F-A1EEA256FB26}" name="Column2859"/>
    <tableColumn id="2887" xr3:uid="{99B2E14F-D86F-4E5A-A60E-2CCBD49DD55A}" name="Column2860"/>
    <tableColumn id="2888" xr3:uid="{5D9C8D9D-3016-4A25-A910-FBAB5A268CFA}" name="Column2861"/>
    <tableColumn id="2889" xr3:uid="{2721C919-CF86-4617-878C-CBA49B4107C3}" name="Column2862"/>
    <tableColumn id="2890" xr3:uid="{EA9D4DDB-A797-4D7B-A43B-827876E5D60B}" name="Column2863"/>
    <tableColumn id="2891" xr3:uid="{93A2AA69-5703-458A-9646-EC2D024EEDAF}" name="Column2864"/>
    <tableColumn id="2892" xr3:uid="{0AFA6199-46E8-49FF-BDEF-B1239F7D4473}" name="Column2865"/>
    <tableColumn id="2893" xr3:uid="{C0DA7AB7-AE20-4776-BA4B-75697A8ECD57}" name="Column2866"/>
    <tableColumn id="2894" xr3:uid="{F5C2270F-BB6D-412B-8608-F0BBC01C18DA}" name="Column2867"/>
    <tableColumn id="2895" xr3:uid="{95A7EA1E-800B-4370-9DB9-B475A73E4540}" name="Column2868"/>
    <tableColumn id="2896" xr3:uid="{16E790D7-F309-44A4-9207-91EAA197E294}" name="Column2869"/>
    <tableColumn id="2897" xr3:uid="{D5465029-EB40-4D6D-8BDD-DB35B08BB299}" name="Column2870"/>
    <tableColumn id="2898" xr3:uid="{52D49B45-0C4F-4794-A371-DEB09807712D}" name="Column2871"/>
    <tableColumn id="2899" xr3:uid="{91C252DC-7F14-4368-A559-97683EB9014E}" name="Column2872"/>
    <tableColumn id="2900" xr3:uid="{F01EEBB2-32CB-4D48-9C29-7886C79C1AB3}" name="Column2873"/>
    <tableColumn id="2901" xr3:uid="{C8C5035A-3800-4E21-BF45-DF166CE2E81C}" name="Column2874"/>
    <tableColumn id="2902" xr3:uid="{4F41C2B4-D6F5-445B-B53D-CA84EF9CA534}" name="Column2875"/>
    <tableColumn id="2903" xr3:uid="{7DACE6FE-602D-4C03-8839-70BE97867A20}" name="Column2876"/>
    <tableColumn id="2904" xr3:uid="{E9FA0CD7-CB1F-4FC2-8D66-17A2E1381086}" name="Column2877"/>
    <tableColumn id="2905" xr3:uid="{928BCEB3-866E-403A-A419-41DC13246797}" name="Column2878"/>
    <tableColumn id="2906" xr3:uid="{F6E930A5-8C4A-4954-BD2B-D3FF4879CC56}" name="Column2879"/>
    <tableColumn id="2907" xr3:uid="{3E6337F6-0BBD-479B-84F0-843EFBACA945}" name="Column2880"/>
    <tableColumn id="2908" xr3:uid="{168D5659-F857-4804-9F15-13A7A5BCA3D6}" name="Column2881"/>
    <tableColumn id="2909" xr3:uid="{5F5E31FA-3842-4E50-BACF-5D63D99B3D02}" name="Column2882"/>
    <tableColumn id="2910" xr3:uid="{8C8CCBD8-3846-497A-8E7D-CD491CB3C5AE}" name="Column2883"/>
    <tableColumn id="2911" xr3:uid="{84A0BF4B-1DE1-4BDD-B343-BF1A8098C8EC}" name="Column2884"/>
    <tableColumn id="2912" xr3:uid="{E17BA2B6-7981-4FFF-9F44-FD56763CC452}" name="Column2885"/>
    <tableColumn id="2913" xr3:uid="{E39E925F-823A-4311-BE3A-EC4DF5E0E578}" name="Column2886"/>
    <tableColumn id="2914" xr3:uid="{9F10E151-FEAB-4624-8596-A3F33F73919D}" name="Column2887"/>
    <tableColumn id="2915" xr3:uid="{37F34E8C-6D2A-4A93-92DD-ACAE2F838F70}" name="Column2888"/>
    <tableColumn id="2916" xr3:uid="{37B00443-D889-41AC-8B88-4962B250317B}" name="Column2889"/>
    <tableColumn id="2917" xr3:uid="{348C10B9-EA49-42C9-A219-D3FBE428593A}" name="Column2890"/>
    <tableColumn id="2918" xr3:uid="{DD92D93B-8D61-40CB-AB90-7FAE7FA84075}" name="Column2891"/>
    <tableColumn id="2919" xr3:uid="{58EE0F1B-2C79-4642-BAC0-2846251952A4}" name="Column2892"/>
    <tableColumn id="2920" xr3:uid="{B80D03E3-3004-409B-9275-A3246096DE7F}" name="Column2893"/>
    <tableColumn id="2921" xr3:uid="{4F00DE98-98A3-4193-BD9F-64A1DFC04153}" name="Column2894"/>
    <tableColumn id="2922" xr3:uid="{53C57F32-69D1-4349-88DF-016C38846E58}" name="Column2895"/>
    <tableColumn id="2923" xr3:uid="{FC994AE8-EE49-4C7C-B3B1-B9B918511E36}" name="Column2896"/>
    <tableColumn id="2924" xr3:uid="{5774F3DD-FD63-48C5-BA31-3BF29E3D976B}" name="Column2897"/>
    <tableColumn id="2925" xr3:uid="{9D37E617-8144-4F1E-9174-34A36DD09E47}" name="Column2898"/>
    <tableColumn id="2926" xr3:uid="{1026EA85-1CD6-4A01-9E29-84E626F3D495}" name="Column2899"/>
    <tableColumn id="2927" xr3:uid="{29E6DBE5-9373-445E-A0F6-522575762B60}" name="Column2900"/>
    <tableColumn id="2928" xr3:uid="{B5583F0D-A09A-4715-AF21-A2EF1F6A0B09}" name="Column2901"/>
    <tableColumn id="2929" xr3:uid="{0E152B8E-092E-4C95-B65F-1929C56EF3EC}" name="Column2902"/>
    <tableColumn id="2930" xr3:uid="{AE38FE48-E21B-4597-8624-C2F207F4E5FA}" name="Column2903"/>
    <tableColumn id="2931" xr3:uid="{3F16CAC1-AE89-45CB-B6E9-262AF07C0ACE}" name="Column2904"/>
    <tableColumn id="2932" xr3:uid="{CE148392-6253-4E7D-BFBE-14ADB96A7197}" name="Column2905"/>
    <tableColumn id="2933" xr3:uid="{0838FE44-A3EE-46BF-8170-25ABB4688743}" name="Column2906"/>
    <tableColumn id="2934" xr3:uid="{71187D5E-E2E8-4B64-95BA-E907922219DA}" name="Column2907"/>
    <tableColumn id="2935" xr3:uid="{77053296-B084-4F1E-9A74-2E94AC17C160}" name="Column2908"/>
    <tableColumn id="2936" xr3:uid="{DCFB02DB-D056-4918-B0F5-9C1F7DC29525}" name="Column2909"/>
    <tableColumn id="2937" xr3:uid="{E9C7E4DE-4D9A-4CDA-8554-801022191D59}" name="Column2910"/>
    <tableColumn id="2938" xr3:uid="{BDAE3A55-04C3-447A-B07B-78EAA854D62B}" name="Column2911"/>
    <tableColumn id="2939" xr3:uid="{08BBA89C-28AB-41EE-9AE9-0F023AEA45BC}" name="Column2912"/>
    <tableColumn id="2940" xr3:uid="{D49692FF-F416-4582-83B5-EA468C0873AB}" name="Column2913"/>
    <tableColumn id="2941" xr3:uid="{641296BB-DF2A-4E0D-8798-FAC6068E610B}" name="Column2914"/>
    <tableColumn id="2942" xr3:uid="{4933F480-3F21-4386-93A5-66ECA94035D3}" name="Column2915"/>
    <tableColumn id="2943" xr3:uid="{49C54AD7-3885-46D2-A734-D5CA3BF0D5C1}" name="Column2916"/>
    <tableColumn id="2944" xr3:uid="{C13A9D62-9D76-4754-90F4-9032B5112BE9}" name="Column2917"/>
    <tableColumn id="2945" xr3:uid="{D43E17D5-36CD-4740-BA90-DD4545D16D06}" name="Column2918"/>
    <tableColumn id="2946" xr3:uid="{C2344846-18AC-4B7D-8466-D7712A9BE1CE}" name="Column2919"/>
    <tableColumn id="2947" xr3:uid="{431AB153-06ED-4AEC-ACAE-6D0533BBC3FC}" name="Column2920"/>
    <tableColumn id="2948" xr3:uid="{2F43BD52-8667-4447-A0A5-C77D2DC3E832}" name="Column2921"/>
    <tableColumn id="2949" xr3:uid="{1D4E5B6D-4241-4FB3-9524-A7A51797D2C2}" name="Column2922"/>
    <tableColumn id="2950" xr3:uid="{F0387B3B-4FAA-48EB-830C-FC36B1381152}" name="Column2923"/>
    <tableColumn id="2951" xr3:uid="{77A06DAE-DA85-4A40-938B-023A2061EBB0}" name="Column2924"/>
    <tableColumn id="2952" xr3:uid="{44915816-468C-4979-825C-85BD3336B0B3}" name="Column2925"/>
    <tableColumn id="2953" xr3:uid="{9FD168C3-7990-4F6F-8DED-14BA6762F530}" name="Column2926"/>
    <tableColumn id="2954" xr3:uid="{4F55DE3B-19A5-4D3E-83FE-8E19A8AE6FFB}" name="Column2927"/>
    <tableColumn id="2955" xr3:uid="{76DB1C26-406E-4628-8471-A370F82A9050}" name="Column2928"/>
    <tableColumn id="2956" xr3:uid="{A0E1821E-CBA9-4C9C-9664-CB3D3942F6B2}" name="Column2929"/>
    <tableColumn id="2957" xr3:uid="{919C31B4-2C92-416A-B49D-5451A2CADBF6}" name="Column2930"/>
    <tableColumn id="2958" xr3:uid="{C6CDD93E-1A82-499B-973F-5A5A0387D833}" name="Column2931"/>
    <tableColumn id="2959" xr3:uid="{362D57F9-5D61-42F4-B0A5-E6C296216C66}" name="Column2932"/>
    <tableColumn id="2960" xr3:uid="{BC070A31-3AD0-422F-826B-8955888EB27E}" name="Column2933"/>
    <tableColumn id="2961" xr3:uid="{56189359-7626-4B57-9764-2D95B870792D}" name="Column2934"/>
    <tableColumn id="2962" xr3:uid="{DBA05D68-4158-453F-A335-895B061CAE88}" name="Column2935"/>
    <tableColumn id="2963" xr3:uid="{15891EE7-278E-42E4-8F6F-E9CFCD6021BE}" name="Column2936"/>
    <tableColumn id="2964" xr3:uid="{C58742B7-0A13-4DE5-B74A-F5CD1781B96A}" name="Column2937"/>
    <tableColumn id="2965" xr3:uid="{D3218071-D3CD-490B-8646-5026AE149AF7}" name="Column2938"/>
    <tableColumn id="2966" xr3:uid="{E08C2D5F-EC4D-49CE-82AD-E627D086E27B}" name="Column2939"/>
    <tableColumn id="2967" xr3:uid="{59BBD92C-D562-49CD-ACF0-6A2938A87268}" name="Column2940"/>
    <tableColumn id="2968" xr3:uid="{3AD31308-5D59-4F45-AEDA-8C723EB5484A}" name="Column2941"/>
    <tableColumn id="2969" xr3:uid="{D4D8FFF0-A52D-46C7-AA0C-1E4F055C278A}" name="Column2942"/>
    <tableColumn id="2970" xr3:uid="{0A465AED-4C6B-4D3A-814A-758583311B33}" name="Column2943"/>
    <tableColumn id="2971" xr3:uid="{4D8E0A8A-0F58-4409-8D89-055324A2D66D}" name="Column2944"/>
    <tableColumn id="2972" xr3:uid="{570C0D7E-D1F2-4487-98D6-92DCD940A4E8}" name="Column2945"/>
    <tableColumn id="2973" xr3:uid="{8B3344EF-FB5C-4FCB-9786-7C49E6F9585D}" name="Column2946"/>
    <tableColumn id="2974" xr3:uid="{8ED6B596-39F9-4A45-A120-9A761224E559}" name="Column2947"/>
    <tableColumn id="2975" xr3:uid="{E0BC0465-E782-477A-8001-B1CC720F2230}" name="Column2948"/>
    <tableColumn id="2976" xr3:uid="{B644A9D6-E3CE-4BAF-A7C6-570632DC7CC3}" name="Column2949"/>
    <tableColumn id="2977" xr3:uid="{0AC01D0A-D744-4B52-BCD9-D8F668A01F49}" name="Column2950"/>
    <tableColumn id="2978" xr3:uid="{E993103E-E465-48BB-9613-45AFB334DC89}" name="Column2951"/>
    <tableColumn id="2979" xr3:uid="{DCB4C4E5-A49E-4091-8CDA-EAAC6920861B}" name="Column2952"/>
    <tableColumn id="2980" xr3:uid="{17D0B392-FC0A-4092-B8AC-FF9ED081E3CC}" name="Column2953"/>
    <tableColumn id="2981" xr3:uid="{E64B25BE-F384-49EF-BE0C-21837D813D4E}" name="Column2954"/>
    <tableColumn id="2982" xr3:uid="{B2C803A2-6C77-4245-BA5B-E7DD9A1C3EFE}" name="Column2955"/>
    <tableColumn id="2983" xr3:uid="{F859F384-1454-4C01-9BD6-72D7091EC092}" name="Column2956"/>
    <tableColumn id="2984" xr3:uid="{D7F2EB9A-AE15-4A47-A1C6-226CFA25938F}" name="Column2957"/>
    <tableColumn id="2985" xr3:uid="{CCBE29C8-4867-4E4C-9569-1FAC56685E78}" name="Column2958"/>
    <tableColumn id="2986" xr3:uid="{7E357DB2-53DF-4445-96BB-0DED357A6F2E}" name="Column2959"/>
    <tableColumn id="2987" xr3:uid="{D4DFED3D-F3A3-4326-8EC7-B1D7572807F2}" name="Column2960"/>
    <tableColumn id="2988" xr3:uid="{9CFA94E2-B715-47DE-9507-A25B2A254F14}" name="Column2961"/>
    <tableColumn id="2989" xr3:uid="{D104739D-269B-4F32-AD3A-F416AAEBFA48}" name="Column2962"/>
    <tableColumn id="2990" xr3:uid="{BD5F6CC4-4C30-47B8-A6C7-FEAE25CE1286}" name="Column2963"/>
    <tableColumn id="2991" xr3:uid="{5FC6BCEE-9F2B-42F3-834F-9BF18480182A}" name="Column2964"/>
    <tableColumn id="2992" xr3:uid="{5242FEEF-8EDB-49C0-89C9-060F54DC311E}" name="Column2965"/>
    <tableColumn id="2993" xr3:uid="{0D50C163-3CEF-453D-841B-2F43DDDFE6EE}" name="Column2966"/>
    <tableColumn id="2994" xr3:uid="{DAA57698-EB9F-4FDC-8F90-DE4EFEE5CB5B}" name="Column2967"/>
    <tableColumn id="2995" xr3:uid="{887B901F-883E-462D-BE34-A40D241F9722}" name="Column2968"/>
    <tableColumn id="2996" xr3:uid="{EA3C5A6B-836A-486B-A1AC-D5F99CD663EB}" name="Column2969"/>
    <tableColumn id="2997" xr3:uid="{7010D0BF-3E64-43AC-B65A-A1AF28926FF8}" name="Column2970"/>
    <tableColumn id="2998" xr3:uid="{664B8204-CBF4-47CB-AB46-64553C1A7F20}" name="Column2971"/>
    <tableColumn id="2999" xr3:uid="{5C1C6382-50AA-4BDF-A56B-4C6558F59333}" name="Column2972"/>
    <tableColumn id="3000" xr3:uid="{47756F1C-8EFA-4149-8BC8-C580E75DF558}" name="Column2973"/>
    <tableColumn id="3001" xr3:uid="{221D0202-DB85-45E3-A675-0C2D4EFE4102}" name="Column2974"/>
    <tableColumn id="3002" xr3:uid="{BE49776D-902C-439D-8570-CDB23ACFD564}" name="Column2975"/>
    <tableColumn id="3003" xr3:uid="{CBBBC631-17FD-42D1-9209-27AD12236DDF}" name="Column2976"/>
    <tableColumn id="3004" xr3:uid="{59534604-4E28-4F2A-A6A9-87BCA591B4A9}" name="Column2977"/>
    <tableColumn id="3005" xr3:uid="{61E0F91B-B4F7-437E-89B8-DDEE4A5A5A9D}" name="Column2978"/>
    <tableColumn id="3006" xr3:uid="{8D58395A-C7E5-4478-B475-9311BD5FD8EE}" name="Column2979"/>
    <tableColumn id="3007" xr3:uid="{B5566BF1-8FEE-4FDC-98FF-8FE558FBB599}" name="Column2980"/>
    <tableColumn id="3008" xr3:uid="{69BBF15C-0B03-43A7-9722-94B0995491C0}" name="Column2981"/>
    <tableColumn id="3009" xr3:uid="{001C4297-EE48-4C4A-B92F-E3448818657C}" name="Column2982"/>
    <tableColumn id="3010" xr3:uid="{672ED39F-9366-4E40-B1AC-1E6E406F5B02}" name="Column2983"/>
    <tableColumn id="3011" xr3:uid="{D38FE22B-0032-4EB5-8365-F5F878AA74C1}" name="Column2984"/>
    <tableColumn id="3012" xr3:uid="{CEA9BB02-F45B-4ED7-B63B-2103B17E2BE9}" name="Column2985"/>
    <tableColumn id="3013" xr3:uid="{99FFFA32-602A-4514-9568-56AE1FBC3EA3}" name="Column2986"/>
    <tableColumn id="3014" xr3:uid="{282C3564-5057-4343-B674-B3B5D0D18995}" name="Column2987"/>
    <tableColumn id="3015" xr3:uid="{D7F39465-2093-4143-B6A5-07BFC6156E58}" name="Column2988"/>
    <tableColumn id="3016" xr3:uid="{839C655E-A975-4FD0-8198-51FD61F6B2AF}" name="Column2989"/>
    <tableColumn id="3017" xr3:uid="{E5C84109-63C8-4C6A-B568-3D528B22720D}" name="Column2990"/>
    <tableColumn id="3018" xr3:uid="{8763C76F-4885-424A-9423-ECD752C07355}" name="Column2991"/>
    <tableColumn id="3019" xr3:uid="{8B962C1E-944C-4411-BB40-C2A402FE7A10}" name="Column2992"/>
    <tableColumn id="3020" xr3:uid="{5C05EE8B-4922-4D06-B962-F47039216647}" name="Column2993"/>
    <tableColumn id="3021" xr3:uid="{78FE5D40-15E2-433D-A82A-E95C6A6E02A5}" name="Column2994"/>
    <tableColumn id="3022" xr3:uid="{9841DD3C-871F-4E60-B3D5-55C03BFD0939}" name="Column2995"/>
    <tableColumn id="3023" xr3:uid="{5D9A59AB-2838-4962-9862-5DC458C47943}" name="Column2996"/>
    <tableColumn id="3024" xr3:uid="{0B6F3CDF-CC47-46EE-93D4-8F711A594693}" name="Column2997"/>
    <tableColumn id="3025" xr3:uid="{54C07C5B-90E9-4B49-BB60-631DA83AC965}" name="Column2998"/>
    <tableColumn id="3026" xr3:uid="{E1E77799-FC90-42D9-90FD-BDEA5415910A}" name="Column2999"/>
    <tableColumn id="3027" xr3:uid="{2746E48D-8497-4376-BD37-0767A9C52466}" name="Column3000"/>
    <tableColumn id="3028" xr3:uid="{F431ADBF-AFF0-49D3-8DE2-976C7932D831}" name="Column3001"/>
    <tableColumn id="3029" xr3:uid="{72ECFB2C-DDB0-4527-B9F3-BEC1D2C90AE1}" name="Column3002"/>
    <tableColumn id="3030" xr3:uid="{5CD16DE0-4A1C-410F-8287-BD9F9C0825C6}" name="Column3003"/>
    <tableColumn id="3031" xr3:uid="{789BA288-52CD-475E-8EFC-22610FD52B94}" name="Column3004"/>
    <tableColumn id="3032" xr3:uid="{7CFBF860-F61D-4E38-B853-B750B5328C3C}" name="Column3005"/>
    <tableColumn id="3033" xr3:uid="{D8D5C501-3929-4437-8CE7-E23EA167877E}" name="Column3006"/>
    <tableColumn id="3034" xr3:uid="{98B0F73D-4935-4C43-BC07-E3DA2DD00036}" name="Column3007"/>
    <tableColumn id="3035" xr3:uid="{315EF46A-7DA1-4F5E-BD18-94D5B5847C6E}" name="Column3008"/>
    <tableColumn id="3036" xr3:uid="{223DC479-7339-49DC-8B4C-C1CE0D3BDE73}" name="Column3009"/>
    <tableColumn id="3037" xr3:uid="{2DE6F649-FB32-4061-B418-B9021CA489F3}" name="Column3010"/>
    <tableColumn id="3038" xr3:uid="{4311BCE7-BECA-44B2-A296-77206144EA48}" name="Column3011"/>
    <tableColumn id="3039" xr3:uid="{EFC53798-4D83-486B-8571-3FE936CBB708}" name="Column3012"/>
    <tableColumn id="3040" xr3:uid="{61F370A6-E620-445A-8296-5889AEA1F652}" name="Column3013"/>
    <tableColumn id="3041" xr3:uid="{0F91A478-2410-455B-9A79-D8DB632C0510}" name="Column3014"/>
    <tableColumn id="3042" xr3:uid="{C4425C6F-481B-4774-AE66-FFF78E83160D}" name="Column3015"/>
    <tableColumn id="3043" xr3:uid="{F6C9005A-9D10-4A14-8615-F834770CE54C}" name="Column3016"/>
    <tableColumn id="3044" xr3:uid="{D656B6A1-A25C-46B0-948B-EF3B2D13D435}" name="Column3017"/>
    <tableColumn id="3045" xr3:uid="{B0D1AAC1-0F56-4886-9B50-E2AC9048392C}" name="Column3018"/>
    <tableColumn id="3046" xr3:uid="{F57715B9-A478-4A46-A4D3-DCAEECBC6AF7}" name="Column3019"/>
    <tableColumn id="3047" xr3:uid="{628E99C9-68DE-40A8-BA47-150D75A5AD8B}" name="Column3020"/>
    <tableColumn id="3048" xr3:uid="{19A85107-4DBB-4E71-8618-CAE027F37422}" name="Column3021"/>
    <tableColumn id="3049" xr3:uid="{AE8E19D9-B96B-495A-A069-D6968632DA82}" name="Column3022"/>
    <tableColumn id="3050" xr3:uid="{F82B84BA-BB64-4181-A700-664A784742A8}" name="Column3023"/>
    <tableColumn id="3051" xr3:uid="{B967C832-2E5A-4576-86DD-20A4596C035B}" name="Column3024"/>
    <tableColumn id="3052" xr3:uid="{DE782259-AE48-480F-91E9-62252FE60935}" name="Column3025"/>
    <tableColumn id="3053" xr3:uid="{FF18287F-CCA9-4775-BD15-061504DDD361}" name="Column3026"/>
    <tableColumn id="3054" xr3:uid="{3962F1D3-D81C-42A5-A13E-FE4DA17DAFFD}" name="Column3027"/>
    <tableColumn id="3055" xr3:uid="{04D9F973-9093-4F4D-B1A1-16BF8A097A14}" name="Column3028"/>
    <tableColumn id="3056" xr3:uid="{BE45BF14-120B-4AB8-AB8E-05681D9A766B}" name="Column3029"/>
    <tableColumn id="3057" xr3:uid="{FDA49823-5866-4225-B3EB-C97EE5F5214D}" name="Column3030"/>
    <tableColumn id="3058" xr3:uid="{B8EB2542-338B-4B27-8017-61DB011CDEE9}" name="Column3031"/>
    <tableColumn id="3059" xr3:uid="{AA8A5ACB-F501-4924-BF81-491D6DF63309}" name="Column3032"/>
    <tableColumn id="3060" xr3:uid="{40319B44-7507-4C12-BD92-E021E6E63CBF}" name="Column3033"/>
    <tableColumn id="3061" xr3:uid="{6D575CB1-809B-4EA1-9953-CB675F33AE98}" name="Column3034"/>
    <tableColumn id="3062" xr3:uid="{DBFE7966-EEC8-4E74-95E6-7D16E580421E}" name="Column3035"/>
    <tableColumn id="3063" xr3:uid="{40AEE14C-2EC4-4F2D-9A55-9C0CE893BEA4}" name="Column3036"/>
    <tableColumn id="3064" xr3:uid="{59DBA36A-7D82-4B9D-BBBC-D18D883EE15B}" name="Column3037"/>
    <tableColumn id="3065" xr3:uid="{02F49E6C-4778-4157-8417-7815F26CAD86}" name="Column3038"/>
    <tableColumn id="3066" xr3:uid="{5E8DC99E-EBCC-4DA8-B2F1-79B54EB4ED14}" name="Column3039"/>
    <tableColumn id="3067" xr3:uid="{A54EB3A6-BECB-4464-AE94-F8B0C3BC31C3}" name="Column3040"/>
    <tableColumn id="3068" xr3:uid="{DD2888A3-35B8-46EF-8116-B285B6A422D1}" name="Column3041"/>
    <tableColumn id="3069" xr3:uid="{44CD4522-185E-4283-A799-7DD2434C4140}" name="Column3042"/>
    <tableColumn id="3070" xr3:uid="{5D3A7226-84C8-4899-94DE-AF920F1863A4}" name="Column3043"/>
    <tableColumn id="3071" xr3:uid="{6BFACCAE-8E35-4A21-A134-CA94D7FEAAD1}" name="Column3044"/>
    <tableColumn id="3072" xr3:uid="{C26A5007-F83A-423E-9331-C949C378CD3A}" name="Column3045"/>
    <tableColumn id="3073" xr3:uid="{7B3508FC-C3FA-4843-9ABA-C1ECA1E7E7B2}" name="Column3046"/>
    <tableColumn id="3074" xr3:uid="{F05226AB-887B-4F48-A2FF-ED5A8F4E6E6C}" name="Column3047"/>
    <tableColumn id="3075" xr3:uid="{7868FE71-EA42-4090-B996-DDA0542B7CE0}" name="Column3048"/>
    <tableColumn id="3076" xr3:uid="{3FBB8B9A-CA3F-430F-83AD-944380CBD7FE}" name="Column3049"/>
    <tableColumn id="3077" xr3:uid="{88D675A1-FD6F-4551-9A5C-F3D028A417C7}" name="Column3050"/>
    <tableColumn id="3078" xr3:uid="{C6755293-E3D2-4644-9C95-B0D6280AD8F4}" name="Column3051"/>
    <tableColumn id="3079" xr3:uid="{75D23314-B0A2-489F-AE96-17836CBFABB6}" name="Column3052"/>
    <tableColumn id="3080" xr3:uid="{15D16358-9036-4959-8BA1-D42A4719A6B1}" name="Column3053"/>
    <tableColumn id="3081" xr3:uid="{FA820F19-7E80-484F-A70D-546D461CAAA0}" name="Column3054"/>
    <tableColumn id="3082" xr3:uid="{154E35BF-C135-49E7-B2C3-AAE5831D3281}" name="Column3055"/>
    <tableColumn id="3083" xr3:uid="{7D7B8327-38E3-4D19-BB7F-A183D956324B}" name="Column3056"/>
    <tableColumn id="3084" xr3:uid="{E560BBC0-82E0-44BA-A48A-A8A66DDCEF55}" name="Column3057"/>
    <tableColumn id="3085" xr3:uid="{EE5EF4F6-7AFE-42B6-872A-8A14911BCE3B}" name="Column3058"/>
    <tableColumn id="3086" xr3:uid="{34ADB4A0-69D3-4343-962E-93BDD024223B}" name="Column3059"/>
    <tableColumn id="3087" xr3:uid="{EC066401-9969-4DFE-A688-3CF851DCC801}" name="Column3060"/>
    <tableColumn id="3088" xr3:uid="{D518FCDE-BD77-45EB-AA6D-0D66EA6EF55C}" name="Column3061"/>
    <tableColumn id="3089" xr3:uid="{32DB1C23-C7E4-44E2-8EDB-BDECC61550EA}" name="Column3062"/>
    <tableColumn id="3090" xr3:uid="{2F8946C3-5B4F-4345-ACB2-C696C784B5D4}" name="Column3063"/>
    <tableColumn id="3091" xr3:uid="{0F6EE9D2-9CB7-4957-A1F0-124D9F823F00}" name="Column3064"/>
    <tableColumn id="3092" xr3:uid="{5FB3376A-1DAA-4E6D-98CB-8C8800ACE24B}" name="Column3065"/>
    <tableColumn id="3093" xr3:uid="{53FA6442-10E8-4BF9-8C00-DB39C60A46C7}" name="Column3066"/>
    <tableColumn id="3094" xr3:uid="{6A3B7013-413D-44CC-9286-2195C509F30C}" name="Column3067"/>
    <tableColumn id="3095" xr3:uid="{D752EA8E-4EA0-44AE-9575-25201B22109B}" name="Column3068"/>
    <tableColumn id="3096" xr3:uid="{8F806187-0E41-47F3-AAE5-706420F3E987}" name="Column3069"/>
    <tableColumn id="3097" xr3:uid="{458A3ACA-C8AF-490C-A24D-C37FF8254704}" name="Column3070"/>
    <tableColumn id="3098" xr3:uid="{833FF92B-4314-4E68-BA6F-2F37C641F9BA}" name="Column3071"/>
    <tableColumn id="3099" xr3:uid="{82A7EF14-B16F-40E4-86B3-F255D4C7C703}" name="Column3072"/>
    <tableColumn id="3100" xr3:uid="{EE2120EC-FF55-4884-AC05-9BA36105C01F}" name="Column3073"/>
    <tableColumn id="3101" xr3:uid="{D5BADC1F-FEF6-4CBE-8F58-657BA65C8127}" name="Column3074"/>
    <tableColumn id="3102" xr3:uid="{8A3FD3B2-B38C-495A-852C-700967C9030A}" name="Column3075"/>
    <tableColumn id="3103" xr3:uid="{8AA6D300-378B-4219-9C5D-200F2A428971}" name="Column3076"/>
    <tableColumn id="3104" xr3:uid="{220A92E4-051F-429B-92B6-AD8AD301E3A5}" name="Column3077"/>
    <tableColumn id="3105" xr3:uid="{36E7F4DF-75E4-48A3-AF2A-38803ECA810E}" name="Column3078"/>
    <tableColumn id="3106" xr3:uid="{89AB8438-2CE8-4CBC-A87E-31535D9CAD71}" name="Column3079"/>
    <tableColumn id="3107" xr3:uid="{E49B671E-A92E-49C6-B61C-DEC73888885C}" name="Column3080"/>
    <tableColumn id="3108" xr3:uid="{ED7F4A52-9215-489D-8405-2C5F4A10CA0F}" name="Column3081"/>
    <tableColumn id="3109" xr3:uid="{53B46569-375F-4FED-A6C1-DA04CBA92950}" name="Column3082"/>
    <tableColumn id="3110" xr3:uid="{0BCB7260-72E5-4A33-BE33-447A6E070E5C}" name="Column3083"/>
    <tableColumn id="3111" xr3:uid="{36657142-3055-44A7-BDBE-BE6B8AC5FC24}" name="Column3084"/>
    <tableColumn id="3112" xr3:uid="{0C292170-0736-4EC7-B56D-05FF28C4D03B}" name="Column3085"/>
    <tableColumn id="3113" xr3:uid="{924C9A7A-8828-4836-AC87-70FC4BA51121}" name="Column3086"/>
    <tableColumn id="3114" xr3:uid="{7759B0CB-F733-4E58-94E7-3317586BD1B7}" name="Column3087"/>
    <tableColumn id="3115" xr3:uid="{8E71D591-E20C-4EE0-BE45-BDA4FF163FDD}" name="Column3088"/>
    <tableColumn id="3116" xr3:uid="{E4CA59B3-85A8-4C5A-9D93-333995011DAB}" name="Column3089"/>
    <tableColumn id="3117" xr3:uid="{F34AE1E4-B1F9-4BB4-BCB4-BF287F43ADF3}" name="Column3090"/>
    <tableColumn id="3118" xr3:uid="{23BC8C62-F78A-4A45-BE87-4DA2BEAC981E}" name="Column3091"/>
    <tableColumn id="3119" xr3:uid="{91206EE0-C30A-4D6E-8B7F-FB3780923B0E}" name="Column3092"/>
    <tableColumn id="3120" xr3:uid="{81D84FCB-F75F-4722-A17C-6B1330B199EA}" name="Column3093"/>
    <tableColumn id="3121" xr3:uid="{3717BBB2-64BA-435D-A189-D51B2CBA0C3B}" name="Column3094"/>
    <tableColumn id="3122" xr3:uid="{54060127-8EDC-4170-BD85-1E05F9AD0020}" name="Column3095"/>
    <tableColumn id="3123" xr3:uid="{60E1CC99-8A02-4197-8474-24C6605C2157}" name="Column3096"/>
    <tableColumn id="3124" xr3:uid="{3429122E-AC69-4537-A4F4-B5D918CC46B6}" name="Column3097"/>
    <tableColumn id="3125" xr3:uid="{524F46EC-889E-42E8-895E-74CEC24D15AE}" name="Column3098"/>
    <tableColumn id="3126" xr3:uid="{0CE4D15A-6301-47F2-956E-4889174D3B2A}" name="Column3099"/>
    <tableColumn id="3127" xr3:uid="{9FEA59EF-A128-4F26-908C-6EBC49C49B75}" name="Column3100"/>
    <tableColumn id="3128" xr3:uid="{4B2E5E09-8895-4971-B6FA-84525E46B039}" name="Column3101"/>
    <tableColumn id="3129" xr3:uid="{8416D836-B08E-4218-982D-B07B923F40E6}" name="Column3102"/>
    <tableColumn id="3130" xr3:uid="{2004E9DF-B3E1-4E1A-B740-8BE6ABFF85CB}" name="Column3103"/>
    <tableColumn id="3131" xr3:uid="{BDADD47E-D1E2-4FD4-8F57-EA0BE4A9758F}" name="Column3104"/>
    <tableColumn id="3132" xr3:uid="{57F1EA00-6691-4720-B44E-EFED62B5C4FF}" name="Column3105"/>
    <tableColumn id="3133" xr3:uid="{BAEE8D32-A903-41BD-8339-2D4E932F6449}" name="Column3106"/>
    <tableColumn id="3134" xr3:uid="{6D5ACCA3-9389-4C0A-ABC7-53A56B78484E}" name="Column3107"/>
    <tableColumn id="3135" xr3:uid="{E3BFF340-3A25-4E5C-A9E0-86F9B6684361}" name="Column3108"/>
    <tableColumn id="3136" xr3:uid="{E2DE2817-0593-4F1E-9596-25F6A99898A2}" name="Column3109"/>
    <tableColumn id="3137" xr3:uid="{040ECC92-E73F-4DA2-BEB4-66E95DFC20B4}" name="Column3110"/>
    <tableColumn id="3138" xr3:uid="{8A3B433B-EC5E-4612-95B1-730DD48799D6}" name="Column3111"/>
    <tableColumn id="3139" xr3:uid="{7B4F8999-6579-46A3-B25C-31A196335C6F}" name="Column3112"/>
    <tableColumn id="3140" xr3:uid="{D1317061-1AC2-48C9-A973-B376E1C4997F}" name="Column3113"/>
    <tableColumn id="3141" xr3:uid="{CBCD61FE-AD3C-414E-99B3-503DE64BECF5}" name="Column3114"/>
    <tableColumn id="3142" xr3:uid="{779D8A1E-87C9-4C5C-97EF-B75F79EA0CA7}" name="Column3115"/>
    <tableColumn id="3143" xr3:uid="{69212E9C-DA04-496A-BC15-1BA67351237A}" name="Column3116"/>
    <tableColumn id="3144" xr3:uid="{D1BE62B1-8631-4D38-B1C5-28A2E85C88B0}" name="Column3117"/>
    <tableColumn id="3145" xr3:uid="{91E2C6FC-F029-4D2E-9952-11C20105381B}" name="Column3118"/>
    <tableColumn id="3146" xr3:uid="{4553CAF0-8DE8-4718-93B5-FDD3C65F19A1}" name="Column3119"/>
    <tableColumn id="3147" xr3:uid="{B2EA6D59-2FD2-48D8-A227-D26E9B4F6E6A}" name="Column3120"/>
    <tableColumn id="3148" xr3:uid="{2E61B53C-3680-4985-8AA5-28EA25DEAAE5}" name="Column3121"/>
    <tableColumn id="3149" xr3:uid="{8F08B153-D831-464D-8FCB-F70B5D8DC905}" name="Column3122"/>
    <tableColumn id="3150" xr3:uid="{E7EC3FC6-7DDE-4E07-80A1-CA342210707A}" name="Column3123"/>
    <tableColumn id="3151" xr3:uid="{CA7CB97E-A06A-4039-B4FA-898CB237CFA0}" name="Column3124"/>
    <tableColumn id="3152" xr3:uid="{D043E895-EB3F-437D-A0BE-555A8D4E1BAF}" name="Column3125"/>
    <tableColumn id="3153" xr3:uid="{0F5A9D98-EA9E-4192-975E-C3399B72F429}" name="Column3126"/>
    <tableColumn id="3154" xr3:uid="{AC7D134F-E216-4290-8CF8-647B41C95837}" name="Column3127"/>
    <tableColumn id="3155" xr3:uid="{B0ABDBE1-3ADD-4691-8B6E-837A4CA018FE}" name="Column3128"/>
    <tableColumn id="3156" xr3:uid="{DBB788CE-B15C-4783-814F-046B85F5A2B2}" name="Column3129"/>
    <tableColumn id="3157" xr3:uid="{69A2BD52-1676-435A-AE39-66C1EADD25CB}" name="Column3130"/>
    <tableColumn id="3158" xr3:uid="{3A531787-1453-480F-B8E8-0A79DA0CDACC}" name="Column3131"/>
    <tableColumn id="3159" xr3:uid="{06AF9DD0-38EE-4681-803F-1DC908A6B0F6}" name="Column3132"/>
    <tableColumn id="3160" xr3:uid="{5F999453-1689-4F22-8CA7-FB5A0B16FD3F}" name="Column3133"/>
    <tableColumn id="3161" xr3:uid="{B1E122D2-7483-493E-BC7E-88F26360743B}" name="Column3134"/>
    <tableColumn id="3162" xr3:uid="{EC149F6A-A7A4-4412-9725-DACFABE04639}" name="Column3135"/>
    <tableColumn id="3163" xr3:uid="{FCA9AC0E-3745-4E7F-8D10-836933AAFEAB}" name="Column3136"/>
    <tableColumn id="3164" xr3:uid="{C06927BA-C733-4279-A450-EAF99D5A0D7A}" name="Column3137"/>
    <tableColumn id="3165" xr3:uid="{65F9C2F1-E050-490D-A791-462D843180B2}" name="Column3138"/>
    <tableColumn id="3166" xr3:uid="{80CBCA3C-E202-418D-855A-5BDADD989759}" name="Column3139"/>
    <tableColumn id="3167" xr3:uid="{66F83973-8EB8-419D-AB10-C1C25836EABC}" name="Column3140"/>
    <tableColumn id="3168" xr3:uid="{6F915FE7-2A06-4CEC-AB3A-C24F1FB6DC33}" name="Column3141"/>
    <tableColumn id="3169" xr3:uid="{055D860C-2E2D-489C-9A1A-D27B1858737D}" name="Column3142"/>
    <tableColumn id="3170" xr3:uid="{E6C47F08-AED4-48E3-A452-9CF3398BFE51}" name="Column3143"/>
    <tableColumn id="3171" xr3:uid="{B44EC8A8-076D-49E0-A3E0-A5431F14974F}" name="Column3144"/>
    <tableColumn id="3172" xr3:uid="{0573DF68-4527-4F83-BBC0-B329F41C25DA}" name="Column3145"/>
    <tableColumn id="3173" xr3:uid="{5470A23F-E276-4173-91AE-23B79E93F8A8}" name="Column3146"/>
    <tableColumn id="3174" xr3:uid="{43CF6D69-1B9D-4D10-9DD5-0B056BDADDEC}" name="Column3147"/>
    <tableColumn id="3175" xr3:uid="{0E58AD5C-BDEE-4975-B964-69A399AF2519}" name="Column3148"/>
    <tableColumn id="3176" xr3:uid="{302BDFD1-6A92-4C30-AD03-369C0C42E83A}" name="Column3149"/>
    <tableColumn id="3177" xr3:uid="{BFB3B325-FC79-41F0-8A8B-67892E54290C}" name="Column3150"/>
    <tableColumn id="3178" xr3:uid="{9176066A-19D9-4C6F-ADD8-862AA7767675}" name="Column3151"/>
    <tableColumn id="3179" xr3:uid="{9FFAA115-5BDB-4B11-B928-6A393870D117}" name="Column3152"/>
    <tableColumn id="3180" xr3:uid="{F9810E38-E45C-4814-AEEB-64B6824D7753}" name="Column3153"/>
    <tableColumn id="3181" xr3:uid="{5689F417-F1A3-47E9-A529-770E0ECE0134}" name="Column3154"/>
    <tableColumn id="3182" xr3:uid="{B8D38E7C-D964-456C-89FD-200977BFC37D}" name="Column3155"/>
    <tableColumn id="3183" xr3:uid="{EFB4ECC8-F4B2-4F0D-9825-3CBF24BEB286}" name="Column3156"/>
    <tableColumn id="3184" xr3:uid="{544CE012-ABB0-4D61-9B43-B775354955AD}" name="Column3157"/>
    <tableColumn id="3185" xr3:uid="{89506592-AB28-4B6F-84CE-9507835A2A7E}" name="Column3158"/>
    <tableColumn id="3186" xr3:uid="{94F88057-2893-49ED-9620-437510A08922}" name="Column3159"/>
    <tableColumn id="3187" xr3:uid="{3490C2F1-C8BF-42B4-BCF3-75395AB676D4}" name="Column3160"/>
    <tableColumn id="3188" xr3:uid="{ED3A804B-5EC0-4671-873A-A513BEED2AFC}" name="Column3161"/>
    <tableColumn id="3189" xr3:uid="{BB84DB75-0A19-4BB4-9347-61AB208A9327}" name="Column3162"/>
    <tableColumn id="3190" xr3:uid="{F88EE545-1C5C-4FA9-8C47-4D09A20D69EA}" name="Column3163"/>
    <tableColumn id="3191" xr3:uid="{5F3B1AB2-629F-410F-AB66-77925FC9E5DF}" name="Column3164"/>
    <tableColumn id="3192" xr3:uid="{47006E93-3CEF-4665-BD4C-2D1FA5214155}" name="Column3165"/>
    <tableColumn id="3193" xr3:uid="{2003E30F-0B87-44E0-B7B2-3FA577B3BAC1}" name="Column3166"/>
    <tableColumn id="3194" xr3:uid="{77F41FA4-427C-4003-A90B-0D59FFF9CEC4}" name="Column3167"/>
    <tableColumn id="3195" xr3:uid="{B39F69A0-FB72-4CF2-818B-1A4F6791801B}" name="Column3168"/>
    <tableColumn id="3196" xr3:uid="{531FDDBF-CFE5-4FBE-8AC7-345E1B6600F4}" name="Column3169"/>
    <tableColumn id="3197" xr3:uid="{E5A0D08C-871B-4343-8D4B-A2DFC14DCE67}" name="Column3170"/>
    <tableColumn id="3198" xr3:uid="{850D9CAD-7E45-4CD9-A4D5-2B83B69C53EF}" name="Column3171"/>
    <tableColumn id="3199" xr3:uid="{777E2F4C-C2D5-40A3-B8B2-812AD4F8CEBC}" name="Column3172"/>
    <tableColumn id="3200" xr3:uid="{9B65346A-1D11-4033-83FB-06BD7F807413}" name="Column3173"/>
    <tableColumn id="3201" xr3:uid="{FF765206-5308-476B-B69F-F52586DB8277}" name="Column3174"/>
    <tableColumn id="3202" xr3:uid="{A034DB24-C1A0-49A4-AF6C-2FBC4ADA1B18}" name="Column3175"/>
    <tableColumn id="3203" xr3:uid="{89A7BD06-9BE3-41C4-94A1-50F1F490EA35}" name="Column3176"/>
    <tableColumn id="3204" xr3:uid="{C7A124AF-97EB-4942-8F1F-2C33FC606FBE}" name="Column3177"/>
    <tableColumn id="3205" xr3:uid="{04AC25DD-DDA7-4544-90DC-E9472ED89A5A}" name="Column3178"/>
    <tableColumn id="3206" xr3:uid="{2A202D4C-5C36-4559-9B49-172AA4E09442}" name="Column3179"/>
    <tableColumn id="3207" xr3:uid="{BD291F4A-892A-4100-B825-4934E4C72F91}" name="Column3180"/>
    <tableColumn id="3208" xr3:uid="{F90B7F2F-0E43-4D53-B87F-E7404C2676E2}" name="Column3181"/>
    <tableColumn id="3209" xr3:uid="{C1B68BDD-2F6D-44AF-9C20-ED31DDC0D5C0}" name="Column3182"/>
    <tableColumn id="3210" xr3:uid="{1461D315-B168-470D-8A1E-C5552491A676}" name="Column3183"/>
    <tableColumn id="3211" xr3:uid="{60C8E19D-81F8-4948-A5D3-CFE7A35949CA}" name="Column3184"/>
    <tableColumn id="3212" xr3:uid="{870FDE81-7272-4ADB-B638-B149D40BAF56}" name="Column3185"/>
    <tableColumn id="3213" xr3:uid="{BBE047D3-2DDC-4B98-9C0F-3B614A0F633E}" name="Column3186"/>
    <tableColumn id="3214" xr3:uid="{C6470CBF-DC07-40F8-970F-3C9ED6B03718}" name="Column3187"/>
    <tableColumn id="3215" xr3:uid="{B37BBF69-01FF-4046-8AAB-7563771A0E34}" name="Column3188"/>
    <tableColumn id="3216" xr3:uid="{3DC8D17B-3BEF-4D1C-9326-66722F509FE4}" name="Column3189"/>
    <tableColumn id="3217" xr3:uid="{19D221DE-9AA1-4E07-8EC9-76A9137E821A}" name="Column3190"/>
    <tableColumn id="3218" xr3:uid="{09245F43-C824-4510-A421-47C4F5F1F5B7}" name="Column3191"/>
    <tableColumn id="3219" xr3:uid="{B52848B6-1D44-4606-BE12-193FDAC306DE}" name="Column3192"/>
    <tableColumn id="3220" xr3:uid="{B8E742EB-5F93-4560-A7EC-C7FDC93D3770}" name="Column3193"/>
    <tableColumn id="3221" xr3:uid="{17377F2F-28C0-4823-A9DA-68381108010F}" name="Column3194"/>
    <tableColumn id="3222" xr3:uid="{D764E1F0-DA87-40B4-ADB4-08AF4C5FE849}" name="Column3195"/>
    <tableColumn id="3223" xr3:uid="{C7D79EE0-9F8A-43E1-BB9C-A6524DA684E9}" name="Column3196"/>
    <tableColumn id="3224" xr3:uid="{25B531F9-AD2F-49C2-9F4B-51CF09BBB7D8}" name="Column3197"/>
    <tableColumn id="3225" xr3:uid="{DC4EEE93-AACE-4069-900F-91BCF2E2219D}" name="Column3198"/>
    <tableColumn id="3226" xr3:uid="{BA6CC71B-20E9-4402-A689-1D6894C2CC26}" name="Column3199"/>
    <tableColumn id="3227" xr3:uid="{FFD2B3E0-A318-47B0-B392-3D497502363F}" name="Column3200"/>
    <tableColumn id="3228" xr3:uid="{EC86CA29-D75D-40F2-8912-940F13D1E397}" name="Column3201"/>
    <tableColumn id="3229" xr3:uid="{14053F68-853F-4FA6-8875-57FFDDF24114}" name="Column3202"/>
    <tableColumn id="3230" xr3:uid="{053498FC-5318-4D72-97FE-8B889883F40B}" name="Column3203"/>
    <tableColumn id="3231" xr3:uid="{848C037F-DB05-4380-91A3-D81DB6B256FD}" name="Column3204"/>
    <tableColumn id="3232" xr3:uid="{63FC9C1F-1F18-4D2D-8A84-C7A05261C17F}" name="Column3205"/>
    <tableColumn id="3233" xr3:uid="{2FCF3F9F-91DB-4BE4-A46B-37D814E03E7D}" name="Column3206"/>
    <tableColumn id="3234" xr3:uid="{0541F4C1-F93B-429D-A8B7-1B40286BA6B0}" name="Column3207"/>
    <tableColumn id="3235" xr3:uid="{963B0202-96C2-4873-A2F4-B8662763BAC0}" name="Column3208"/>
    <tableColumn id="3236" xr3:uid="{DD569B59-A2EF-4B82-88AF-032B20E81F0C}" name="Column3209"/>
    <tableColumn id="3237" xr3:uid="{099B3C85-9280-4B0F-93A1-FF9309FC0417}" name="Column3210"/>
    <tableColumn id="3238" xr3:uid="{2E64AE45-CE35-436A-8A22-5C9B80F2A5DD}" name="Column3211"/>
    <tableColumn id="3239" xr3:uid="{FC284A72-6B83-4760-81E0-9144CAE2B871}" name="Column3212"/>
    <tableColumn id="3240" xr3:uid="{15B99217-1A8E-4AA8-A83C-7CB83D2A33CA}" name="Column3213"/>
    <tableColumn id="3241" xr3:uid="{D8E38ECB-79B5-44E7-95E0-5806758DBE90}" name="Column3214"/>
    <tableColumn id="3242" xr3:uid="{78DEFBED-C5D1-4EB1-A189-C1942A01EBC1}" name="Column3215"/>
    <tableColumn id="3243" xr3:uid="{2AB410FA-5CAF-4E3B-B321-E846D0B403B3}" name="Column3216"/>
    <tableColumn id="3244" xr3:uid="{4EFCBD7F-76D8-4D6C-9536-B812DA895C9C}" name="Column3217"/>
    <tableColumn id="3245" xr3:uid="{065E0A58-A6D8-4F5F-920F-E4C4239EA7C0}" name="Column3218"/>
    <tableColumn id="3246" xr3:uid="{A8BD5471-294E-43CF-AD95-155A1BCABDFD}" name="Column3219"/>
    <tableColumn id="3247" xr3:uid="{51204760-683A-4748-AD86-14FEF5FA17D0}" name="Column3220"/>
    <tableColumn id="3248" xr3:uid="{7D599729-AEC1-4D05-8A87-3FAF2F1462DF}" name="Column3221"/>
    <tableColumn id="3249" xr3:uid="{F11C71C8-F944-4373-86C1-ED7123E768F3}" name="Column3222"/>
    <tableColumn id="3250" xr3:uid="{49C72831-711A-4F80-B8C3-D4BBC4BF71AD}" name="Column3223"/>
    <tableColumn id="3251" xr3:uid="{11C21D8B-870D-4E16-97C9-2591B40C2F43}" name="Column3224"/>
    <tableColumn id="3252" xr3:uid="{642E95E5-BA73-4672-8086-981F31D7C2B4}" name="Column3225"/>
    <tableColumn id="3253" xr3:uid="{1D2D586B-548E-421F-B907-F8BEBC519610}" name="Column3226"/>
    <tableColumn id="3254" xr3:uid="{782CE57A-7A63-4E17-B689-C6322743F2FB}" name="Column3227"/>
    <tableColumn id="3255" xr3:uid="{11398F07-0673-4C8E-90AF-91341442E38B}" name="Column3228"/>
    <tableColumn id="3256" xr3:uid="{997D4B23-7013-41CF-8CF2-EDF778AC7918}" name="Column3229"/>
    <tableColumn id="3257" xr3:uid="{0D9B03B3-2EF4-4DC1-8E9A-E8A7EAE831FE}" name="Column3230"/>
    <tableColumn id="3258" xr3:uid="{24796885-07B6-4749-8D11-AEF9E4845063}" name="Column3231"/>
    <tableColumn id="3259" xr3:uid="{5463690F-38A1-425B-8EC2-45D434BB3F55}" name="Column3232"/>
    <tableColumn id="3260" xr3:uid="{5DF0EFA9-7215-42D6-9ADF-B4022B7FC80B}" name="Column3233"/>
    <tableColumn id="3261" xr3:uid="{F5E2F4B2-E043-49E7-A5CC-FAA5F947757E}" name="Column3234"/>
    <tableColumn id="3262" xr3:uid="{C5E115D2-067B-431C-AF31-25362F4DC408}" name="Column3235"/>
    <tableColumn id="3263" xr3:uid="{47BDB1B8-C852-4512-A93E-F2ED19AEC4DA}" name="Column3236"/>
    <tableColumn id="3264" xr3:uid="{F49025B3-EDC7-4EF8-8B63-B7DCDECA092F}" name="Column3237"/>
    <tableColumn id="3265" xr3:uid="{CC6D92C5-5DF8-4604-8CCD-032187B45B89}" name="Column3238"/>
    <tableColumn id="3266" xr3:uid="{ACF047C6-DF96-4BEE-82CD-8A8E09349813}" name="Column3239"/>
    <tableColumn id="3267" xr3:uid="{A90E2BBF-E611-4E7C-B8D7-21E3887A7B02}" name="Column3240"/>
    <tableColumn id="3268" xr3:uid="{A9B9061C-3AB8-48AE-80C1-78A9F7797771}" name="Column3241"/>
    <tableColumn id="3269" xr3:uid="{3E49A183-1A6C-4044-9444-93CF658B6F91}" name="Column3242"/>
    <tableColumn id="3270" xr3:uid="{9F0B6128-6F27-40AB-A58B-DD1E39AB0509}" name="Column3243"/>
    <tableColumn id="3271" xr3:uid="{52E0C37C-0A6E-44FD-9207-F421656B211E}" name="Column3244"/>
    <tableColumn id="3272" xr3:uid="{E1321E87-584E-4326-A145-222984DDA973}" name="Column3245"/>
    <tableColumn id="3273" xr3:uid="{835C007B-50AB-403D-8595-54183AC9ECD6}" name="Column3246"/>
    <tableColumn id="3274" xr3:uid="{14FDB1C1-F5B6-4536-8C12-B92FBD278A18}" name="Column3247"/>
    <tableColumn id="3275" xr3:uid="{E6B891F3-B983-4299-8DC0-DBD467DBFA39}" name="Column3248"/>
    <tableColumn id="3276" xr3:uid="{2BC02385-FE5C-41F9-90D7-2ECF3E2058B4}" name="Column3249"/>
    <tableColumn id="3277" xr3:uid="{8E72D9BE-5D88-4409-B519-66B3684DF0E6}" name="Column3250"/>
    <tableColumn id="3278" xr3:uid="{1D304E2D-CDBB-4D41-889F-9A6B99FC3716}" name="Column3251"/>
    <tableColumn id="3279" xr3:uid="{31A9E256-59C3-4780-A756-F2B140210487}" name="Column3252"/>
    <tableColumn id="3280" xr3:uid="{AAF9C4E0-E5BE-4B39-8BC7-DB0F540B3DF2}" name="Column3253"/>
    <tableColumn id="3281" xr3:uid="{A4317111-F111-4805-9F0A-6968B1BB91CF}" name="Column3254"/>
    <tableColumn id="3282" xr3:uid="{5EAFD588-66DC-4CD8-A18E-8D09AA53DAAD}" name="Column3255"/>
    <tableColumn id="3283" xr3:uid="{26A38FB5-28DD-4AF9-811B-855046F9FA77}" name="Column3256"/>
    <tableColumn id="3284" xr3:uid="{48F53F4C-CF6D-494F-9F29-524F3E7A410C}" name="Column3257"/>
    <tableColumn id="3285" xr3:uid="{B948D9AA-F7F5-48EC-BD9D-2F4FDEF85DFD}" name="Column3258"/>
    <tableColumn id="3286" xr3:uid="{BC801814-93D2-4DEB-9014-4262C3933B5E}" name="Column3259"/>
    <tableColumn id="3287" xr3:uid="{B7FB6FA9-1B84-47A1-80B6-EF32C3978FB0}" name="Column3260"/>
    <tableColumn id="3288" xr3:uid="{25CE2BD3-3E17-4A0A-9670-51C760883DC7}" name="Column3261"/>
    <tableColumn id="3289" xr3:uid="{DBC59CE6-3FC3-45C1-86DE-C04BADF24DB1}" name="Column3262"/>
    <tableColumn id="3290" xr3:uid="{99665C59-42BB-4FDF-91B3-4D156FEFBBA7}" name="Column3263"/>
    <tableColumn id="3291" xr3:uid="{17B291E4-FD66-4D63-A898-5BB3872772CD}" name="Column3264"/>
    <tableColumn id="3292" xr3:uid="{E0E335A5-4480-4C7D-8368-15BA70475577}" name="Column3265"/>
    <tableColumn id="3293" xr3:uid="{08A6A3B7-70D0-4571-A98A-274FCF8D6302}" name="Column3266"/>
    <tableColumn id="3294" xr3:uid="{70375285-1724-4D3E-9D06-20467A122D15}" name="Column3267"/>
    <tableColumn id="3295" xr3:uid="{84B3A54A-19CB-4E24-B64F-020A6BAC95C0}" name="Column3268"/>
    <tableColumn id="3296" xr3:uid="{C645E173-9EB1-4293-8D3D-67B7B06240D8}" name="Column3269"/>
    <tableColumn id="3297" xr3:uid="{C9C6F5B1-8989-47C1-9082-ABB578A862BD}" name="Column3270"/>
    <tableColumn id="3298" xr3:uid="{EDEE4A1B-E70C-40D8-8CF3-4AF7B8BAE711}" name="Column3271"/>
    <tableColumn id="3299" xr3:uid="{F24B7E9F-C4DB-4220-AA34-54D9377E5774}" name="Column3272"/>
    <tableColumn id="3300" xr3:uid="{6440D37B-43F7-41C6-9080-95E65633B1B5}" name="Column3273"/>
    <tableColumn id="3301" xr3:uid="{07F263D3-D27A-4D94-9A23-AC9F4BF6383E}" name="Column3274"/>
    <tableColumn id="3302" xr3:uid="{003F1B8F-D51B-4051-877C-7FB1BF404F47}" name="Column3275"/>
    <tableColumn id="3303" xr3:uid="{9A5F882A-90A3-4175-915F-B50319D7A52B}" name="Column3276"/>
    <tableColumn id="3304" xr3:uid="{772B4B0B-162C-40AA-AA43-A72ECE3DB747}" name="Column3277"/>
    <tableColumn id="3305" xr3:uid="{36BFCA22-E5E7-457C-B8A8-BC4D5872070D}" name="Column3278"/>
    <tableColumn id="3306" xr3:uid="{FCB22B34-D7C8-4226-A488-CEDDF24033DF}" name="Column3279"/>
    <tableColumn id="3307" xr3:uid="{D4D4625A-3434-4DB3-AB2C-19CB352C427C}" name="Column3280"/>
    <tableColumn id="3308" xr3:uid="{AA8CD7B7-7FB7-4B4F-AB9C-6CDA2A71E56B}" name="Column3281"/>
    <tableColumn id="3309" xr3:uid="{B6F0EB5B-51C8-4C3A-9569-0ED7D98A1F5E}" name="Column3282"/>
    <tableColumn id="3310" xr3:uid="{3E5A93A8-7144-439A-BE82-4EEB063A70AD}" name="Column3283"/>
    <tableColumn id="3311" xr3:uid="{9AB30B24-788C-4B08-9FEA-C0D7DF6CD21C}" name="Column3284"/>
    <tableColumn id="3312" xr3:uid="{4062AA51-E07E-4643-B22C-6AF14105913B}" name="Column3285"/>
    <tableColumn id="3313" xr3:uid="{91796B1A-27BD-4E78-920D-F85C5EBF1F87}" name="Column3286"/>
    <tableColumn id="3314" xr3:uid="{D79546F1-56C3-417F-A6BA-F95932E6E091}" name="Column3287"/>
    <tableColumn id="3315" xr3:uid="{3432301B-F594-449B-9F14-438B2C2D7DDD}" name="Column3288"/>
    <tableColumn id="3316" xr3:uid="{F900A286-56C3-4044-B590-92FEF7C38846}" name="Column3289"/>
    <tableColumn id="3317" xr3:uid="{8C88D407-FBF1-4DD6-87F1-25BE3A6069DD}" name="Column3290"/>
    <tableColumn id="3318" xr3:uid="{18613A43-12CA-4486-B720-A9F2B58A65A0}" name="Column3291"/>
    <tableColumn id="3319" xr3:uid="{17A2AFC2-168A-4386-B37E-472B86B5594A}" name="Column3292"/>
    <tableColumn id="3320" xr3:uid="{353DC4CB-BC76-4378-ABA2-B628E3C210E2}" name="Column3293"/>
    <tableColumn id="3321" xr3:uid="{865CD81D-AEBA-49CC-A0C8-0813E15F7385}" name="Column3294"/>
    <tableColumn id="3322" xr3:uid="{0F43FFA3-3088-4908-8308-E56FC811D24B}" name="Column3295"/>
    <tableColumn id="3323" xr3:uid="{CC422125-9A7B-4A8C-9E05-6E2C147817EA}" name="Column3296"/>
    <tableColumn id="3324" xr3:uid="{F4D734D1-5314-4E27-9F1D-BFAEF6FC03DA}" name="Column3297"/>
    <tableColumn id="3325" xr3:uid="{E100CC66-5377-4A8E-8DE3-FC43C8084C18}" name="Column3298"/>
    <tableColumn id="3326" xr3:uid="{4F694335-FC19-400E-962B-F98A98B251A4}" name="Column3299"/>
    <tableColumn id="3327" xr3:uid="{5C0C5BBB-CA2F-46CC-8F78-969582FDCFB5}" name="Column3300"/>
    <tableColumn id="3328" xr3:uid="{03E8DEE3-911E-4F5B-9E0F-CC97E6168D1C}" name="Column3301"/>
    <tableColumn id="3329" xr3:uid="{F79784B8-D593-4E17-92CE-F2ECB2E45325}" name="Column3302"/>
    <tableColumn id="3330" xr3:uid="{8AD260D6-32B6-4E1B-9A41-E40BB3D17E9E}" name="Column3303"/>
    <tableColumn id="3331" xr3:uid="{9B2A36A2-3596-4385-98BB-68B45578ED0A}" name="Column3304"/>
    <tableColumn id="3332" xr3:uid="{65AFE754-7FD0-4AB7-BAB5-633BD9271578}" name="Column3305"/>
    <tableColumn id="3333" xr3:uid="{8BB844A2-E39E-4C12-AA36-21EDC2F60173}" name="Column3306"/>
    <tableColumn id="3334" xr3:uid="{6F97F33A-F0CC-4957-ADB6-62DE64E6F4D1}" name="Column3307"/>
    <tableColumn id="3335" xr3:uid="{D6F0A80C-B86E-455C-87E3-6CA3110341B6}" name="Column3308"/>
    <tableColumn id="3336" xr3:uid="{A9C0D468-F7D3-4763-89F9-BFB2458198A8}" name="Column3309"/>
    <tableColumn id="3337" xr3:uid="{8390446E-B29D-4D15-ABE9-DDD774214DA4}" name="Column3310"/>
    <tableColumn id="3338" xr3:uid="{03C9227F-BAAB-4728-A4C6-23F7E8EFC052}" name="Column3311"/>
    <tableColumn id="3339" xr3:uid="{AB714102-546F-4B8A-950C-53A33EE1782A}" name="Column3312"/>
    <tableColumn id="3340" xr3:uid="{65F5A937-A8CB-43B0-A7DB-A391FE8202DE}" name="Column3313"/>
    <tableColumn id="3341" xr3:uid="{C8690A6F-115D-4CBE-B3F3-4BA73C919467}" name="Column3314"/>
    <tableColumn id="3342" xr3:uid="{4B6225BA-CA58-4164-8085-4B8B7CB5F7C0}" name="Column3315"/>
    <tableColumn id="3343" xr3:uid="{406B26C5-7AD6-49DB-A782-D2E761C55742}" name="Column3316"/>
    <tableColumn id="3344" xr3:uid="{E3C116B0-F3DE-4FBC-A3BE-4E7023411901}" name="Column3317"/>
    <tableColumn id="3345" xr3:uid="{6ABB33A5-3F25-4D7F-8AA4-7A795DE5878B}" name="Column3318"/>
    <tableColumn id="3346" xr3:uid="{18AB9146-60BC-425E-8019-6F11E08D5315}" name="Column3319"/>
    <tableColumn id="3347" xr3:uid="{57DEDAD4-318A-4F53-AAFA-F18E6C8E7539}" name="Column3320"/>
    <tableColumn id="3348" xr3:uid="{7458D2C8-38B0-4282-8EEE-37E07C647001}" name="Column3321"/>
    <tableColumn id="3349" xr3:uid="{F12E9FDA-4281-40A4-8914-FD04DCEC9548}" name="Column3322"/>
    <tableColumn id="3350" xr3:uid="{636B69B2-C758-40C5-BD97-0399405EE4F9}" name="Column3323"/>
    <tableColumn id="3351" xr3:uid="{C7F56160-01E1-4D4C-B623-8497BAB37C9F}" name="Column3324"/>
    <tableColumn id="3352" xr3:uid="{EB84FAEC-BBBC-41F0-9A10-6D0BC0805162}" name="Column3325"/>
    <tableColumn id="3353" xr3:uid="{16282320-E71A-49FB-B672-A18DBFB6A6B3}" name="Column3326"/>
    <tableColumn id="3354" xr3:uid="{07DF8636-5F3A-47A1-A9FB-651ED51AC1FA}" name="Column3327"/>
    <tableColumn id="3355" xr3:uid="{D784CF05-E4FE-4163-B556-F0D686C1A6B5}" name="Column3328"/>
    <tableColumn id="3356" xr3:uid="{D5C29737-FDAC-451B-A5F9-1EA86BEBF77A}" name="Column3329"/>
    <tableColumn id="3357" xr3:uid="{819B66A3-B262-4B50-BBDF-0D69A91DA570}" name="Column3330"/>
    <tableColumn id="3358" xr3:uid="{11266C27-5413-46C6-A6C6-09631CE5415A}" name="Column3331"/>
    <tableColumn id="3359" xr3:uid="{C8F6F7D1-BCB6-4DBC-8066-EC49CF48880E}" name="Column3332"/>
    <tableColumn id="3360" xr3:uid="{4DF523F6-3945-4B04-AF3C-ECD78ED4CB59}" name="Column3333"/>
    <tableColumn id="3361" xr3:uid="{8BE98569-3EFF-4E6F-826D-CEB8B9AB5416}" name="Column3334"/>
    <tableColumn id="3362" xr3:uid="{8A831D27-2573-4C54-83DA-F1019ABB2769}" name="Column3335"/>
    <tableColumn id="3363" xr3:uid="{E1BA9258-5FF1-4CFC-8C13-EB28F27CD258}" name="Column3336"/>
    <tableColumn id="3364" xr3:uid="{93870322-A0BF-49B9-A3EF-D09B0FA8886D}" name="Column3337"/>
    <tableColumn id="3365" xr3:uid="{782FE3BE-00FD-4D0E-97D1-338BC4364FC7}" name="Column3338"/>
    <tableColumn id="3366" xr3:uid="{AD6C13E4-E1F0-441D-BE61-6F7C347D8391}" name="Column3339"/>
    <tableColumn id="3367" xr3:uid="{43262B49-1A13-40E0-BFC1-D42D7D3B3CC9}" name="Column3340"/>
    <tableColumn id="3368" xr3:uid="{7103DAB1-D023-44A3-88DA-BFBCF7B12A62}" name="Column3341"/>
    <tableColumn id="3369" xr3:uid="{FE7A27C3-3B5D-439A-A281-DBCB9B9585BF}" name="Column3342"/>
    <tableColumn id="3370" xr3:uid="{16EA9E65-0EDB-4D88-BE85-03439B001F2E}" name="Column3343"/>
    <tableColumn id="3371" xr3:uid="{1A2AF559-7014-4901-8ABF-638CE9B6C4DA}" name="Column3344"/>
    <tableColumn id="3372" xr3:uid="{158BC9C7-2929-4781-ADDF-76AB8A927EED}" name="Column3345"/>
    <tableColumn id="3373" xr3:uid="{97EEB179-50D9-4EA4-B9CB-C48C63DECD1B}" name="Column3346"/>
    <tableColumn id="3374" xr3:uid="{EDA169A6-7CB3-49B5-A3CF-21B4CE16641A}" name="Column3347"/>
    <tableColumn id="3375" xr3:uid="{AE56EA86-4072-4631-B4E9-916E5E354C25}" name="Column3348"/>
    <tableColumn id="3376" xr3:uid="{AD5A4B02-C05B-4D27-94BD-EFFC5E00D73B}" name="Column3349"/>
    <tableColumn id="3377" xr3:uid="{34F755EE-306F-4C42-9FE8-87E1606151CD}" name="Column3350"/>
    <tableColumn id="3378" xr3:uid="{8AC30072-5912-42CB-B998-BBC195EAF9EC}" name="Column3351"/>
    <tableColumn id="3379" xr3:uid="{CD872914-CB5A-439D-9306-0EC261A7F1B2}" name="Column3352"/>
    <tableColumn id="3380" xr3:uid="{FAA16C7D-B9D2-45BC-8C98-49EE14B16023}" name="Column3353"/>
    <tableColumn id="3381" xr3:uid="{F6748495-3299-4DC5-9DD6-8F6E277F31A3}" name="Column3354"/>
    <tableColumn id="3382" xr3:uid="{334FA534-20AD-4367-A7E6-D9BEDA51644B}" name="Column3355"/>
    <tableColumn id="3383" xr3:uid="{2A2064EF-F21B-422D-AEA1-99559C0C3EE1}" name="Column3356"/>
    <tableColumn id="3384" xr3:uid="{40AC3E4D-C35E-44C2-8F07-04B9D5E7FC08}" name="Column3357"/>
    <tableColumn id="3385" xr3:uid="{4851C458-6873-4269-A419-8FBDAC648345}" name="Column3358"/>
    <tableColumn id="3386" xr3:uid="{EDA45D2C-725F-468E-9EF9-268382620373}" name="Column3359"/>
    <tableColumn id="3387" xr3:uid="{5274B920-3FC6-4C2A-A8CA-9EF97C689DA3}" name="Column3360"/>
    <tableColumn id="3388" xr3:uid="{268B1E02-E045-46DB-B95A-4EC46DA1B254}" name="Column3361"/>
    <tableColumn id="3389" xr3:uid="{454AA9CA-409B-4911-A327-F3D98EC09C5B}" name="Column3362"/>
    <tableColumn id="3390" xr3:uid="{D74B0F3E-21C5-49B9-95F7-C7A924FC6C83}" name="Column3363"/>
    <tableColumn id="3391" xr3:uid="{0600BA76-7025-4D76-A6F9-CD86FEA4143F}" name="Column3364"/>
    <tableColumn id="3392" xr3:uid="{A94D5223-C997-4759-9D9B-415FB7496F1A}" name="Column3365"/>
    <tableColumn id="3393" xr3:uid="{4ABB6924-1565-4C28-A23E-9C6CA3A48FDD}" name="Column3366"/>
    <tableColumn id="3394" xr3:uid="{776C234C-7D1B-43CD-834C-A9CF57D96FEB}" name="Column3367"/>
    <tableColumn id="3395" xr3:uid="{0CEA3851-0AA6-49C1-A335-A827B8EC59A8}" name="Column3368"/>
    <tableColumn id="3396" xr3:uid="{1E02BC64-4119-4941-B176-13991263C3AA}" name="Column3369"/>
    <tableColumn id="3397" xr3:uid="{0A1B3DBD-8B84-4F5F-918E-54A5AD292A54}" name="Column3370"/>
    <tableColumn id="3398" xr3:uid="{B90CD1F0-7AB1-40D3-865D-CD8A8A1D3EDE}" name="Column3371"/>
    <tableColumn id="3399" xr3:uid="{D3845FF6-96EC-4E2B-99D0-E9196782D528}" name="Column3372"/>
    <tableColumn id="3400" xr3:uid="{680A9166-6654-42F8-A9DF-BD43DB7B1B9B}" name="Column3373"/>
    <tableColumn id="3401" xr3:uid="{0BCBB743-F1A6-4E44-AAC6-AF0FBBAC7CA2}" name="Column3374"/>
    <tableColumn id="3402" xr3:uid="{ECC2F7C9-B2D0-4EBB-A2F2-B331ABA0DBBF}" name="Column3375"/>
    <tableColumn id="3403" xr3:uid="{C2726D06-6939-4815-8DD7-1B9F254E13CE}" name="Column3376"/>
    <tableColumn id="3404" xr3:uid="{6563EB53-AC80-4CDB-BA15-600D7E407539}" name="Column3377"/>
    <tableColumn id="3405" xr3:uid="{68EBE245-71A3-49AD-BF86-B6154997DF30}" name="Column3378"/>
    <tableColumn id="3406" xr3:uid="{86F94D58-04F4-455F-93C2-9B86BC61D89D}" name="Column3379"/>
    <tableColumn id="3407" xr3:uid="{57AD665D-0CC0-4B7B-BC83-C38C037BF7C0}" name="Column3380"/>
    <tableColumn id="3408" xr3:uid="{F4C8E25E-3F81-4A88-9EFC-135F0F52FEEE}" name="Column3381"/>
    <tableColumn id="3409" xr3:uid="{AE160DF7-4EC1-4A51-BD12-600F4AED58E8}" name="Column3382"/>
    <tableColumn id="3410" xr3:uid="{864682A5-61CA-4939-9C3B-859BE566B89D}" name="Column3383"/>
    <tableColumn id="3411" xr3:uid="{02CA48AA-8E4E-43AF-AC1D-E5CCA75226D6}" name="Column3384"/>
    <tableColumn id="3412" xr3:uid="{3A17B555-FB99-42EE-8EDC-F0EB84C0F2DA}" name="Column3385"/>
    <tableColumn id="3413" xr3:uid="{B55C2DD7-E971-4571-A473-72EBC72383B0}" name="Column3386"/>
    <tableColumn id="3414" xr3:uid="{367AAB41-6266-4628-9CB6-A8590BFA4991}" name="Column3387"/>
    <tableColumn id="3415" xr3:uid="{E41C1304-E792-46F2-ABDF-F61BB2A52632}" name="Column3388"/>
    <tableColumn id="3416" xr3:uid="{CBF4CBF2-089E-4BC2-95F0-A6329CC38359}" name="Column3389"/>
    <tableColumn id="3417" xr3:uid="{FA457DBB-CFA7-4582-9DF6-C85C992C0527}" name="Column3390"/>
    <tableColumn id="3418" xr3:uid="{F77D0136-79FE-4FD2-BA02-7FD1B2F20C08}" name="Column3391"/>
    <tableColumn id="3419" xr3:uid="{B39CC97A-D4F6-4833-9B5E-DBFC006E0A7C}" name="Column3392"/>
    <tableColumn id="3420" xr3:uid="{3760CC65-1690-4A1C-BB4E-62F17E420311}" name="Column3393"/>
    <tableColumn id="3421" xr3:uid="{207140FA-851D-45D5-8A53-77FB7350A393}" name="Column3394"/>
    <tableColumn id="3422" xr3:uid="{20398584-08A2-4233-90F0-DDE2668C3DEC}" name="Column3395"/>
    <tableColumn id="3423" xr3:uid="{A09FB443-4A36-4A77-901B-F20493DFE632}" name="Column3396"/>
    <tableColumn id="3424" xr3:uid="{E8AC9FB7-319F-4574-9112-DB5570FDAC08}" name="Column3397"/>
    <tableColumn id="3425" xr3:uid="{232F0354-AA5E-4282-99FF-822112F5DB7F}" name="Column3398"/>
    <tableColumn id="3426" xr3:uid="{4E6CF853-9469-47A9-885E-0C7D16F1ED42}" name="Column3399"/>
    <tableColumn id="3427" xr3:uid="{0F68799F-DCFC-4385-8CFF-4C533400BA78}" name="Column3400"/>
    <tableColumn id="3428" xr3:uid="{EDB55D8D-0C44-4F4F-80BD-AA8619E1717C}" name="Column3401"/>
    <tableColumn id="3429" xr3:uid="{231DB86C-7F3A-4101-8D57-DE1F8D46F923}" name="Column3402"/>
    <tableColumn id="3430" xr3:uid="{AB09E88F-AC47-46AD-A745-CE4F32711EDF}" name="Column3403"/>
    <tableColumn id="3431" xr3:uid="{DD025BD8-96A2-4E5A-B7E1-55FC279BD232}" name="Column3404"/>
    <tableColumn id="3432" xr3:uid="{4F0283AD-7093-4359-AF7E-D650083BACE9}" name="Column3405"/>
    <tableColumn id="3433" xr3:uid="{4D611C2A-472D-43C3-B17B-03F1DE0EAA46}" name="Column3406"/>
    <tableColumn id="3434" xr3:uid="{A0B0B5BB-0CBE-4DB3-9087-CB1782EE13DD}" name="Column3407"/>
    <tableColumn id="3435" xr3:uid="{53D1F4F0-71F7-44CB-937A-67EB5C304A16}" name="Column3408"/>
    <tableColumn id="3436" xr3:uid="{4355E071-C3FA-4C78-9BE5-CDE47EC3FA70}" name="Column3409"/>
    <tableColumn id="3437" xr3:uid="{B8348797-C089-4413-959A-969EADB3BDA7}" name="Column3410"/>
    <tableColumn id="3438" xr3:uid="{E27BBE5C-0757-4949-BDBD-36E7319F98D8}" name="Column3411"/>
    <tableColumn id="3439" xr3:uid="{55310DA4-E58B-4D69-82F4-9BC4A483D7DD}" name="Column3412"/>
    <tableColumn id="3440" xr3:uid="{1C574FE5-799A-41EE-A8D1-F069073F5AAE}" name="Column3413"/>
    <tableColumn id="3441" xr3:uid="{26E1E0DF-F57E-4C21-A10F-EC3C259F58C4}" name="Column3414"/>
    <tableColumn id="3442" xr3:uid="{4230AFE0-4999-4975-9F4D-B5B998B99947}" name="Column3415"/>
    <tableColumn id="3443" xr3:uid="{9CAFA677-B416-4DB0-AB11-CBF0B32656A8}" name="Column3416"/>
    <tableColumn id="3444" xr3:uid="{86FD8A44-239F-40C7-9C7F-9185E1ED6942}" name="Column3417"/>
    <tableColumn id="3445" xr3:uid="{9452889D-7918-4C50-AB54-EF878B908F57}" name="Column3418"/>
    <tableColumn id="3446" xr3:uid="{FBE3BD62-B00D-47A0-A09F-A927DC11D974}" name="Column3419"/>
    <tableColumn id="3447" xr3:uid="{933CC634-3BBB-4FDD-89CA-19FCD3C12813}" name="Column3420"/>
    <tableColumn id="3448" xr3:uid="{34C23005-0245-4220-AEF0-BFB23A1D5FDE}" name="Column3421"/>
    <tableColumn id="3449" xr3:uid="{3A92E0FB-D1D1-4C3F-872A-BC1E38BA6D5B}" name="Column3422"/>
    <tableColumn id="3450" xr3:uid="{5887F891-20FF-4703-B29A-5480B1923861}" name="Column3423"/>
    <tableColumn id="3451" xr3:uid="{626A5A33-179A-47BE-9DD9-66AAF0CA146C}" name="Column3424"/>
    <tableColumn id="3452" xr3:uid="{B5476946-F6D9-4E88-ACD6-DAAE2D72B7C0}" name="Column3425"/>
    <tableColumn id="3453" xr3:uid="{2E3038CF-A2C6-4D55-8C40-7EE8336178DB}" name="Column3426"/>
    <tableColumn id="3454" xr3:uid="{3E31F20C-4B38-4668-851C-3DB88858F6EB}" name="Column3427"/>
    <tableColumn id="3455" xr3:uid="{CBD34038-6A8D-4E9E-982B-49F5A8E47942}" name="Column3428"/>
    <tableColumn id="3456" xr3:uid="{27585D2E-0E4F-438E-96DF-929EF31F6179}" name="Column3429"/>
    <tableColumn id="3457" xr3:uid="{B4461CEA-5B40-4E24-BD84-81A21A5EF057}" name="Column3430"/>
    <tableColumn id="3458" xr3:uid="{C2A5AFE5-DC3A-42D6-B91C-0E4DC921093B}" name="Column3431"/>
    <tableColumn id="3459" xr3:uid="{7E4C3299-60A0-4FBB-9160-5687D3A066AE}" name="Column3432"/>
    <tableColumn id="3460" xr3:uid="{995DB877-6BFA-45F8-8FEC-E2041D581211}" name="Column3433"/>
    <tableColumn id="3461" xr3:uid="{FB643F9A-A4A8-4855-8FFB-B3737EBEE5E8}" name="Column3434"/>
    <tableColumn id="3462" xr3:uid="{1A4330EE-A0F7-404B-BDB1-9D51DB936DE6}" name="Column3435"/>
    <tableColumn id="3463" xr3:uid="{1F6DA11F-FC65-4A65-A9A7-B0D472DF776C}" name="Column3436"/>
    <tableColumn id="3464" xr3:uid="{8C009FE8-250C-449F-A3ED-E960BB94AEC6}" name="Column3437"/>
    <tableColumn id="3465" xr3:uid="{5F6B7F64-619F-4B5B-933B-F9FB4BE06841}" name="Column3438"/>
    <tableColumn id="3466" xr3:uid="{DE295FE5-0B3F-478C-B156-6D623430AC04}" name="Column3439"/>
    <tableColumn id="3467" xr3:uid="{DC527FB2-F1CC-4BEA-9324-61C1F150A1F5}" name="Column3440"/>
    <tableColumn id="3468" xr3:uid="{7999187B-78F6-4981-99B1-78EF86B7A4AB}" name="Column3441"/>
    <tableColumn id="3469" xr3:uid="{144D2041-B07B-4A3C-9047-587791A10760}" name="Column3442"/>
    <tableColumn id="3470" xr3:uid="{ADA0E80C-1795-4DDB-9A4F-286D90D9FD9B}" name="Column3443"/>
    <tableColumn id="3471" xr3:uid="{8C78F2D0-9443-4669-A19C-24EC4E459F4A}" name="Column3444"/>
    <tableColumn id="3472" xr3:uid="{543AFC4F-D07E-4B87-B28E-52F5F3502C28}" name="Column3445"/>
    <tableColumn id="3473" xr3:uid="{88EFDB43-3315-4AEE-A665-D4AED8E687E7}" name="Column3446"/>
    <tableColumn id="3474" xr3:uid="{01D6BC33-1F19-4D90-898F-1BEFE4CE4D2B}" name="Column3447"/>
    <tableColumn id="3475" xr3:uid="{C51AEBA3-DA48-42B2-916F-D2647E6B5463}" name="Column3448"/>
    <tableColumn id="3476" xr3:uid="{36F44BA4-42B0-4094-B5BD-15953DC24B7A}" name="Column3449"/>
    <tableColumn id="3477" xr3:uid="{4BE032B5-FBB2-4067-B504-86CD788FE445}" name="Column3450"/>
    <tableColumn id="3478" xr3:uid="{6575942D-46F5-45D1-A230-526AC1AF4DCA}" name="Column3451"/>
    <tableColumn id="3479" xr3:uid="{E2E494D8-D673-4367-8715-36E584775F4B}" name="Column3452"/>
    <tableColumn id="3480" xr3:uid="{C7EF23FD-5428-490B-9DE0-18E490C136F6}" name="Column3453"/>
    <tableColumn id="3481" xr3:uid="{231D6595-CCD7-45C7-992C-ED4C7149CE2E}" name="Column3454"/>
    <tableColumn id="3482" xr3:uid="{121BB4D1-6954-4270-B3A9-9872E959E073}" name="Column3455"/>
    <tableColumn id="3483" xr3:uid="{B5DDB51A-5FFF-4073-8449-8A58BA97B05B}" name="Column3456"/>
    <tableColumn id="3484" xr3:uid="{09CE8C10-4DE0-4913-84FD-148133E6FAB2}" name="Column3457"/>
    <tableColumn id="3485" xr3:uid="{A87F9905-58F9-46B7-9F40-21F32C9692E5}" name="Column3458"/>
    <tableColumn id="3486" xr3:uid="{7C883E0B-69C8-4806-BE65-091F6F529768}" name="Column3459"/>
    <tableColumn id="3487" xr3:uid="{0CF90EC4-ED44-46A2-A020-5A97F9C39533}" name="Column3460"/>
    <tableColumn id="3488" xr3:uid="{C281CFAD-2FBE-4831-A4CC-734832DF393C}" name="Column3461"/>
    <tableColumn id="3489" xr3:uid="{434E1566-8CF0-4FC3-B7E2-3E478CB0F41C}" name="Column3462"/>
    <tableColumn id="3490" xr3:uid="{DABFE9A3-DDFD-47E3-AE51-7916B19B1BC5}" name="Column3463"/>
    <tableColumn id="3491" xr3:uid="{7E683139-CD91-4CB7-836F-6CEA0CF3ED64}" name="Column3464"/>
    <tableColumn id="3492" xr3:uid="{F385694E-DBA5-4E20-A5A3-A717B82C12D2}" name="Column3465"/>
    <tableColumn id="3493" xr3:uid="{8968C92C-3CE8-4B18-A6CA-34B3292370C5}" name="Column3466"/>
    <tableColumn id="3494" xr3:uid="{7B1BC2FB-90A7-4E55-85B3-B2B1F7E4B9CD}" name="Column3467"/>
    <tableColumn id="3495" xr3:uid="{42F670E7-B06B-4ADA-B2F3-1B0702EC44EF}" name="Column3468"/>
    <tableColumn id="3496" xr3:uid="{1B5C94A8-0B06-47E1-9DAC-A0C0FA7EEFB8}" name="Column3469"/>
    <tableColumn id="3497" xr3:uid="{8C2BCCF4-7DD9-4126-8095-1A6F13B6022F}" name="Column3470"/>
    <tableColumn id="3498" xr3:uid="{EB5847B5-5CA7-4A92-B5F4-7248DE7B7B10}" name="Column3471"/>
    <tableColumn id="3499" xr3:uid="{FC4AF1F4-8887-430F-AAE7-95EA36F60E5F}" name="Column3472"/>
    <tableColumn id="3500" xr3:uid="{EC436901-A333-4BE2-ADE7-70EBB810C776}" name="Column3473"/>
    <tableColumn id="3501" xr3:uid="{F627B598-48F8-4361-8998-07682D593A17}" name="Column3474"/>
    <tableColumn id="3502" xr3:uid="{8B1D163A-D9FD-4F40-98E7-66167A3E539B}" name="Column3475"/>
    <tableColumn id="3503" xr3:uid="{FB4122F9-4EA7-41A5-BE00-7C5A5ED00A46}" name="Column3476"/>
    <tableColumn id="3504" xr3:uid="{5EB12CC5-CA99-4C89-8F36-86D053B70D27}" name="Column3477"/>
    <tableColumn id="3505" xr3:uid="{E2A1B84A-0494-49CF-8383-8E6F209A7FE0}" name="Column3478"/>
    <tableColumn id="3506" xr3:uid="{B9C98932-1D46-42FD-A8BD-8553458A125C}" name="Column3479"/>
    <tableColumn id="3507" xr3:uid="{99166802-72BA-4DCE-B14C-EE3106A49B41}" name="Column3480"/>
    <tableColumn id="3508" xr3:uid="{4ADC5136-5BA6-48A5-8D19-3971E3D2CCEB}" name="Column3481"/>
    <tableColumn id="3509" xr3:uid="{DA86C6FE-9AB9-4AEB-A435-DEF2DF82D74E}" name="Column3482"/>
    <tableColumn id="3510" xr3:uid="{37DE3844-9F1F-460C-B122-B1C2011039FB}" name="Column3483"/>
    <tableColumn id="3511" xr3:uid="{4960B26F-7E29-4B1C-8232-54023E260284}" name="Column3484"/>
    <tableColumn id="3512" xr3:uid="{4882016B-8985-4F44-B250-B639F12A6E55}" name="Column3485"/>
    <tableColumn id="3513" xr3:uid="{822F0A69-4D31-40AA-BA87-0E2BEA55851E}" name="Column3486"/>
    <tableColumn id="3514" xr3:uid="{4CB78399-6C1F-428E-AD47-0008B57129C5}" name="Column3487"/>
    <tableColumn id="3515" xr3:uid="{B0F3E653-820A-48B2-87CD-4DC239706703}" name="Column3488"/>
    <tableColumn id="3516" xr3:uid="{DC801ED8-B399-42AC-B9CC-81B6B98C3121}" name="Column3489"/>
    <tableColumn id="3517" xr3:uid="{2D5FA846-41C6-4A8A-A296-8088794F4D07}" name="Column3490"/>
    <tableColumn id="3518" xr3:uid="{C6C816A5-2BB0-4F20-A290-4DB2F1CC62C7}" name="Column3491"/>
    <tableColumn id="3519" xr3:uid="{FB66A0A3-0B41-425F-A87F-AE02D58AE6CB}" name="Column3492"/>
    <tableColumn id="3520" xr3:uid="{EBE16E76-349C-4244-AD17-DB516861E3BC}" name="Column3493"/>
    <tableColumn id="3521" xr3:uid="{0610CC2F-1743-46D0-9E11-4EDD6C85A550}" name="Column3494"/>
    <tableColumn id="3522" xr3:uid="{83DF7227-68E6-4FE0-9118-E8D73DF2FE39}" name="Column3495"/>
    <tableColumn id="3523" xr3:uid="{B81F430B-66CA-4E7F-9840-242943EEEE75}" name="Column3496"/>
    <tableColumn id="3524" xr3:uid="{5012ABFF-5BD0-4182-B7D2-42F4D230CDE1}" name="Column3497"/>
    <tableColumn id="3525" xr3:uid="{59CD0DA8-3ED7-4E5D-BC09-475F3D86BAC1}" name="Column3498"/>
    <tableColumn id="3526" xr3:uid="{B50BAE06-7BCB-45DE-B640-02228D7D89BC}" name="Column3499"/>
    <tableColumn id="3527" xr3:uid="{2A622F92-7D32-4476-9B46-983DB9A2117D}" name="Column3500"/>
    <tableColumn id="3528" xr3:uid="{48E9202A-624B-4920-AE7C-7E806ADA0BD2}" name="Column3501"/>
    <tableColumn id="3529" xr3:uid="{721FBC42-8490-4F86-BB9C-8BE07317048F}" name="Column3502"/>
    <tableColumn id="3530" xr3:uid="{C66C7DD1-C998-477B-B951-F992389E3508}" name="Column3503"/>
    <tableColumn id="3531" xr3:uid="{485CC167-360D-4A91-A252-4577444821E0}" name="Column3504"/>
    <tableColumn id="3532" xr3:uid="{1A770AD2-4D23-4EFF-A8A0-4F26CB450D74}" name="Column3505"/>
    <tableColumn id="3533" xr3:uid="{3327B082-D220-4E2E-BC42-459B4B632E6E}" name="Column3506"/>
    <tableColumn id="3534" xr3:uid="{5E5055F9-0361-487B-BC4A-22B16D288AD3}" name="Column3507"/>
    <tableColumn id="3535" xr3:uid="{943D326E-DB84-4014-838D-3541EF0C54FE}" name="Column3508"/>
    <tableColumn id="3536" xr3:uid="{552B8D95-9B15-4F99-A773-365386EFDFAA}" name="Column3509"/>
    <tableColumn id="3537" xr3:uid="{0CA5B451-C421-484D-9305-99DDA1ACAE52}" name="Column3510"/>
    <tableColumn id="3538" xr3:uid="{65BFC5CD-6C64-462E-9B01-C2FC3BBE7DA6}" name="Column3511"/>
    <tableColumn id="3539" xr3:uid="{731C918B-016C-4BB9-99EF-CFF061D88B5E}" name="Column3512"/>
    <tableColumn id="3540" xr3:uid="{25863D00-DEB4-4F04-A003-18FC1328317B}" name="Column3513"/>
    <tableColumn id="3541" xr3:uid="{8D71D432-ABFF-49D6-B4CF-945E08F4ACD8}" name="Column3514"/>
    <tableColumn id="3542" xr3:uid="{C0B145CF-5533-4A41-A744-8F875DE5EE55}" name="Column3515"/>
    <tableColumn id="3543" xr3:uid="{96EDC2AF-4FA4-4C26-98E8-681503160E3E}" name="Column3516"/>
    <tableColumn id="3544" xr3:uid="{883EF030-1603-4FF6-97F2-E0AE7C3224F1}" name="Column3517"/>
    <tableColumn id="3545" xr3:uid="{97699242-8D68-4FE7-9F69-09413559D2A6}" name="Column3518"/>
    <tableColumn id="3546" xr3:uid="{25FB656C-645E-4141-9CB7-1C2B7E342E6F}" name="Column3519"/>
    <tableColumn id="3547" xr3:uid="{2A6FC66E-5D13-425D-8376-C10560CB5C4D}" name="Column3520"/>
    <tableColumn id="3548" xr3:uid="{D077CD0C-A847-4E6D-8638-E8B55E64DFD6}" name="Column3521"/>
    <tableColumn id="3549" xr3:uid="{2E068F9D-EEB8-4172-B424-EE0436A1602D}" name="Column3522"/>
    <tableColumn id="3550" xr3:uid="{4A373D56-256E-4C08-86C0-195CD4D0A7CA}" name="Column3523"/>
    <tableColumn id="3551" xr3:uid="{563929B6-67ED-4E90-BDEE-82969B56B05D}" name="Column3524"/>
    <tableColumn id="3552" xr3:uid="{E4E63618-A3C9-49E7-B085-BCAE41FE0552}" name="Column3525"/>
    <tableColumn id="3553" xr3:uid="{2694E072-20ED-4C6E-A54B-147FD662B360}" name="Column3526"/>
    <tableColumn id="3554" xr3:uid="{203178FE-83AE-4259-8645-9086ADA83B78}" name="Column3527"/>
    <tableColumn id="3555" xr3:uid="{8F04E27E-AE73-4789-9CF0-01CCFC93DD1D}" name="Column3528"/>
    <tableColumn id="3556" xr3:uid="{BA7CCBBE-CAA7-4E90-8648-0755B92A8A81}" name="Column3529"/>
    <tableColumn id="3557" xr3:uid="{D0731497-187F-4870-8DB1-334B696CCDD8}" name="Column3530"/>
    <tableColumn id="3558" xr3:uid="{FF64CAC4-7AE3-43D1-9271-F51B73D0729E}" name="Column3531"/>
    <tableColumn id="3559" xr3:uid="{300A2C1A-B8BC-4868-8DAF-4CFAE4178BF7}" name="Column3532"/>
    <tableColumn id="3560" xr3:uid="{29B5BA59-71C6-4836-B1B0-14024447DA35}" name="Column3533"/>
    <tableColumn id="3561" xr3:uid="{164E00F8-2C2D-47A1-BBA1-FCA412754874}" name="Column3534"/>
    <tableColumn id="3562" xr3:uid="{58928E40-7BFD-4F4D-B798-9D09809CCBE1}" name="Column3535"/>
    <tableColumn id="3563" xr3:uid="{C152928F-68B8-4D3C-9B54-BFF631D7E96F}" name="Column3536"/>
    <tableColumn id="3564" xr3:uid="{DBB848AA-6AE9-4EE1-90F8-69AAD2648C45}" name="Column3537"/>
    <tableColumn id="3565" xr3:uid="{7974B078-501F-431C-A8B2-D94B5C607116}" name="Column3538"/>
    <tableColumn id="3566" xr3:uid="{35EFB1D4-10E0-436A-B64A-2C7C84AB2480}" name="Column3539"/>
    <tableColumn id="3567" xr3:uid="{0EBF1AF1-FE5A-4088-BDF9-718D0CE79DE2}" name="Column3540"/>
    <tableColumn id="3568" xr3:uid="{CCB8AF2B-35A8-4065-A2FC-1F8DA8C1167D}" name="Column3541"/>
    <tableColumn id="3569" xr3:uid="{CE23AB55-4DA6-4694-825A-EF96D8537C0B}" name="Column3542"/>
    <tableColumn id="3570" xr3:uid="{3C1A07A2-AE1A-49E9-90B8-09B0C8057EBA}" name="Column3543"/>
    <tableColumn id="3571" xr3:uid="{EA759DFB-FC18-465A-A985-71C6E83F34F2}" name="Column3544"/>
    <tableColumn id="3572" xr3:uid="{F75B5FC7-FD2D-42F8-A828-912CBEF81C78}" name="Column3545"/>
    <tableColumn id="3573" xr3:uid="{9F54328A-BC3A-4C46-B31F-85FCCDE1229A}" name="Column3546"/>
    <tableColumn id="3574" xr3:uid="{D89AAD06-BBCB-4BD9-B14E-D83F26250375}" name="Column3547"/>
    <tableColumn id="3575" xr3:uid="{6E99DFBD-1281-4B11-B93E-E4480AA928E8}" name="Column3548"/>
    <tableColumn id="3576" xr3:uid="{714D3262-62E0-4CE4-A169-A67F8335AC74}" name="Column3549"/>
    <tableColumn id="3577" xr3:uid="{850D7C69-3A58-4135-A9A4-0D73D8E7CBFC}" name="Column3550"/>
    <tableColumn id="3578" xr3:uid="{85877936-016D-4D67-B136-38646E780482}" name="Column3551"/>
    <tableColumn id="3579" xr3:uid="{4A270340-04AD-4833-8DDA-3E3147844DFF}" name="Column3552"/>
    <tableColumn id="3580" xr3:uid="{1F9E00E0-4289-4681-8E68-BFAEE89706E5}" name="Column3553"/>
    <tableColumn id="3581" xr3:uid="{D4D4AC6E-42CE-420E-98CE-F72D31E100FC}" name="Column3554"/>
    <tableColumn id="3582" xr3:uid="{C1A0D7F7-8355-47E5-A80A-6340A7A4F053}" name="Column3555"/>
    <tableColumn id="3583" xr3:uid="{881C6AD8-E73B-4C94-8784-46C4211E9D7A}" name="Column3556"/>
    <tableColumn id="3584" xr3:uid="{FD8A8851-3929-4F92-BFCA-A382EAE94DB1}" name="Column3557"/>
    <tableColumn id="3585" xr3:uid="{FB765385-0DE4-4052-9E77-578D6B423306}" name="Column3558"/>
    <tableColumn id="3586" xr3:uid="{255738BE-D556-4A90-8330-A188ECBE2E96}" name="Column3559"/>
    <tableColumn id="3587" xr3:uid="{8F765D4A-861A-47F9-AF9E-5D76FD719B5D}" name="Column3560"/>
    <tableColumn id="3588" xr3:uid="{325AC1B7-CD7E-4882-B85A-4C6BD41D69BA}" name="Column3561"/>
    <tableColumn id="3589" xr3:uid="{2D0C9FD6-F045-49D5-93DF-1B015F340126}" name="Column3562"/>
    <tableColumn id="3590" xr3:uid="{56E7A01D-64F5-47B1-A75F-0C03570E5D3B}" name="Column3563"/>
    <tableColumn id="3591" xr3:uid="{B9D3512B-2FDA-4C9A-93F9-F26ABE4EBF9D}" name="Column3564"/>
    <tableColumn id="3592" xr3:uid="{F668BC65-8F44-49F1-A6FC-714C689C1A31}" name="Column3565"/>
    <tableColumn id="3593" xr3:uid="{DF43F534-CADC-4B2E-8816-8D15A427CAAD}" name="Column3566"/>
    <tableColumn id="3594" xr3:uid="{A1A6AE88-FF05-4E1A-8A37-5C608057A257}" name="Column3567"/>
    <tableColumn id="3595" xr3:uid="{A779D55C-8C01-42F5-AA96-7882E656F385}" name="Column3568"/>
    <tableColumn id="3596" xr3:uid="{A312CBFA-BA54-44BE-99C3-7E55DB399031}" name="Column3569"/>
    <tableColumn id="3597" xr3:uid="{BCCB0573-AE23-4974-AD3A-A515890480DD}" name="Column3570"/>
    <tableColumn id="3598" xr3:uid="{7521EE7D-6A97-4DF6-BFFD-7DC0195CF30F}" name="Column3571"/>
    <tableColumn id="3599" xr3:uid="{D753E4E0-F325-4C5B-A3D3-EBFD5F6FFBF7}" name="Column3572"/>
    <tableColumn id="3600" xr3:uid="{FFCBC21F-6D93-4BF4-AEC7-4AC32554F780}" name="Column3573"/>
    <tableColumn id="3601" xr3:uid="{BD74DE94-CD9D-441C-9057-342A12B2EC97}" name="Column3574"/>
    <tableColumn id="3602" xr3:uid="{CDEFBE9A-F8D3-43B0-BA12-CC8E77069AA4}" name="Column3575"/>
    <tableColumn id="3603" xr3:uid="{36A114D9-566E-41FE-A569-BBDB6D9C417B}" name="Column3576"/>
    <tableColumn id="3604" xr3:uid="{A89891B6-1CAC-4F0A-B131-1E1CC929D7FD}" name="Column3577"/>
    <tableColumn id="3605" xr3:uid="{28BD28CC-900B-46F5-8025-8B2B5D364AB2}" name="Column3578"/>
    <tableColumn id="3606" xr3:uid="{008EB64C-F636-4B7A-AAE2-61D63E8E4D16}" name="Column3579"/>
    <tableColumn id="3607" xr3:uid="{2641640A-850A-40D6-8FD6-A1D5794D322C}" name="Column3580"/>
    <tableColumn id="3608" xr3:uid="{E5A5C0C3-559F-4C10-9416-876A8D46564B}" name="Column3581"/>
    <tableColumn id="3609" xr3:uid="{2ECD8C6E-FEE0-4233-8449-14DBC0DEB7D7}" name="Column3582"/>
    <tableColumn id="3610" xr3:uid="{C151B6DB-028D-4334-A9B1-44F72E0DFC75}" name="Column3583"/>
    <tableColumn id="3611" xr3:uid="{4F43D7C5-7A8C-4212-9C80-B7A134FA765E}" name="Column3584"/>
    <tableColumn id="3612" xr3:uid="{739E4902-17FC-4358-A9D5-51DE1383F2F3}" name="Column3585"/>
    <tableColumn id="3613" xr3:uid="{C135FE89-07CA-497F-9D3D-A3A6DF464B35}" name="Column3586"/>
    <tableColumn id="3614" xr3:uid="{602368D2-ADA3-4ED9-B7BA-4F8723DFDF43}" name="Column3587"/>
    <tableColumn id="3615" xr3:uid="{72E18C60-F61D-4EDE-A9C8-80148E7BD775}" name="Column3588"/>
    <tableColumn id="3616" xr3:uid="{9FFD6B94-4546-4DD3-8058-B0FB786D414B}" name="Column3589"/>
    <tableColumn id="3617" xr3:uid="{BF3DAAC2-94AB-4607-BED3-D689DCF3E5C6}" name="Column3590"/>
    <tableColumn id="3618" xr3:uid="{12AB5209-A9BE-4E72-843A-94B413FA5E70}" name="Column3591"/>
    <tableColumn id="3619" xr3:uid="{3C9A62F4-21B2-408F-8025-F99D17D030B4}" name="Column3592"/>
    <tableColumn id="3620" xr3:uid="{07CEE905-F665-406F-9B46-E2B5B335421D}" name="Column3593"/>
    <tableColumn id="3621" xr3:uid="{FDDD319B-955E-43F8-9BDF-EBD86B274DB8}" name="Column3594"/>
    <tableColumn id="3622" xr3:uid="{575AB823-7C4D-405C-84A9-27B445DF727A}" name="Column3595"/>
    <tableColumn id="3623" xr3:uid="{D5713EF1-A687-4A48-BE0B-43A7BD8FF855}" name="Column3596"/>
    <tableColumn id="3624" xr3:uid="{34D83B4D-5308-4A0B-9111-2B21FDBFA7BF}" name="Column3597"/>
    <tableColumn id="3625" xr3:uid="{9E6F69FA-6783-4E8E-844E-5DCBA2F94C03}" name="Column3598"/>
    <tableColumn id="3626" xr3:uid="{3B6ED36B-8F3E-4DC2-9801-1DCD4F8BBC99}" name="Column3599"/>
    <tableColumn id="3627" xr3:uid="{27ECAF48-0BEC-4F63-861F-B567BDB6A8D1}" name="Column3600"/>
    <tableColumn id="3628" xr3:uid="{0DFF067B-8A03-4C4F-9247-EE77962ED874}" name="Column3601"/>
    <tableColumn id="3629" xr3:uid="{66971539-57A5-41E4-A42B-C8C9B074A669}" name="Column3602"/>
    <tableColumn id="3630" xr3:uid="{70086AD7-DA1E-4BF8-BAB8-EBCBEC55CEAF}" name="Column3603"/>
    <tableColumn id="3631" xr3:uid="{1DF9773B-D64A-4F1C-8A4C-E9ABD7727631}" name="Column3604"/>
    <tableColumn id="3632" xr3:uid="{240D583D-9BE5-4E6F-90C0-57C022D99CD8}" name="Column3605"/>
    <tableColumn id="3633" xr3:uid="{8AA4AB6A-27B5-45A5-88AE-E3E4B4A90D72}" name="Column3606"/>
    <tableColumn id="3634" xr3:uid="{FBF0673A-EAD2-455C-A416-316EFD3EFEF9}" name="Column3607"/>
    <tableColumn id="3635" xr3:uid="{69982CDF-1291-405C-A6D6-10D3BD25C2F8}" name="Column3608"/>
    <tableColumn id="3636" xr3:uid="{B8DE2948-A13D-4399-A850-417C6FB05AC6}" name="Column3609"/>
    <tableColumn id="3637" xr3:uid="{7079A2C3-3A44-482A-95E8-A4C6216E1B7C}" name="Column3610"/>
    <tableColumn id="3638" xr3:uid="{A3B6248F-0C5F-49B1-B034-5EA2DF86D01C}" name="Column3611"/>
    <tableColumn id="3639" xr3:uid="{24A895D5-7132-4447-83F8-CB2ABBE20AE5}" name="Column3612"/>
    <tableColumn id="3640" xr3:uid="{90F0365A-AE78-4189-AE84-C5EB98ED8BF3}" name="Column3613"/>
    <tableColumn id="3641" xr3:uid="{02C4B663-108E-4E0E-B3EF-B4EF9C0FDC07}" name="Column3614"/>
    <tableColumn id="3642" xr3:uid="{DC5002CE-9932-4C13-9BD3-C8F3318CE374}" name="Column3615"/>
    <tableColumn id="3643" xr3:uid="{0B98749B-694A-4722-991D-CC8ACFF0D959}" name="Column3616"/>
    <tableColumn id="3644" xr3:uid="{CF650D0E-F1CD-42C6-8E9F-3EB8E2DE1405}" name="Column3617"/>
    <tableColumn id="3645" xr3:uid="{F892E8CF-D7D1-4F5A-9677-C8D4FEC9C81D}" name="Column3618"/>
    <tableColumn id="3646" xr3:uid="{E4121F6C-11C1-4129-B62E-C0FDB19A7ED5}" name="Column3619"/>
    <tableColumn id="3647" xr3:uid="{DA1E94A0-B1F3-4C5B-AAB1-656558A90A7F}" name="Column3620"/>
    <tableColumn id="3648" xr3:uid="{92FC36C4-137C-466C-9E2E-B1C40FFAA5E3}" name="Column3621"/>
    <tableColumn id="3649" xr3:uid="{BAF95B83-F721-4C92-A899-CBE45F9437D8}" name="Column3622"/>
    <tableColumn id="3650" xr3:uid="{B66FA62A-9EDE-4174-BD80-49B9E9A979F1}" name="Column3623"/>
    <tableColumn id="3651" xr3:uid="{2C529406-A9EE-4A6B-A3FE-71A0EF1E5B18}" name="Column3624"/>
    <tableColumn id="3652" xr3:uid="{36B356B2-EF2E-42CD-B6B4-FD5C5DDCB4D2}" name="Column3625"/>
    <tableColumn id="3653" xr3:uid="{EE832FDC-F217-4DDF-A41E-023AC5D92463}" name="Column3626"/>
    <tableColumn id="3654" xr3:uid="{5B1683D2-2897-4BE7-8783-5FF641A1F884}" name="Column3627"/>
    <tableColumn id="3655" xr3:uid="{C73B3F1F-1333-4BCB-990B-9449840BF564}" name="Column3628"/>
    <tableColumn id="3656" xr3:uid="{DC7F578C-64FE-4AE2-94B5-117709A685D0}" name="Column3629"/>
    <tableColumn id="3657" xr3:uid="{A59C2260-7629-49A9-9D43-2772F58D336A}" name="Column3630"/>
    <tableColumn id="3658" xr3:uid="{AF26F9AC-AC0D-412A-9F19-8C20C82C04A3}" name="Column3631"/>
    <tableColumn id="3659" xr3:uid="{5D37E07E-39B9-4740-ABDC-91697C8E0A61}" name="Column3632"/>
    <tableColumn id="3660" xr3:uid="{36A13BEC-114F-4CDA-8958-CB278A529D89}" name="Column3633"/>
    <tableColumn id="3661" xr3:uid="{D664F68B-BA3A-487F-8BAB-FDD7D2E2C64D}" name="Column3634"/>
    <tableColumn id="3662" xr3:uid="{38F04A6E-3336-4D8C-94FD-65739A9F4A36}" name="Column3635"/>
    <tableColumn id="3663" xr3:uid="{A80CC483-9329-4486-A781-FFBBD71F8D0D}" name="Column3636"/>
    <tableColumn id="3664" xr3:uid="{19E677D1-B1AE-4A30-83DD-D6E919563067}" name="Column3637"/>
    <tableColumn id="3665" xr3:uid="{877284E6-4615-4B9F-B937-047D847C3703}" name="Column3638"/>
    <tableColumn id="3666" xr3:uid="{C5D4081E-08C5-4E8A-B800-1E5EB7A343F6}" name="Column3639"/>
    <tableColumn id="3667" xr3:uid="{D812753A-F795-44C0-A1A6-0BF7567D769B}" name="Column3640"/>
    <tableColumn id="3668" xr3:uid="{824AD123-339C-422A-A50D-0B80583A379F}" name="Column3641"/>
    <tableColumn id="3669" xr3:uid="{493B74ED-179B-4220-BCA0-36393AFAD52C}" name="Column3642"/>
    <tableColumn id="3670" xr3:uid="{0298CF4A-07D3-45DA-86B7-495930E16902}" name="Column3643"/>
    <tableColumn id="3671" xr3:uid="{F7166349-D030-42D2-99EC-FEE681C3A80C}" name="Column3644"/>
    <tableColumn id="3672" xr3:uid="{910315F4-57D3-47AD-91F5-98E438D73951}" name="Column3645"/>
    <tableColumn id="3673" xr3:uid="{5DA80EA2-D68C-47DD-9F4D-C52A4DC23C6B}" name="Column3646"/>
    <tableColumn id="3674" xr3:uid="{849C2C29-DCB0-4FE1-A56B-35C6D66783CD}" name="Column3647"/>
    <tableColumn id="3675" xr3:uid="{74BD1A8B-9307-4B8A-8A3F-893A4671134E}" name="Column3648"/>
    <tableColumn id="3676" xr3:uid="{CE21CB95-3D54-42EF-BCFC-20880E98A934}" name="Column3649"/>
    <tableColumn id="3677" xr3:uid="{29E64154-2418-4B6F-95BB-D6D00EE119C8}" name="Column3650"/>
    <tableColumn id="3678" xr3:uid="{584DDB81-2B4B-4312-BF5D-22495B8CE55F}" name="Column3651"/>
    <tableColumn id="3679" xr3:uid="{04B18B48-ED00-4968-8CB4-6A70756CCE30}" name="Column3652"/>
    <tableColumn id="3680" xr3:uid="{C3BB54D6-E578-4450-B622-05B1B1424807}" name="Column3653"/>
    <tableColumn id="3681" xr3:uid="{B81A7A6C-0D99-46AC-9C08-D6E5E0D4D592}" name="Column3654"/>
    <tableColumn id="3682" xr3:uid="{63FA4CF4-266C-4153-9198-44C40D7C7C1D}" name="Column3655"/>
    <tableColumn id="3683" xr3:uid="{AE072532-D1C8-4D0B-9B40-111E46EA477E}" name="Column3656"/>
    <tableColumn id="3684" xr3:uid="{18750F96-665B-4FAC-AE1B-9EEFF5391C9F}" name="Column3657"/>
    <tableColumn id="3685" xr3:uid="{832901D6-A891-47EA-ABDD-8F48079C652A}" name="Column3658"/>
    <tableColumn id="3686" xr3:uid="{D5BC1459-B957-48C9-B867-E598F269848A}" name="Column3659"/>
    <tableColumn id="3687" xr3:uid="{9E060CA5-EE5B-4E92-803E-E0B33A31AB11}" name="Column3660"/>
    <tableColumn id="3688" xr3:uid="{35D5C8C8-6397-4B1E-9EFA-1CE942345276}" name="Column3661"/>
    <tableColumn id="3689" xr3:uid="{4AC3BD37-AB59-4287-BCF4-4967127AE173}" name="Column3662"/>
    <tableColumn id="3690" xr3:uid="{54FE48A2-2385-457D-ABB9-FA97C7509ABE}" name="Column3663"/>
    <tableColumn id="3691" xr3:uid="{7C5E2400-5587-4B14-A340-779672D464CB}" name="Column3664"/>
    <tableColumn id="3692" xr3:uid="{589D0691-9887-4747-B4B5-19D2D6BEBA1D}" name="Column3665"/>
    <tableColumn id="3693" xr3:uid="{D1816E2C-3CE3-4F9D-B009-66F08D79A603}" name="Column3666"/>
    <tableColumn id="3694" xr3:uid="{CE259317-1F6A-4EAB-8EB6-7F454FEFA66E}" name="Column3667"/>
    <tableColumn id="3695" xr3:uid="{EBCB2232-A65C-4EF7-9C2C-F8293F8E9184}" name="Column3668"/>
    <tableColumn id="3696" xr3:uid="{0C0688C8-A1B1-4F7E-A526-371D7F9DE1FB}" name="Column3669"/>
    <tableColumn id="3697" xr3:uid="{0CE007BB-0B1D-4EFD-9CEB-54F3C005DBD5}" name="Column3670"/>
    <tableColumn id="3698" xr3:uid="{9DE13691-B4F1-4B50-BA59-3927757F73C5}" name="Column3671"/>
    <tableColumn id="3699" xr3:uid="{A91AD1B6-BCEE-44BF-82AF-6D362D81DE14}" name="Column3672"/>
    <tableColumn id="3700" xr3:uid="{B20BD6D7-9840-4B2A-B214-7FD0B3E92E47}" name="Column3673"/>
    <tableColumn id="3701" xr3:uid="{52D42F5A-F5BB-4E3C-B7B6-BA34AB511916}" name="Column3674"/>
    <tableColumn id="3702" xr3:uid="{767B3699-EF67-442C-A067-A99D46BF0372}" name="Column3675"/>
    <tableColumn id="3703" xr3:uid="{5165C58D-58A6-4ABD-8B71-D9C66823542A}" name="Column3676"/>
    <tableColumn id="3704" xr3:uid="{1C274F8D-9266-424A-81A9-B99C715B19E2}" name="Column3677"/>
    <tableColumn id="3705" xr3:uid="{B957A6E3-E659-4B72-BAE0-62C837E38B92}" name="Column3678"/>
    <tableColumn id="3706" xr3:uid="{C73BE8ED-733A-4977-8933-DEB6A6B018D2}" name="Column3679"/>
    <tableColumn id="3707" xr3:uid="{E516CF6E-DBCF-4FA7-9CB4-CB43483EDD8C}" name="Column3680"/>
    <tableColumn id="3708" xr3:uid="{CC7BFA60-5DD8-4642-8F7E-12F5198A0A91}" name="Column3681"/>
    <tableColumn id="3709" xr3:uid="{CDE22CEB-6204-4695-8830-4A2D0D688463}" name="Column3682"/>
    <tableColumn id="3710" xr3:uid="{F76DC2B2-3596-4EA9-AEAA-2FEF97607B7D}" name="Column3683"/>
    <tableColumn id="3711" xr3:uid="{63341583-241F-404A-9A1F-56475E5AA8C8}" name="Column3684"/>
    <tableColumn id="3712" xr3:uid="{0122BD53-0BD8-42A2-9773-8185F57432CC}" name="Column3685"/>
    <tableColumn id="3713" xr3:uid="{4C8C7C5D-E6BD-40B1-AF21-E1EEE5495874}" name="Column3686"/>
    <tableColumn id="3714" xr3:uid="{EE1B2C56-E9EF-4515-9823-3B77F303EC75}" name="Column3687"/>
    <tableColumn id="3715" xr3:uid="{C33AC257-18C2-4B95-93B8-A234F15595F5}" name="Column3688"/>
    <tableColumn id="3716" xr3:uid="{DD7F7280-56B8-4AFA-A737-EBC3956A1CF6}" name="Column3689"/>
    <tableColumn id="3717" xr3:uid="{02F42B30-A21D-45F3-A1B7-6B804A42C9F8}" name="Column3690"/>
    <tableColumn id="3718" xr3:uid="{733FC390-0C61-4AA5-AEBB-AF10E8C7EF09}" name="Column3691"/>
    <tableColumn id="3719" xr3:uid="{4B058453-4906-4D1E-9E8C-57134E30E4CE}" name="Column3692"/>
    <tableColumn id="3720" xr3:uid="{06080840-01A3-4194-A056-26F14C1912FE}" name="Column3693"/>
    <tableColumn id="3721" xr3:uid="{00F0E951-FA54-49BC-BA2F-75CEDA145DB8}" name="Column3694"/>
    <tableColumn id="3722" xr3:uid="{94FE35A5-9682-4537-9AB7-AE5CA86FE47C}" name="Column3695"/>
    <tableColumn id="3723" xr3:uid="{5705A1B3-04E6-48AF-8D6A-8408B445B8BF}" name="Column3696"/>
    <tableColumn id="3724" xr3:uid="{13C04EF9-022C-45CE-9876-074F75136BE3}" name="Column3697"/>
    <tableColumn id="3725" xr3:uid="{961A6402-2F8E-4148-9D51-2E60F8E8B38C}" name="Column3698"/>
    <tableColumn id="3726" xr3:uid="{19EB5959-43AA-46CA-A12B-7718A355524F}" name="Column3699"/>
    <tableColumn id="3727" xr3:uid="{56D95B16-1B68-44D7-9DF4-AE3CAAADE578}" name="Column3700"/>
    <tableColumn id="3728" xr3:uid="{AEF86588-B154-40BA-B23C-E9EC73561CBB}" name="Column3701"/>
    <tableColumn id="3729" xr3:uid="{98185714-C718-46A1-ABAD-D8A395A3A53E}" name="Column3702"/>
    <tableColumn id="3730" xr3:uid="{AFA4A606-7CF1-4112-8F4F-36BED136DDBF}" name="Column3703"/>
    <tableColumn id="3731" xr3:uid="{FAEEC27F-5D1A-40CA-82A8-5D421D062C62}" name="Column3704"/>
    <tableColumn id="3732" xr3:uid="{C47F9ADC-B042-421D-8A96-D5A426BEA4CD}" name="Column3705"/>
    <tableColumn id="3733" xr3:uid="{F6501271-FA99-4F94-A78E-250BAEA69BFC}" name="Column3706"/>
    <tableColumn id="3734" xr3:uid="{97984583-8E60-4C62-A7B7-1942FC71F046}" name="Column3707"/>
    <tableColumn id="3735" xr3:uid="{32160307-8EC5-4A95-B299-CE44AB76EF27}" name="Column3708"/>
    <tableColumn id="3736" xr3:uid="{C730B176-7252-4A7C-BC64-94DFAA2C86D6}" name="Column3709"/>
    <tableColumn id="3737" xr3:uid="{2173D5DC-2AF7-4B52-81A9-9CC47E9B83A5}" name="Column3710"/>
    <tableColumn id="3738" xr3:uid="{7AE85891-0147-4473-B3D5-5C5E6F5E0861}" name="Column3711"/>
    <tableColumn id="3739" xr3:uid="{28657410-B7C9-44C0-BF66-4DED491D6A74}" name="Column3712"/>
    <tableColumn id="3740" xr3:uid="{E6CEF0F1-1BDB-4DC3-961E-D4FC3B926235}" name="Column3713"/>
    <tableColumn id="3741" xr3:uid="{682FA001-FA4A-4076-9B18-594C663EFB38}" name="Column3714"/>
    <tableColumn id="3742" xr3:uid="{95E88DC3-4A20-435D-B019-D0D14FD4ECB6}" name="Column3715"/>
    <tableColumn id="3743" xr3:uid="{4DD709F4-BDE0-4AB2-8564-975144881FEA}" name="Column3716"/>
    <tableColumn id="3744" xr3:uid="{E5F6103F-3C2D-4A7B-8E80-B5A1191DF844}" name="Column3717"/>
    <tableColumn id="3745" xr3:uid="{BC567DB7-1E61-465B-983B-A2F54EC9D341}" name="Column3718"/>
    <tableColumn id="3746" xr3:uid="{7C4088ED-0DC5-4B72-B434-624D29BD8481}" name="Column3719"/>
    <tableColumn id="3747" xr3:uid="{69F79A89-AE3B-426D-83F4-E0AEE928439B}" name="Column3720"/>
    <tableColumn id="3748" xr3:uid="{55521A12-E23E-4DD2-B110-C10E6FE8A0BE}" name="Column3721"/>
    <tableColumn id="3749" xr3:uid="{EA6BCB01-A422-435B-9060-7542409DBEA9}" name="Column3722"/>
    <tableColumn id="3750" xr3:uid="{DFA1716A-0292-4BF1-9F2D-0A95E26BDCCC}" name="Column3723"/>
    <tableColumn id="3751" xr3:uid="{DB306B37-5B9E-482B-8B09-0F447F81EBC0}" name="Column3724"/>
    <tableColumn id="3752" xr3:uid="{64756D88-3A77-4663-A7A5-EABC7A75624B}" name="Column3725"/>
    <tableColumn id="3753" xr3:uid="{79B4E2D5-7622-42BB-A179-1810CADBA4A4}" name="Column3726"/>
    <tableColumn id="3754" xr3:uid="{0D44AE78-9236-4DB6-B616-AEC2A12DE043}" name="Column3727"/>
    <tableColumn id="3755" xr3:uid="{046F6F75-4E72-4C69-9C51-8AA00B296404}" name="Column3728"/>
    <tableColumn id="3756" xr3:uid="{DA1239E6-0263-4E0E-AF6A-F02279F7A32B}" name="Column3729"/>
    <tableColumn id="3757" xr3:uid="{C471BE0F-00AA-4FC7-BC43-94B4150818E4}" name="Column3730"/>
    <tableColumn id="3758" xr3:uid="{8522C9C5-730E-43BB-B735-61AB01A87142}" name="Column3731"/>
    <tableColumn id="3759" xr3:uid="{B5B38B59-28DB-43D4-8C11-DA09FCD621BF}" name="Column3732"/>
    <tableColumn id="3760" xr3:uid="{95753041-7569-4CC9-BE2A-B63F46650D12}" name="Column3733"/>
    <tableColumn id="3761" xr3:uid="{B8C0C3FF-EA53-413E-8417-CA6BB9DFFC7E}" name="Column3734"/>
    <tableColumn id="3762" xr3:uid="{16B18F33-37A8-42A5-86E5-D9FA3E3246CE}" name="Column3735"/>
    <tableColumn id="3763" xr3:uid="{82BCD94D-C08A-4542-A712-2192981869CB}" name="Column3736"/>
    <tableColumn id="3764" xr3:uid="{7E41ED45-3ABC-43BC-8EBF-E1ADA3D9CA7E}" name="Column3737"/>
    <tableColumn id="3765" xr3:uid="{1D42493C-03B6-43CA-8F29-CB17C2C5825F}" name="Column3738"/>
    <tableColumn id="3766" xr3:uid="{6BDF3C2C-AA5C-4CFF-BC8E-1FDCD52A5AED}" name="Column3739"/>
    <tableColumn id="3767" xr3:uid="{29F6E4CF-3471-4A81-9C47-E0D83A42D1BB}" name="Column3740"/>
    <tableColumn id="3768" xr3:uid="{7EBFDFBB-ED0B-4D81-84B1-7B579A5A41A6}" name="Column3741"/>
    <tableColumn id="3769" xr3:uid="{B76D6977-B3E4-4EDB-9F01-0A7ECF5CF255}" name="Column3742"/>
    <tableColumn id="3770" xr3:uid="{3C7C7F66-0CC8-4198-B448-F454606F2A20}" name="Column3743"/>
    <tableColumn id="3771" xr3:uid="{24561E2A-4020-459C-BB31-5BB0AC78B13A}" name="Column3744"/>
    <tableColumn id="3772" xr3:uid="{98725654-8C21-4326-9540-BEAE60B3F031}" name="Column3745"/>
    <tableColumn id="3773" xr3:uid="{C29C7839-FF66-4B3E-9646-9C8FE23A5CBE}" name="Column3746"/>
    <tableColumn id="3774" xr3:uid="{3906AD6F-8318-4A39-8E28-B41FAC15E167}" name="Column3747"/>
    <tableColumn id="3775" xr3:uid="{D62329A6-6DAC-4F91-AB4C-539FE20BCABC}" name="Column3748"/>
    <tableColumn id="3776" xr3:uid="{924025B0-B5F4-48A1-8CE5-DB4634346D8C}" name="Column3749"/>
    <tableColumn id="3777" xr3:uid="{013F8F62-2F4C-4472-B0F0-82E59BCB6DCD}" name="Column3750"/>
    <tableColumn id="3778" xr3:uid="{2D91359A-FAEC-46C7-89B0-7037D117D520}" name="Column3751"/>
    <tableColumn id="3779" xr3:uid="{773D4EEF-43EF-4029-996D-D94A43C746DB}" name="Column3752"/>
    <tableColumn id="3780" xr3:uid="{24ADE6D7-1874-4D93-B418-DAECAD6C1941}" name="Column3753"/>
    <tableColumn id="3781" xr3:uid="{349D7C27-CDA2-4679-B252-16017236148A}" name="Column3754"/>
    <tableColumn id="3782" xr3:uid="{C9779423-14C7-459A-91C3-172F90D731A3}" name="Column3755"/>
    <tableColumn id="3783" xr3:uid="{B8707116-74FD-4BF2-95CD-4CFC629C0593}" name="Column3756"/>
    <tableColumn id="3784" xr3:uid="{7D4C97F0-CD54-47BC-8F02-0910FDBBFA0E}" name="Column3757"/>
    <tableColumn id="3785" xr3:uid="{FE136CAA-1C9B-4063-860F-D47A0CD2BE53}" name="Column3758"/>
    <tableColumn id="3786" xr3:uid="{C01ADC21-0208-4C9D-9E38-A7460BB96A55}" name="Column3759"/>
    <tableColumn id="3787" xr3:uid="{B7016DFF-0FE3-4969-96E8-41F436B21864}" name="Column3760"/>
    <tableColumn id="3788" xr3:uid="{A8F87F1D-0CAB-45AB-BF95-B926FB4B38A6}" name="Column3761"/>
    <tableColumn id="3789" xr3:uid="{7548F9A3-B8A5-4B51-B527-770E52386FF3}" name="Column3762"/>
    <tableColumn id="3790" xr3:uid="{A2623BCB-C0CA-4CCE-B2C4-08011F35D310}" name="Column3763"/>
    <tableColumn id="3791" xr3:uid="{68833F9D-6D33-4BA3-B92A-D2647CCDAAFE}" name="Column3764"/>
    <tableColumn id="3792" xr3:uid="{9CBF46C7-FB54-43FC-93D0-67336AA113A5}" name="Column3765"/>
    <tableColumn id="3793" xr3:uid="{1E8D37D8-A98B-447B-9DC4-1A17495FFBD4}" name="Column3766"/>
    <tableColumn id="3794" xr3:uid="{45DFDCEE-7316-4E36-91C3-180817FD26A1}" name="Column3767"/>
    <tableColumn id="3795" xr3:uid="{953D56D0-64F3-41DD-98C1-E5B279ADFAD4}" name="Column3768"/>
    <tableColumn id="3796" xr3:uid="{E1A4A864-75FB-4BB9-9053-C57B51D24BEC}" name="Column3769"/>
    <tableColumn id="3797" xr3:uid="{537FA7B5-F73F-425E-A6A4-D0BBCDFE84AF}" name="Column3770"/>
    <tableColumn id="3798" xr3:uid="{CB8F2820-D5F0-47A2-84B0-F09E0890EE5D}" name="Column3771"/>
    <tableColumn id="3799" xr3:uid="{7F894BA9-DF09-46A8-8266-5075CE4F0F01}" name="Column3772"/>
    <tableColumn id="3800" xr3:uid="{98E524E1-32C5-4AB4-892E-A7E7167C3EBD}" name="Column3773"/>
    <tableColumn id="3801" xr3:uid="{CD706593-2017-4C91-9C97-E87CCF751929}" name="Column3774"/>
    <tableColumn id="3802" xr3:uid="{CEBD65AD-00DA-4035-B351-333B2C12F081}" name="Column3775"/>
    <tableColumn id="3803" xr3:uid="{230343AF-B643-41B6-9B95-1C278241D02C}" name="Column3776"/>
    <tableColumn id="3804" xr3:uid="{8103CB01-F3DB-4C26-8385-5922D7BD853D}" name="Column3777"/>
    <tableColumn id="3805" xr3:uid="{C2706FAD-F416-4DBB-B830-C53849707F95}" name="Column3778"/>
    <tableColumn id="3806" xr3:uid="{96C8A1D2-304E-430A-BC04-A3358476E827}" name="Column3779"/>
    <tableColumn id="3807" xr3:uid="{6373149D-5992-49D2-AF8D-88AEBF9425F1}" name="Column3780"/>
    <tableColumn id="3808" xr3:uid="{590E3743-FD6F-44F3-A48E-84270C6CAD20}" name="Column3781"/>
    <tableColumn id="3809" xr3:uid="{0AF94979-65D2-459C-A069-18C652EC577A}" name="Column3782"/>
    <tableColumn id="3810" xr3:uid="{80C9C39B-D63C-440F-B72D-A03D5A13B8F2}" name="Column3783"/>
    <tableColumn id="3811" xr3:uid="{CF82E26E-CE7B-4A7D-8D0E-EC9A27108D82}" name="Column3784"/>
    <tableColumn id="3812" xr3:uid="{46E3A627-583B-4BFC-B5CB-CBF6238D1868}" name="Column3785"/>
    <tableColumn id="3813" xr3:uid="{7BFE5354-5F42-413C-88D8-2198324907A2}" name="Column3786"/>
    <tableColumn id="3814" xr3:uid="{7A919B1D-E78B-4164-97A7-26738EE49F4F}" name="Column3787"/>
    <tableColumn id="3815" xr3:uid="{6983E03A-734C-4593-8C9D-B59A4179AE6E}" name="Column3788"/>
    <tableColumn id="3816" xr3:uid="{862E7F61-E84C-416A-81A8-7BDDF83F4000}" name="Column3789"/>
    <tableColumn id="3817" xr3:uid="{A792418E-0607-4AB5-8513-9F75300B53C9}" name="Column3790"/>
    <tableColumn id="3818" xr3:uid="{9C2F7839-D060-4B61-9262-757277417033}" name="Column3791"/>
    <tableColumn id="3819" xr3:uid="{B8701805-D06C-4151-8A6F-4C3C4B14E4FB}" name="Column3792"/>
    <tableColumn id="3820" xr3:uid="{88D20414-9334-46B4-837D-76ECB84F32CD}" name="Column3793"/>
    <tableColumn id="3821" xr3:uid="{2BBC2A58-F063-42D3-916C-E3141B874F2A}" name="Column3794"/>
    <tableColumn id="3822" xr3:uid="{B08E37D9-65D3-495F-AD2D-0E1A0416C5F2}" name="Column3795"/>
    <tableColumn id="3823" xr3:uid="{FA408EEF-27DE-40F7-BF7F-B8C013BE2135}" name="Column3796"/>
    <tableColumn id="3824" xr3:uid="{2FC621E7-E73F-4703-B991-88571E1930D0}" name="Column3797"/>
    <tableColumn id="3825" xr3:uid="{EB82442A-42F4-4D38-B3F2-9AE996DC280C}" name="Column3798"/>
    <tableColumn id="3826" xr3:uid="{9088C3E5-7419-4C9D-812B-ACE3E1599EDA}" name="Column3799"/>
    <tableColumn id="3827" xr3:uid="{BEFBCCC4-2EE9-4734-85B4-1C70C8D1C1CD}" name="Column3800"/>
    <tableColumn id="3828" xr3:uid="{C634F396-3937-4574-B890-802BDBEF533A}" name="Column3801"/>
    <tableColumn id="3829" xr3:uid="{0172123B-20FD-4B85-801C-A6F9C2F61BFF}" name="Column3802"/>
    <tableColumn id="3830" xr3:uid="{E16D6C56-2A12-47C9-A8FA-1C632E662E7C}" name="Column3803"/>
    <tableColumn id="3831" xr3:uid="{0A9061EA-8702-4B30-9063-7B1EE3E5A245}" name="Column3804"/>
    <tableColumn id="3832" xr3:uid="{CEF5A0BA-DBDA-4C8B-9ABC-62378C499A86}" name="Column3805"/>
    <tableColumn id="3833" xr3:uid="{A8078209-E5B3-46B4-831E-DB207A3942DF}" name="Column3806"/>
    <tableColumn id="3834" xr3:uid="{2E96F0B9-7292-4CD5-BF2D-C11DA3A0DE2A}" name="Column3807"/>
    <tableColumn id="3835" xr3:uid="{7603566B-85F0-441D-BE36-7A5745033746}" name="Column3808"/>
    <tableColumn id="3836" xr3:uid="{3ACC62FF-7E3C-48A3-B570-397F037CDE85}" name="Column3809"/>
    <tableColumn id="3837" xr3:uid="{53EA9F93-AC89-4EC9-BBA0-13DCBFCAA8A4}" name="Column3810"/>
    <tableColumn id="3838" xr3:uid="{2CA674A4-0317-440C-973C-A6AFF84A332B}" name="Column3811"/>
    <tableColumn id="3839" xr3:uid="{5529801C-DA26-4B6D-861F-4E021680EC18}" name="Column3812"/>
    <tableColumn id="3840" xr3:uid="{C7ABEF3F-9237-4E2D-8213-EF0D9F100DD1}" name="Column3813"/>
    <tableColumn id="3841" xr3:uid="{063BBEBD-2A32-4BFB-921B-F15741909401}" name="Column3814"/>
    <tableColumn id="3842" xr3:uid="{70BE50F3-7F8F-4A97-BEE2-8112E2621E25}" name="Column3815"/>
    <tableColumn id="3843" xr3:uid="{202788ED-3D24-4904-8AA4-23C9C4BCD878}" name="Column3816"/>
    <tableColumn id="3844" xr3:uid="{770F3965-1F28-437E-9069-92636E26110A}" name="Column3817"/>
    <tableColumn id="3845" xr3:uid="{BA2272DA-259C-40B9-8C90-B322B93A50C6}" name="Column3818"/>
    <tableColumn id="3846" xr3:uid="{A931D14D-D057-4E1E-9AB0-E9CCC7C15ABB}" name="Column3819"/>
    <tableColumn id="3847" xr3:uid="{49B40401-DF41-4183-8B91-5919FE547481}" name="Column3820"/>
    <tableColumn id="3848" xr3:uid="{02620884-3473-4BD2-B495-BBEC1916ABE3}" name="Column3821"/>
    <tableColumn id="3849" xr3:uid="{E5548A34-DC4E-4BA5-BB50-4434755EA569}" name="Column3822"/>
    <tableColumn id="3850" xr3:uid="{3143D8AC-AF45-40DD-81BC-2A45B26BCFAA}" name="Column3823"/>
    <tableColumn id="3851" xr3:uid="{7A4EC495-C258-4B6E-9CB7-85A73D9B604D}" name="Column3824"/>
    <tableColumn id="3852" xr3:uid="{1467D59C-AB32-4938-B32B-18FF2F5A1D31}" name="Column3825"/>
    <tableColumn id="3853" xr3:uid="{E196B627-3DC4-4D59-A185-CA46139CD85D}" name="Column3826"/>
    <tableColumn id="3854" xr3:uid="{2294E6D9-5266-4A80-97F6-41E78CBC47B7}" name="Column3827"/>
    <tableColumn id="3855" xr3:uid="{1BBB171F-78BF-402F-848A-BA7004A67F67}" name="Column3828"/>
    <tableColumn id="3856" xr3:uid="{B1DEA571-9C87-4DD6-83BF-D6117EC8A813}" name="Column3829"/>
    <tableColumn id="3857" xr3:uid="{B4359800-12F8-4C86-9A13-84D1832F75C4}" name="Column3830"/>
    <tableColumn id="3858" xr3:uid="{5A8B0633-3A56-4615-8C58-31954101A869}" name="Column3831"/>
    <tableColumn id="3859" xr3:uid="{1885B61A-4246-4133-A716-DDC47C9381D9}" name="Column3832"/>
    <tableColumn id="3860" xr3:uid="{884089CD-D13D-4250-9D94-2F00D1B3C5A3}" name="Column3833"/>
    <tableColumn id="3861" xr3:uid="{3BC61B1C-3841-421E-A7A8-AE7657E9C66A}" name="Column3834"/>
    <tableColumn id="3862" xr3:uid="{1D5CF842-3317-49EB-9256-F4D33C1FFC6C}" name="Column3835"/>
    <tableColumn id="3863" xr3:uid="{E2DEDC9E-B704-4771-9E39-35530D5639A6}" name="Column3836"/>
    <tableColumn id="3864" xr3:uid="{843C2A55-32C1-4B44-8B5E-8E18C869865A}" name="Column3837"/>
    <tableColumn id="3865" xr3:uid="{9A253349-2865-40E1-A1C4-37994376538C}" name="Column3838"/>
    <tableColumn id="3866" xr3:uid="{89404D53-E281-4FF1-8CDB-FF062900C81D}" name="Column3839"/>
    <tableColumn id="3867" xr3:uid="{328AAB69-2DBD-40FF-AC9C-CEFB8100E560}" name="Column3840"/>
    <tableColumn id="3868" xr3:uid="{5877019A-2F36-43F0-9CE2-D8471EC85303}" name="Column3841"/>
    <tableColumn id="3869" xr3:uid="{4370E2BF-3E46-423F-B663-F7C8E18A5E29}" name="Column3842"/>
    <tableColumn id="3870" xr3:uid="{F997C5F2-E2E3-46AC-BE84-2664BD3738E5}" name="Column3843"/>
    <tableColumn id="3871" xr3:uid="{D3386210-F551-4EC3-9660-BD89BA800599}" name="Column3844"/>
    <tableColumn id="3872" xr3:uid="{B61B6C92-286A-4AF7-8FF0-DFF089B536BD}" name="Column3845"/>
    <tableColumn id="3873" xr3:uid="{EDC093A3-99C2-4E1E-8CB7-2C5AF830787A}" name="Column3846"/>
    <tableColumn id="3874" xr3:uid="{5672AB03-2316-4B4F-A58A-A8C33343AEEB}" name="Column3847"/>
    <tableColumn id="3875" xr3:uid="{6CE9C3C0-621D-4948-821C-C2376966284C}" name="Column3848"/>
    <tableColumn id="3876" xr3:uid="{52CCDB5A-110F-46A4-AF27-FB5A8BFC0AF7}" name="Column3849"/>
    <tableColumn id="3877" xr3:uid="{F666CAED-840F-4687-A07A-36DFC3C2B2FA}" name="Column3850"/>
    <tableColumn id="3878" xr3:uid="{31A91AFF-F3BF-4E03-98D2-3456916EF4C7}" name="Column3851"/>
    <tableColumn id="3879" xr3:uid="{C0CDC394-2EFC-4292-B21A-4C9AAFB50FF3}" name="Column3852"/>
    <tableColumn id="3880" xr3:uid="{4D3BF0FF-406E-48D7-AD9C-D7A181FA35C4}" name="Column3853"/>
    <tableColumn id="3881" xr3:uid="{AF4D45CC-FF90-4134-9843-A2F46D8F352A}" name="Column3854"/>
    <tableColumn id="3882" xr3:uid="{362C4814-02DD-4FAB-85C5-95A57AD6D6DD}" name="Column3855"/>
    <tableColumn id="3883" xr3:uid="{CCA3DBFA-44C7-4722-B39D-00FDB4278329}" name="Column3856"/>
    <tableColumn id="3884" xr3:uid="{2C9CBD06-5526-4C1D-B12F-57F763ACF016}" name="Column3857"/>
    <tableColumn id="3885" xr3:uid="{4909544D-3749-4089-964C-6DACB47CA310}" name="Column3858"/>
    <tableColumn id="3886" xr3:uid="{06F312FF-184B-400D-BCA6-2BCC8EF61174}" name="Column3859"/>
    <tableColumn id="3887" xr3:uid="{AABFAAF5-5C44-4AED-A6A6-DCFCDFBFC1A1}" name="Column3860"/>
    <tableColumn id="3888" xr3:uid="{76F3580A-7154-497B-ADEE-5866CC940932}" name="Column3861"/>
    <tableColumn id="3889" xr3:uid="{98D899B1-491E-4A69-AB44-FEFAB1369A55}" name="Column3862"/>
    <tableColumn id="3890" xr3:uid="{B6742682-0D00-4060-A088-475C96E8578D}" name="Column3863"/>
    <tableColumn id="3891" xr3:uid="{FBDCBF7D-A198-4D85-85EC-39B2F15A72AF}" name="Column3864"/>
    <tableColumn id="3892" xr3:uid="{426C2356-FBDE-4D84-A12B-765F3DD331DD}" name="Column3865"/>
    <tableColumn id="3893" xr3:uid="{075F198E-8FD6-4988-8A6D-7D6671220698}" name="Column3866"/>
    <tableColumn id="3894" xr3:uid="{418C521D-D388-480C-B699-AAE69C236853}" name="Column3867"/>
    <tableColumn id="3895" xr3:uid="{631AA629-FB36-47FD-B7FE-7F02783B677C}" name="Column3868"/>
    <tableColumn id="3896" xr3:uid="{EB9EE2DD-E618-4895-BF8E-35478A303BAF}" name="Column3869"/>
    <tableColumn id="3897" xr3:uid="{07970E76-5B3C-4EAD-AE4B-B1E482053DF6}" name="Column3870"/>
    <tableColumn id="3898" xr3:uid="{4653FD74-E09C-423C-9F36-E85A70827C39}" name="Column3871"/>
    <tableColumn id="3899" xr3:uid="{448EAFFD-A290-465D-B303-C7B9909D04B3}" name="Column3872"/>
    <tableColumn id="3900" xr3:uid="{9682018E-C4B2-4EA7-BADF-CB3ADC3E43E7}" name="Column3873"/>
    <tableColumn id="3901" xr3:uid="{7F6DED13-286A-484A-8DA6-6C110154875A}" name="Column3874"/>
    <tableColumn id="3902" xr3:uid="{48E3038E-3FB8-40A8-B15A-D5CB5F1D7FA7}" name="Column3875"/>
    <tableColumn id="3903" xr3:uid="{A41A07F1-84A4-42C8-9E50-48438A3D3CE9}" name="Column3876"/>
    <tableColumn id="3904" xr3:uid="{970EBAA5-3604-4D34-9C30-727830E49A4C}" name="Column3877"/>
    <tableColumn id="3905" xr3:uid="{64190DE4-E489-4FC4-BC67-1993CBB22BC4}" name="Column3878"/>
    <tableColumn id="3906" xr3:uid="{5483C332-5909-4219-892E-5C2E38DD19BC}" name="Column3879"/>
    <tableColumn id="3907" xr3:uid="{2251EE46-8DAE-4D15-B7D5-814DC408DCC1}" name="Column3880"/>
    <tableColumn id="3908" xr3:uid="{6B97E1DC-2048-4195-83DE-4DB3ED963852}" name="Column3881"/>
    <tableColumn id="3909" xr3:uid="{B3710C00-3C54-4AEB-A316-EBFE3FD6E955}" name="Column3882"/>
    <tableColumn id="3910" xr3:uid="{5EF20F0F-7C96-49B4-A1A6-B1C6CB6B3AE1}" name="Column3883"/>
    <tableColumn id="3911" xr3:uid="{9AF829E9-BAA1-4829-9B4A-41F9926363A6}" name="Column3884"/>
    <tableColumn id="3912" xr3:uid="{9ED551C0-4C02-4211-9CE7-9CC0EB861BA4}" name="Column3885"/>
    <tableColumn id="3913" xr3:uid="{8BFDED5C-83A0-4222-8621-3D17C9D04A97}" name="Column3886"/>
    <tableColumn id="3914" xr3:uid="{71CA31F9-1D98-4081-BB99-416D7EF59B78}" name="Column3887"/>
    <tableColumn id="3915" xr3:uid="{118AB600-1B42-4C2C-9955-3B74C2452375}" name="Column3888"/>
    <tableColumn id="3916" xr3:uid="{4040A6C0-D95D-4B93-9CED-4A001C77A421}" name="Column3889"/>
    <tableColumn id="3917" xr3:uid="{99FB0B4F-C07E-46BA-BE31-D4F40B83134E}" name="Column3890"/>
    <tableColumn id="3918" xr3:uid="{F4B999E1-FEC8-444B-9DE6-E654F297F458}" name="Column3891"/>
    <tableColumn id="3919" xr3:uid="{76A0B7C7-C9C2-405C-A7A1-D50CF4201257}" name="Column3892"/>
    <tableColumn id="3920" xr3:uid="{13EC0E8C-1B32-4C92-B2F0-F109C37BDC50}" name="Column3893"/>
    <tableColumn id="3921" xr3:uid="{D4CF8CEC-EC12-4339-8E94-C047626C97F4}" name="Column3894"/>
    <tableColumn id="3922" xr3:uid="{E3AC20C9-2E01-4DFD-AE95-7CEDA67DBC50}" name="Column3895"/>
    <tableColumn id="3923" xr3:uid="{D0A4BD6B-D3D5-47F6-9C7E-3B82FE8B9D10}" name="Column3896"/>
    <tableColumn id="3924" xr3:uid="{6ED81872-DEB9-4DED-88E2-C4984A7862F3}" name="Column3897"/>
    <tableColumn id="3925" xr3:uid="{761B12D0-2AC1-47C7-85B1-6B815116ECEC}" name="Column3898"/>
    <tableColumn id="3926" xr3:uid="{126CC936-1812-41EF-9C0C-E5C31D397E36}" name="Column3899"/>
    <tableColumn id="3927" xr3:uid="{39C33244-0CC8-4536-8A80-F00D21B4249D}" name="Column3900"/>
    <tableColumn id="3928" xr3:uid="{87CDDE6C-1884-4220-AD90-9320309F69E8}" name="Column3901"/>
    <tableColumn id="3929" xr3:uid="{72CC42AC-3E08-4B83-BDD5-0F85E2BEAFE5}" name="Column3902"/>
    <tableColumn id="3930" xr3:uid="{B601B622-2022-41F0-934C-BA056EEEAC2C}" name="Column3903"/>
    <tableColumn id="3931" xr3:uid="{0D21249B-2349-4A60-9199-985727790475}" name="Column3904"/>
    <tableColumn id="3932" xr3:uid="{4172F65B-516F-43AC-B28D-3D4D8428BD94}" name="Column3905"/>
    <tableColumn id="3933" xr3:uid="{3136D9C1-CB68-411B-9322-74C2692B2993}" name="Column3906"/>
    <tableColumn id="3934" xr3:uid="{2E964BC8-76C1-4514-873A-D1DDC31F3EBA}" name="Column3907"/>
    <tableColumn id="3935" xr3:uid="{63028373-77A7-460C-B521-066AEBD2024A}" name="Column3908"/>
    <tableColumn id="3936" xr3:uid="{930D83CA-F340-4876-9EF6-1F18F1849760}" name="Column3909"/>
    <tableColumn id="3937" xr3:uid="{4D7C143B-6047-4B33-8F0B-F60445E919BC}" name="Column3910"/>
    <tableColumn id="3938" xr3:uid="{D755C60D-E928-44ED-9223-E30C72655141}" name="Column3911"/>
    <tableColumn id="3939" xr3:uid="{66BFA54B-F7FD-4B0E-B1CA-970B29C36699}" name="Column3912"/>
    <tableColumn id="3940" xr3:uid="{E3B6301F-F40B-48D3-9D39-4D2BF5B8D9D5}" name="Column3913"/>
    <tableColumn id="3941" xr3:uid="{E53B601F-6A91-4D1B-866D-8D83BBE4C653}" name="Column3914"/>
    <tableColumn id="3942" xr3:uid="{40B73FB8-0F7B-4627-AF5D-DFD1D67256FA}" name="Column3915"/>
    <tableColumn id="3943" xr3:uid="{5BCDCC4B-E416-4D38-8A50-C947AFE9C098}" name="Column3916"/>
    <tableColumn id="3944" xr3:uid="{41574BD8-08A3-42D4-A11C-E39D044DCFDC}" name="Column3917"/>
    <tableColumn id="3945" xr3:uid="{211C0328-11E7-42CA-B71C-BA7ECC7B703E}" name="Column3918"/>
    <tableColumn id="3946" xr3:uid="{6E28F489-045C-4431-A4EC-CD83857DFD4D}" name="Column3919"/>
    <tableColumn id="3947" xr3:uid="{1C5EBEE0-DADE-4503-B48D-61BA114EBF55}" name="Column3920"/>
    <tableColumn id="3948" xr3:uid="{71FEA505-2689-44EA-B3FF-F895D20679C3}" name="Column3921"/>
    <tableColumn id="3949" xr3:uid="{20306C39-B9CF-4549-AE65-28B43D9CDB61}" name="Column3922"/>
    <tableColumn id="3950" xr3:uid="{4BF55F1D-59E8-448C-A80E-7D3D8C2518C7}" name="Column3923"/>
    <tableColumn id="3951" xr3:uid="{F79737E6-E3F7-4399-9ACF-57B0250E497B}" name="Column3924"/>
    <tableColumn id="3952" xr3:uid="{1215C384-33FF-40AE-B77A-A5E039450D89}" name="Column3925"/>
    <tableColumn id="3953" xr3:uid="{5261A2C4-4310-4F8A-8404-14BD38A640B8}" name="Column3926"/>
    <tableColumn id="3954" xr3:uid="{961A9FE5-5140-4C80-9D4D-0041410AB81F}" name="Column3927"/>
    <tableColumn id="3955" xr3:uid="{3ACAF567-517E-4542-83C7-CBB1B81BC9E7}" name="Column3928"/>
    <tableColumn id="3956" xr3:uid="{E4FCC248-D224-4F19-9FC1-92C1179A999C}" name="Column3929"/>
    <tableColumn id="3957" xr3:uid="{27C3E41D-285E-4AB3-9291-BE4FE4875545}" name="Column3930"/>
    <tableColumn id="3958" xr3:uid="{B317ED8D-F7BE-414D-9619-5297C8EF2A60}" name="Column3931"/>
    <tableColumn id="3959" xr3:uid="{F5B1F866-F164-4411-97A0-73D68125351F}" name="Column3932"/>
    <tableColumn id="3960" xr3:uid="{5D2528A2-8BD6-4387-BCF9-6E5E1FCC4D9B}" name="Column3933"/>
    <tableColumn id="3961" xr3:uid="{0C77F54B-4A7C-4703-9512-14BF353E6ABA}" name="Column3934"/>
    <tableColumn id="3962" xr3:uid="{0A705302-F298-4F35-94B3-82A2483F2F0E}" name="Column3935"/>
    <tableColumn id="3963" xr3:uid="{17635529-B25C-42C7-A946-F77BA3323D1A}" name="Column3936"/>
    <tableColumn id="3964" xr3:uid="{1C2E4271-DD1A-4406-819D-760590E8B501}" name="Column3937"/>
    <tableColumn id="3965" xr3:uid="{21D1C4CA-0DA2-47E9-B2D2-D5166A4343E7}" name="Column3938"/>
    <tableColumn id="3966" xr3:uid="{26EDE80B-9A82-4D75-AB03-C910C3C9509F}" name="Column3939"/>
    <tableColumn id="3967" xr3:uid="{B0C6951E-C2BD-43F6-B055-15FA8D0BD2F9}" name="Column3940"/>
    <tableColumn id="3968" xr3:uid="{40CB2FF8-9A0B-42E9-89C7-035040F048E7}" name="Column3941"/>
    <tableColumn id="3969" xr3:uid="{174D7CC9-1613-4D96-AC7A-EB64FEE2F4E9}" name="Column3942"/>
    <tableColumn id="3970" xr3:uid="{DF19ABA6-FC93-4573-9FD1-B2DE5471E329}" name="Column3943"/>
    <tableColumn id="3971" xr3:uid="{697DFEA9-9FCE-4EBF-BF17-9E47E213C512}" name="Column3944"/>
    <tableColumn id="3972" xr3:uid="{188BF82E-C05E-48EC-9ECC-A52EECA0263A}" name="Column3945"/>
    <tableColumn id="3973" xr3:uid="{1DE64E2C-D543-4E6A-96C7-A0055114FCB4}" name="Column3946"/>
    <tableColumn id="3974" xr3:uid="{5B8FA470-181A-40F9-95A2-CF9DEDE737E3}" name="Column3947"/>
    <tableColumn id="3975" xr3:uid="{2FBFA99A-A33F-4F44-B706-B022BC842692}" name="Column3948"/>
    <tableColumn id="3976" xr3:uid="{D65E4C3B-C2C6-43A6-8C64-544AB3A400F3}" name="Column3949"/>
    <tableColumn id="3977" xr3:uid="{E1119D27-E0AA-48A1-9CA5-F01A61648B9E}" name="Column3950"/>
    <tableColumn id="3978" xr3:uid="{361A70FB-8573-4C84-9ABF-721A68141736}" name="Column3951"/>
    <tableColumn id="3979" xr3:uid="{C718144B-6423-48D4-9749-FE59B423FC12}" name="Column3952"/>
    <tableColumn id="3980" xr3:uid="{0F5EDEE1-FA75-4942-9F6C-8CF982623382}" name="Column3953"/>
    <tableColumn id="3981" xr3:uid="{3F808200-9B06-417C-9698-1A301C00E0D7}" name="Column3954"/>
    <tableColumn id="3982" xr3:uid="{7518D5FF-4340-4BDB-8CB5-CF43BEBDC0AE}" name="Column3955"/>
    <tableColumn id="3983" xr3:uid="{33267CD2-B4A3-45D6-932B-2E2BDA4D4FDD}" name="Column3956"/>
    <tableColumn id="3984" xr3:uid="{2216292E-6F80-4D30-9899-C3A9A79C1167}" name="Column3957"/>
    <tableColumn id="3985" xr3:uid="{F06163A4-32A5-4DA5-B6CC-AE8E26607C2C}" name="Column3958"/>
    <tableColumn id="3986" xr3:uid="{DE3D232E-E62C-4845-AE95-CD85BFC36B03}" name="Column3959"/>
    <tableColumn id="3987" xr3:uid="{7FC4EE4A-F9A8-4666-A19F-E8F63F88D96B}" name="Column3960"/>
    <tableColumn id="3988" xr3:uid="{147EFCBD-3FE4-42B0-BA9E-B04791B2AF64}" name="Column3961"/>
    <tableColumn id="3989" xr3:uid="{AA1C7C90-7BC6-4A86-B083-D16470B4E998}" name="Column3962"/>
    <tableColumn id="3990" xr3:uid="{2602DDAB-A5AB-43E9-8193-7760490D6C8E}" name="Column3963"/>
    <tableColumn id="3991" xr3:uid="{18ECCE27-A3B2-48EB-A2F1-37331049B931}" name="Column3964"/>
    <tableColumn id="3992" xr3:uid="{532F9B2D-D9DB-4639-9742-850DAA1B4D43}" name="Column3965"/>
    <tableColumn id="3993" xr3:uid="{E2575B51-78F4-4584-9E78-07B5504020AC}" name="Column3966"/>
    <tableColumn id="3994" xr3:uid="{83FC52A4-E821-416C-9A57-B0F5954AA5AA}" name="Column3967"/>
    <tableColumn id="3995" xr3:uid="{42C3C899-7081-4120-B708-57E203597779}" name="Column3968"/>
    <tableColumn id="3996" xr3:uid="{52B57783-0C0E-4817-AEF8-FCAA84CAEFE4}" name="Column3969"/>
    <tableColumn id="3997" xr3:uid="{36E18093-30FE-45F1-A7AD-C735B7B39500}" name="Column3970"/>
    <tableColumn id="3998" xr3:uid="{D312132B-2A72-4C76-90D2-83491AA21062}" name="Column3971"/>
    <tableColumn id="3999" xr3:uid="{518E18F7-D5F5-4CC5-95DE-E91E281D16C9}" name="Column3972"/>
    <tableColumn id="4000" xr3:uid="{26A1D611-6D85-45AD-83AB-ED5BE01D4A68}" name="Column3973"/>
    <tableColumn id="4001" xr3:uid="{D39515AF-9756-4F5B-B3B2-73E447A6BD9D}" name="Column3974"/>
    <tableColumn id="4002" xr3:uid="{52508031-78C8-4C9A-A2C6-7A6610E01945}" name="Column3975"/>
    <tableColumn id="4003" xr3:uid="{ECD074DD-44CB-41D3-AEF8-4441E3AFFEF4}" name="Column3976"/>
    <tableColumn id="4004" xr3:uid="{46E717E3-4B47-4D11-B2A7-B572F95C0EA6}" name="Column3977"/>
    <tableColumn id="4005" xr3:uid="{58A5D6D9-4912-4802-8A51-F5B289AAD2BF}" name="Column3978"/>
    <tableColumn id="4006" xr3:uid="{D4C83C2D-8462-416F-8A47-8FCD2A4FCD60}" name="Column3979"/>
    <tableColumn id="4007" xr3:uid="{F72CEF29-801D-43E5-8ABE-5CD9341AB549}" name="Column3980"/>
    <tableColumn id="4008" xr3:uid="{7130F4C4-055A-4CCF-B092-9F1E8BB21525}" name="Column3981"/>
    <tableColumn id="4009" xr3:uid="{DE8100FB-754B-4411-8768-FF0D8C9941B4}" name="Column3982"/>
    <tableColumn id="4010" xr3:uid="{B7CCC585-27BE-44D5-A6D0-5D8F15A6090C}" name="Column3983"/>
    <tableColumn id="4011" xr3:uid="{4B8055F3-8749-4F0E-889A-A358E4B95B9F}" name="Column3984"/>
    <tableColumn id="4012" xr3:uid="{A31DD446-29F2-4D69-89CB-98EDC75A3004}" name="Column3985"/>
    <tableColumn id="4013" xr3:uid="{B6312597-4FDD-4E1D-9D64-3D0CDFCAA4AD}" name="Column3986"/>
    <tableColumn id="4014" xr3:uid="{96E3866D-F0D0-47F3-825B-4E666998744C}" name="Column3987"/>
    <tableColumn id="4015" xr3:uid="{58FB1639-B016-4C80-924B-D4E3B26608FF}" name="Column3988"/>
    <tableColumn id="4016" xr3:uid="{04195E6A-5B62-4DC3-9C53-FC4D45FBBBED}" name="Column3989"/>
    <tableColumn id="4017" xr3:uid="{4E42DA91-3242-4C56-B9F3-328B58D65C15}" name="Column3990"/>
    <tableColumn id="4018" xr3:uid="{0029C1B5-F450-4AD1-B94E-92F188B95746}" name="Column3991"/>
    <tableColumn id="4019" xr3:uid="{92E8B4BC-C809-4276-A7D8-AC8921D493E9}" name="Column3992"/>
    <tableColumn id="4020" xr3:uid="{5ED0D2A5-3E25-425C-8B4A-AA12FA00959C}" name="Column3993"/>
    <tableColumn id="4021" xr3:uid="{2E307053-03BE-4670-9B99-2F4A8AF25443}" name="Column3994"/>
    <tableColumn id="4022" xr3:uid="{5677E7F1-4BA2-48B6-B035-08D27509E052}" name="Column3995"/>
    <tableColumn id="4023" xr3:uid="{5ECC93CC-D57A-4CB2-9143-FD1A3BA0386C}" name="Column3996"/>
    <tableColumn id="4024" xr3:uid="{5DC62E08-190F-4CF6-A337-E83C13220F33}" name="Column3997"/>
    <tableColumn id="4025" xr3:uid="{8BEA6D9B-565D-4C6F-81F4-044614DFEAB7}" name="Column3998"/>
    <tableColumn id="4026" xr3:uid="{670DD624-5EC3-461B-B11B-1E3962F9F70F}" name="Column3999"/>
    <tableColumn id="4027" xr3:uid="{64F2E245-0F28-4C96-8BEA-5716BCC188A5}" name="Column4000"/>
    <tableColumn id="4028" xr3:uid="{6420C7EB-5541-4481-BDE0-B115B0596B75}" name="Column4001"/>
    <tableColumn id="4029" xr3:uid="{EC5515C2-B613-4009-9825-AB4664B8EEA3}" name="Column4002"/>
    <tableColumn id="4030" xr3:uid="{257FAC21-0147-42D0-B627-908083A9E8CE}" name="Column4003"/>
    <tableColumn id="4031" xr3:uid="{1DDC5078-3CE5-4359-A532-EABF569D76AA}" name="Column4004"/>
    <tableColumn id="4032" xr3:uid="{4ECF7C5E-38B6-46F1-BEE1-5210E27E5010}" name="Column4005"/>
    <tableColumn id="4033" xr3:uid="{491C247F-4268-4433-9326-893E7DA4014C}" name="Column4006"/>
    <tableColumn id="4034" xr3:uid="{CA5FCF65-9CC4-45CD-B41B-D0BA1960A559}" name="Column4007"/>
    <tableColumn id="4035" xr3:uid="{4F445AD7-A721-4CC4-98BB-22E83883C7C0}" name="Column4008"/>
    <tableColumn id="4036" xr3:uid="{DB62F800-2118-45BD-BA60-FA99C786BBA8}" name="Column4009"/>
    <tableColumn id="4037" xr3:uid="{9D3FB2EB-79BC-4AF9-9F8E-4D4292F9E990}" name="Column4010"/>
    <tableColumn id="4038" xr3:uid="{0A0A65B8-C101-45DC-9023-ACE98BF79DD9}" name="Column4011"/>
    <tableColumn id="4039" xr3:uid="{A4C6037C-6CEF-4BD8-99AF-8EEA12168F24}" name="Column4012"/>
    <tableColumn id="4040" xr3:uid="{DA56599F-23BA-4576-A9AB-E53758C543EF}" name="Column4013"/>
    <tableColumn id="4041" xr3:uid="{743B7F98-C608-401F-9C73-C12A1C3017F0}" name="Column4014"/>
    <tableColumn id="4042" xr3:uid="{6022A47E-5864-4AC8-A028-55695362A8FC}" name="Column4015"/>
    <tableColumn id="4043" xr3:uid="{EEBCFDAE-FF36-4843-9DE1-903DE71D2B19}" name="Column4016"/>
    <tableColumn id="4044" xr3:uid="{5F416D7C-3102-4B72-B67D-6FD2853B8DAF}" name="Column4017"/>
    <tableColumn id="4045" xr3:uid="{D1F9DEBD-9660-422D-8035-846DDB75E20B}" name="Column4018"/>
    <tableColumn id="4046" xr3:uid="{13A11322-0572-4A5A-8131-9F49A5FE74C5}" name="Column4019"/>
    <tableColumn id="4047" xr3:uid="{5605F2BC-F303-4A78-A766-1DC14136FF7D}" name="Column4020"/>
    <tableColumn id="4048" xr3:uid="{D7FC71FD-D89D-45F8-81FA-FCA371384852}" name="Column4021"/>
    <tableColumn id="4049" xr3:uid="{676C2EF6-E973-454F-B7EC-475AF46AC689}" name="Column4022"/>
    <tableColumn id="4050" xr3:uid="{B4A74F64-2EAD-469D-AF1D-06051E2D914E}" name="Column4023"/>
    <tableColumn id="4051" xr3:uid="{15EDD300-3906-4BBB-B254-06D681E949F2}" name="Column4024"/>
    <tableColumn id="4052" xr3:uid="{8D7C3792-81E7-4CFB-A0AB-ED1871E76792}" name="Column4025"/>
    <tableColumn id="4053" xr3:uid="{5A449674-2D50-468A-A7FA-94093FB2B3B3}" name="Column4026"/>
    <tableColumn id="4054" xr3:uid="{1E79173E-BF17-403D-9AEC-6439B3D18A68}" name="Column4027"/>
    <tableColumn id="4055" xr3:uid="{D07E35A4-D7C5-4424-B4BA-DF75997A327F}" name="Column4028"/>
    <tableColumn id="4056" xr3:uid="{5FB1665F-1108-4B00-8833-E5D57E4B4E2B}" name="Column4029"/>
    <tableColumn id="4057" xr3:uid="{6370E880-2F41-4E43-A7AA-46614DF62979}" name="Column4030"/>
    <tableColumn id="4058" xr3:uid="{EC0956D2-81E6-47E5-95C5-C10C678AA8E4}" name="Column4031"/>
    <tableColumn id="4059" xr3:uid="{673180FD-47AC-422F-8025-C600376168E9}" name="Column4032"/>
    <tableColumn id="4060" xr3:uid="{E7998629-7A57-4265-99DD-D77316724455}" name="Column4033"/>
    <tableColumn id="4061" xr3:uid="{BF49A680-E3E1-4137-AE43-53B4E74460DF}" name="Column4034"/>
    <tableColumn id="4062" xr3:uid="{13C54BA0-836B-4837-BCCB-71EBA2EFE1D1}" name="Column4035"/>
    <tableColumn id="4063" xr3:uid="{2654FB04-1BC6-4831-9C0E-6CB5B1A5A972}" name="Column4036"/>
    <tableColumn id="4064" xr3:uid="{9CC42008-19F9-45FC-BEDE-1ABA097B084D}" name="Column4037"/>
    <tableColumn id="4065" xr3:uid="{D1746E0A-02C6-4279-B225-067E74646312}" name="Column4038"/>
    <tableColumn id="4066" xr3:uid="{2E65F8EE-E999-4D22-8C6B-23C7228D0AD6}" name="Column4039"/>
    <tableColumn id="4067" xr3:uid="{D81D83CD-A551-4830-A617-33812FB494BE}" name="Column4040"/>
    <tableColumn id="4068" xr3:uid="{726FF06C-901E-4346-8F40-A3486C29DE68}" name="Column4041"/>
    <tableColumn id="4069" xr3:uid="{F8F5EEA0-E04E-445C-B8FF-8C1FEAF91010}" name="Column4042"/>
    <tableColumn id="4070" xr3:uid="{3010ACB2-958C-41B2-A4AA-043203B65F57}" name="Column4043"/>
    <tableColumn id="4071" xr3:uid="{986CA0C1-92EC-4939-BF45-3FEC97A699ED}" name="Column4044"/>
    <tableColumn id="4072" xr3:uid="{7A845845-D539-4E36-8513-81A2E7746AB3}" name="Column4045"/>
    <tableColumn id="4073" xr3:uid="{6A27D848-AEF7-4A22-9D98-DD8C3FF5D9F8}" name="Column4046"/>
    <tableColumn id="4074" xr3:uid="{A117C334-AF89-4091-BE10-55AA6D94F2BD}" name="Column4047"/>
    <tableColumn id="4075" xr3:uid="{0F8FDC1C-2E20-4C0D-BDC1-6A476D2EA0F6}" name="Column4048"/>
    <tableColumn id="4076" xr3:uid="{E1C86666-B495-4570-84C6-D525353B2265}" name="Column4049"/>
    <tableColumn id="4077" xr3:uid="{4274DDA4-3B4F-40F2-B31B-3AB585B7339C}" name="Column4050"/>
    <tableColumn id="4078" xr3:uid="{BF958616-0330-476B-8388-307EB144EF71}" name="Column4051"/>
    <tableColumn id="4079" xr3:uid="{A5218669-488D-4D8D-8505-8EA9158FE8CB}" name="Column4052"/>
    <tableColumn id="4080" xr3:uid="{5F0232EA-B975-4F49-AC29-F639860E5E18}" name="Column4053"/>
    <tableColumn id="4081" xr3:uid="{20FD1B79-FE75-4C64-AC55-FB3C62EDD80D}" name="Column4054"/>
    <tableColumn id="4082" xr3:uid="{4708A6C6-2DC8-4A07-AB0C-02BED094BFD8}" name="Column4055"/>
    <tableColumn id="4083" xr3:uid="{DFC374C1-DD3F-4005-BA0D-2272C0401DBC}" name="Column4056"/>
    <tableColumn id="4084" xr3:uid="{67974CCC-3669-4287-A687-AC1B063840EC}" name="Column4057"/>
    <tableColumn id="4085" xr3:uid="{19197FFD-1CB6-428C-BF83-37779C711A48}" name="Column4058"/>
    <tableColumn id="4086" xr3:uid="{96E82622-D70A-4AC4-9AF5-3CFCE8E457DF}" name="Column4059"/>
    <tableColumn id="4087" xr3:uid="{AAF7CAFF-AA27-4EAB-ADE9-4E67629BB12F}" name="Column4060"/>
    <tableColumn id="4088" xr3:uid="{EF56D3C4-CCEB-4D3C-99B3-0BA6B4D12548}" name="Column4061"/>
    <tableColumn id="4089" xr3:uid="{B3E7DC19-F63E-4F64-966E-32F01564EBE0}" name="Column4062"/>
    <tableColumn id="4090" xr3:uid="{C098A239-DD62-4439-A09A-B3229B30380B}" name="Column4063"/>
    <tableColumn id="4091" xr3:uid="{3407C44A-E2CF-47FC-8CB8-E844AF24A03F}" name="Column4064"/>
    <tableColumn id="4092" xr3:uid="{4C9B184C-33A2-4E9D-8106-82737AA4834E}" name="Column4065"/>
    <tableColumn id="4093" xr3:uid="{E81FC4A9-1182-48D0-AE62-C302698F8C6E}" name="Column4066"/>
    <tableColumn id="4094" xr3:uid="{8400ABD4-CA1E-49E6-895B-7C43113DA254}" name="Column4067"/>
    <tableColumn id="4095" xr3:uid="{99ABB32E-01E0-42C5-9CEA-AE655080CE95}" name="Column4068"/>
    <tableColumn id="4096" xr3:uid="{921C1596-3C69-4CE6-AE35-B9EAECCDD012}" name="Column4069"/>
    <tableColumn id="4097" xr3:uid="{EF73DD5A-8D5E-40EE-BE71-252369655010}" name="Column4070"/>
    <tableColumn id="4098" xr3:uid="{FC733258-B73D-4110-9A5F-98E7A575D356}" name="Column4071"/>
    <tableColumn id="4099" xr3:uid="{0C792358-7A36-4E24-851B-B34AC1369B00}" name="Column4072"/>
    <tableColumn id="4100" xr3:uid="{5ACB2247-AE62-4855-9925-0169304FB7FF}" name="Column4073"/>
    <tableColumn id="4101" xr3:uid="{7CA8FE64-3BC0-4030-841A-F9804241C014}" name="Column4074"/>
    <tableColumn id="4102" xr3:uid="{44817D48-16BE-480A-AAD7-891AF2CA148B}" name="Column4075"/>
    <tableColumn id="4103" xr3:uid="{9110AC42-7AE3-4B68-A49B-E71D10157B5F}" name="Column4076"/>
    <tableColumn id="4104" xr3:uid="{ECFCB8AE-1055-406D-9B1A-36EF9B527FF2}" name="Column4077"/>
    <tableColumn id="4105" xr3:uid="{A1C4BAE8-8CCD-48B9-9C77-6E587921AFAE}" name="Column4078"/>
    <tableColumn id="4106" xr3:uid="{CBF63FA0-1296-47C0-B82B-E6D621A9E197}" name="Column4079"/>
    <tableColumn id="4107" xr3:uid="{48A1FCB5-D681-4AF0-9FF7-D1E0B0B6E5CD}" name="Column4080"/>
    <tableColumn id="4108" xr3:uid="{A27949F2-DCA1-4A1C-A606-7CB5F55999A0}" name="Column4081"/>
    <tableColumn id="4109" xr3:uid="{C38498F7-9BD3-4B9E-87A9-168878D39176}" name="Column4082"/>
    <tableColumn id="4110" xr3:uid="{539C77FD-021D-4E38-9177-019F8D01BA01}" name="Column4083"/>
    <tableColumn id="4111" xr3:uid="{0758D51B-32EC-4E41-BF61-3D6F1B8BA1C2}" name="Column4084"/>
    <tableColumn id="4112" xr3:uid="{A9E03FD7-82F6-484F-AAEF-2131BCCFD5B1}" name="Column4085"/>
    <tableColumn id="4113" xr3:uid="{0E59E48F-C5E3-4078-AD79-76ECB927B77F}" name="Column4086"/>
    <tableColumn id="4114" xr3:uid="{5C9104BD-516C-460B-8E51-670428CBB54B}" name="Column4087"/>
    <tableColumn id="4115" xr3:uid="{D68425FC-D889-4C51-A50E-F6D01B836FCD}" name="Column4088"/>
    <tableColumn id="4116" xr3:uid="{7123E9DC-DD50-478A-86FA-51E8B81F5077}" name="Column4089"/>
    <tableColumn id="4117" xr3:uid="{6A4924B7-52BF-416F-B95C-DB31D4DB17FD}" name="Column4090"/>
    <tableColumn id="4118" xr3:uid="{5DB132AB-C219-489D-A07D-27C39064CE54}" name="Column4091"/>
    <tableColumn id="4119" xr3:uid="{922C3EDA-BE07-4DA9-9CE7-397FECF130D9}" name="Column4092"/>
    <tableColumn id="4120" xr3:uid="{280E3AEA-845E-4536-9DC2-E6FCCA2CA88E}" name="Column4093"/>
    <tableColumn id="4121" xr3:uid="{A3590DEA-E2A7-41FA-990B-C3B0BDD8D7F5}" name="Column4094"/>
    <tableColumn id="4122" xr3:uid="{E7C2E3EC-717C-4319-82BC-70160DF13E56}" name="Column4095"/>
    <tableColumn id="4123" xr3:uid="{2775E6B0-D456-46D1-BA4D-44D5FB0C576D}" name="Column4096"/>
    <tableColumn id="4124" xr3:uid="{B98178CB-7D99-488A-8371-C4E789BDFDC8}" name="Column4097"/>
    <tableColumn id="4125" xr3:uid="{B8CAF65C-CB76-418C-A386-DB0A221CD037}" name="Column4098"/>
    <tableColumn id="4126" xr3:uid="{A855322F-133A-486F-B706-90D48041A780}" name="Column4099"/>
    <tableColumn id="4127" xr3:uid="{89FA1E68-B495-46FE-A164-E7241391891F}" name="Column4100"/>
    <tableColumn id="4128" xr3:uid="{63708441-C6EA-40A5-BC01-14C1B2A35A65}" name="Column4101"/>
    <tableColumn id="4129" xr3:uid="{3409ACF1-AF2E-4F00-BF2A-1F8BA41AF705}" name="Column4102"/>
    <tableColumn id="4130" xr3:uid="{91CCC5A2-A3B7-49FB-8B19-547AF3C094F8}" name="Column4103"/>
    <tableColumn id="4131" xr3:uid="{452AC275-2B0F-4D4C-BB2A-872BFC0FB445}" name="Column4104"/>
    <tableColumn id="4132" xr3:uid="{B82261B7-6C33-44D6-8BAF-29DDCC9829DA}" name="Column4105"/>
    <tableColumn id="4133" xr3:uid="{708A0499-8868-44B6-A9F3-8F50FC126F44}" name="Column4106"/>
    <tableColumn id="4134" xr3:uid="{5E33708D-CC39-4A8D-8DB2-6BFC2761AF36}" name="Column4107"/>
    <tableColumn id="4135" xr3:uid="{C8A0E377-26BA-447C-AC4E-B897C2D86303}" name="Column4108"/>
    <tableColumn id="4136" xr3:uid="{B72B9CAE-ACF7-4CF8-81A2-2C483C2F86BC}" name="Column4109"/>
    <tableColumn id="4137" xr3:uid="{8C809C9A-FDB8-4087-AF41-4770E146B5AD}" name="Column4110"/>
    <tableColumn id="4138" xr3:uid="{DB6922F8-8031-40BE-9BDC-666885BF5F60}" name="Column4111"/>
    <tableColumn id="4139" xr3:uid="{718CDE6D-3465-4D5E-B0E2-C66DC47D6AB3}" name="Column4112"/>
    <tableColumn id="4140" xr3:uid="{63F05240-E2B8-43AB-91B8-8117C95C49F8}" name="Column4113"/>
    <tableColumn id="4141" xr3:uid="{33A79AF9-41E2-4709-8C16-E42D0C499D74}" name="Column4114"/>
    <tableColumn id="4142" xr3:uid="{AC4EAA1A-E036-4EFF-8DD5-3C0AB5CC6671}" name="Column4115"/>
    <tableColumn id="4143" xr3:uid="{390DE66F-A483-4DF6-AC60-1266B3CC34B6}" name="Column4116"/>
    <tableColumn id="4144" xr3:uid="{E0D5DA5C-F6F5-4E02-98A6-55FCA4DC89AC}" name="Column4117"/>
    <tableColumn id="4145" xr3:uid="{192FEFD7-1AC0-4D4E-84E9-25271357BFCF}" name="Column4118"/>
    <tableColumn id="4146" xr3:uid="{D3C31A23-046D-415F-A267-B359C451A09B}" name="Column4119"/>
    <tableColumn id="4147" xr3:uid="{1A475C6D-8F93-4FA7-91F0-F13A263F1682}" name="Column4120"/>
    <tableColumn id="4148" xr3:uid="{605D27FD-023F-4B69-847E-90DE8595D40E}" name="Column4121"/>
    <tableColumn id="4149" xr3:uid="{46DB9C9F-992F-4587-96BF-0E6511939B66}" name="Column4122"/>
    <tableColumn id="4150" xr3:uid="{A19526BF-7837-421A-8073-6EF8EFD4D6E1}" name="Column4123"/>
    <tableColumn id="4151" xr3:uid="{C818087F-3100-4DA2-9CE8-EC39FF21AC59}" name="Column4124"/>
    <tableColumn id="4152" xr3:uid="{E5343869-21D4-4D0C-AD26-F4D130108BEE}" name="Column4125"/>
    <tableColumn id="4153" xr3:uid="{ECACAFD1-38E2-4C59-9BF3-53C052BB9E41}" name="Column4126"/>
    <tableColumn id="4154" xr3:uid="{89B76278-899B-40B5-BA92-4D043607B16C}" name="Column4127"/>
    <tableColumn id="4155" xr3:uid="{2DC67792-0283-4ACC-94B0-E23E8BF5D022}" name="Column4128"/>
    <tableColumn id="4156" xr3:uid="{5922C4D3-E0BE-4C67-8082-6D272F7C1F7A}" name="Column4129"/>
    <tableColumn id="4157" xr3:uid="{140523A6-B9D4-4156-819B-2BFEFB54F268}" name="Column4130"/>
    <tableColumn id="4158" xr3:uid="{1D50FAE5-6780-4BFF-B38E-496C9285E478}" name="Column4131"/>
    <tableColumn id="4159" xr3:uid="{CEF720EB-F25C-43A7-8233-9F57489FCC6B}" name="Column4132"/>
    <tableColumn id="4160" xr3:uid="{5CDAFE5B-CE37-42D8-A8CE-4E3A37B0382C}" name="Column4133"/>
    <tableColumn id="4161" xr3:uid="{76ABE967-E762-4FCB-9DC5-8BD5AB4C0498}" name="Column4134"/>
    <tableColumn id="4162" xr3:uid="{D7F45383-FAEA-423B-9541-6EDC0CFABD96}" name="Column4135"/>
    <tableColumn id="4163" xr3:uid="{C302A3F6-4CC5-42FE-9AD9-6DAA8DC660BD}" name="Column4136"/>
    <tableColumn id="4164" xr3:uid="{5771B4E9-ABE0-4253-856C-3A611C870691}" name="Column4137"/>
    <tableColumn id="4165" xr3:uid="{02A73493-E88E-4369-937A-E2333391D5FB}" name="Column4138"/>
    <tableColumn id="4166" xr3:uid="{D5A16887-E95C-4D25-B9A9-C3ACFB809F52}" name="Column4139"/>
    <tableColumn id="4167" xr3:uid="{196D604D-6805-4238-9BE9-3DA00CFC4589}" name="Column4140"/>
    <tableColumn id="4168" xr3:uid="{744C2B3D-CAD5-47F1-B9A5-A214961BB1F6}" name="Column4141"/>
    <tableColumn id="4169" xr3:uid="{897B7906-C0DD-4E8C-B697-EBB867582F1F}" name="Column4142"/>
    <tableColumn id="4170" xr3:uid="{702C40E1-C40C-4D6A-B246-42120E56E604}" name="Column4143"/>
    <tableColumn id="4171" xr3:uid="{EED94C4E-2002-45B5-975A-262771105FA9}" name="Column4144"/>
    <tableColumn id="4172" xr3:uid="{8FB344CD-A8DD-4BD6-9DD1-B3386753408B}" name="Column4145"/>
    <tableColumn id="4173" xr3:uid="{971CE98E-59F9-4B58-A0E1-3BB347DAAFD2}" name="Column4146"/>
    <tableColumn id="4174" xr3:uid="{10182C8F-3D0D-4161-985B-12469E2C9013}" name="Column4147"/>
    <tableColumn id="4175" xr3:uid="{0D7A487C-A549-4544-8DDF-96389B654E97}" name="Column4148"/>
    <tableColumn id="4176" xr3:uid="{0F56374A-47DA-45EB-9150-D1A3C85AE5A9}" name="Column4149"/>
    <tableColumn id="4177" xr3:uid="{12ABAC7D-7909-4532-B85A-10F5EE0490D4}" name="Column4150"/>
    <tableColumn id="4178" xr3:uid="{EEACF562-6528-4A32-B0D1-441E26A23150}" name="Column4151"/>
    <tableColumn id="4179" xr3:uid="{4AE34A4C-5645-4A15-8CDC-A4A798E52421}" name="Column4152"/>
    <tableColumn id="4180" xr3:uid="{DFACE1C8-30A0-441E-87C8-BC7290F7C94E}" name="Column4153"/>
    <tableColumn id="4181" xr3:uid="{9B49625C-7EBF-4F51-8F05-DA13E4E13878}" name="Column4154"/>
    <tableColumn id="4182" xr3:uid="{3374F50D-1852-4810-9440-F8E0D4A9C487}" name="Column4155"/>
    <tableColumn id="4183" xr3:uid="{537B380E-6D0C-4617-AFAF-CEDF28F8D300}" name="Column4156"/>
    <tableColumn id="4184" xr3:uid="{D401886B-949E-47C2-80F9-06C2ACF6FD57}" name="Column4157"/>
    <tableColumn id="4185" xr3:uid="{18346409-2819-4B8A-B9A2-7FA7E5D16C84}" name="Column4158"/>
    <tableColumn id="4186" xr3:uid="{0DFCCE90-5F88-4954-914A-1D32C2B8A30B}" name="Column4159"/>
    <tableColumn id="4187" xr3:uid="{AEF46731-2CEB-4121-A983-F0C99BC3B62C}" name="Column4160"/>
    <tableColumn id="4188" xr3:uid="{93E3A4C5-E75F-4E32-AD17-BDEDA263B950}" name="Column4161"/>
    <tableColumn id="4189" xr3:uid="{BE740F92-C739-4410-9253-15912535A775}" name="Column4162"/>
    <tableColumn id="4190" xr3:uid="{5DC04FC6-FA01-474A-9DF6-A0A52122B122}" name="Column4163"/>
    <tableColumn id="4191" xr3:uid="{B205DF00-919E-4273-847E-33F401F1A236}" name="Column4164"/>
    <tableColumn id="4192" xr3:uid="{02EDF78C-4EF3-4982-ABBD-AA4F0DC427A6}" name="Column4165"/>
    <tableColumn id="4193" xr3:uid="{8E73D90A-D46A-427F-8C87-822F513B99A6}" name="Column4166"/>
    <tableColumn id="4194" xr3:uid="{62E7E420-793A-404F-B897-22A1F7530D9E}" name="Column4167"/>
    <tableColumn id="4195" xr3:uid="{4DDCBDAD-6ADC-4EEB-BA83-81EF8D608198}" name="Column4168"/>
    <tableColumn id="4196" xr3:uid="{6DFB03D1-7700-44FF-B512-BE625A1CDE1D}" name="Column4169"/>
    <tableColumn id="4197" xr3:uid="{CC4FD4D5-812F-4C82-B224-8C2E76D19EEC}" name="Column4170"/>
    <tableColumn id="4198" xr3:uid="{D8CE37FC-ADC1-475A-A589-A5E6A64DC3DE}" name="Column4171"/>
    <tableColumn id="4199" xr3:uid="{AA5C15AC-93DA-4236-AE1C-301F26CABA73}" name="Column4172"/>
    <tableColumn id="4200" xr3:uid="{BFD39502-F66E-4BA9-A24D-B2AABFBAFE4E}" name="Column4173"/>
    <tableColumn id="4201" xr3:uid="{FCEB1315-D1E7-4109-8569-3A5DB7DF2957}" name="Column4174"/>
    <tableColumn id="4202" xr3:uid="{11485EAE-0874-40C8-9AD5-9B78D7DAB454}" name="Column4175"/>
    <tableColumn id="4203" xr3:uid="{003A5BA7-6DD0-46BA-AE26-35A11D3F2DFE}" name="Column4176"/>
    <tableColumn id="4204" xr3:uid="{37B33D0B-2ACC-4DD4-8291-D83BB3EAB0A2}" name="Column4177"/>
    <tableColumn id="4205" xr3:uid="{4E7FCD1E-540B-412D-A3C7-0AC2187E8305}" name="Column4178"/>
    <tableColumn id="4206" xr3:uid="{06FFCD84-EE46-4ED9-93ED-BECFC9FF9DF0}" name="Column4179"/>
    <tableColumn id="4207" xr3:uid="{C96CB53C-8452-4805-B8D3-943422826789}" name="Column4180"/>
    <tableColumn id="4208" xr3:uid="{A21F3BDD-646C-4C29-A8D3-29CC4C4DD3E2}" name="Column4181"/>
    <tableColumn id="4209" xr3:uid="{D3259CBC-1D7C-48E6-A2AC-49896572D4B9}" name="Column4182"/>
    <tableColumn id="4210" xr3:uid="{7DFECF46-91D1-4F19-B361-542D7D3236A8}" name="Column4183"/>
    <tableColumn id="4211" xr3:uid="{3F50C9CA-5F69-4EE1-80B0-B67F8BF28D87}" name="Column4184"/>
    <tableColumn id="4212" xr3:uid="{6B88191E-1319-48D5-8DBA-23357B143FB2}" name="Column4185"/>
    <tableColumn id="4213" xr3:uid="{E64C9F09-FCFE-4197-90B2-626175746FED}" name="Column4186"/>
    <tableColumn id="4214" xr3:uid="{63150064-D073-49B3-86A9-03E80193A3EA}" name="Column4187"/>
    <tableColumn id="4215" xr3:uid="{7AF358FF-ECFD-4820-9A20-CAC47DA97D2D}" name="Column4188"/>
    <tableColumn id="4216" xr3:uid="{BEF238F5-34D1-4381-88D6-A1A0775B5357}" name="Column4189"/>
    <tableColumn id="4217" xr3:uid="{2866D597-C1A8-4F07-B07D-F3906A996356}" name="Column4190"/>
    <tableColumn id="4218" xr3:uid="{A2BE2B1C-FD79-4454-9AF5-A8A63EED1E65}" name="Column4191"/>
    <tableColumn id="4219" xr3:uid="{0CE273B2-6EBC-4377-A0DF-C741B96C6E96}" name="Column4192"/>
    <tableColumn id="4220" xr3:uid="{83CB46F6-1DE9-4BC2-A5FE-97F31218DB1B}" name="Column4193"/>
    <tableColumn id="4221" xr3:uid="{9B262278-BDCC-481B-8D12-DA1EC4F344A1}" name="Column4194"/>
    <tableColumn id="4222" xr3:uid="{D5E1B756-EC4D-4E22-8A1E-9ED6A0C46AA7}" name="Column4195"/>
    <tableColumn id="4223" xr3:uid="{E657AB03-2E45-4E2D-B8C5-F265D023A1AB}" name="Column4196"/>
    <tableColumn id="4224" xr3:uid="{225BC2C7-BAD6-45F8-83EF-F4302A9CC671}" name="Column4197"/>
    <tableColumn id="4225" xr3:uid="{8120CF8A-C921-4453-82AA-33F3E613D2A3}" name="Column4198"/>
    <tableColumn id="4226" xr3:uid="{B47EAED9-7BB9-43D7-BA71-254F221BB8F9}" name="Column4199"/>
    <tableColumn id="4227" xr3:uid="{1D67FECB-E0F4-492D-8C4D-480E0D81E547}" name="Column4200"/>
    <tableColumn id="4228" xr3:uid="{CAF6CC6A-10B4-415D-9E2A-42667E7D4D24}" name="Column4201"/>
    <tableColumn id="4229" xr3:uid="{56582458-4795-44B5-9741-4B70CDBD0FAD}" name="Column4202"/>
    <tableColumn id="4230" xr3:uid="{DDC94DA2-265C-4BF6-A3A3-AD25C4043044}" name="Column4203"/>
    <tableColumn id="4231" xr3:uid="{F87817F5-CE64-4538-8487-1925742F1F9B}" name="Column4204"/>
    <tableColumn id="4232" xr3:uid="{ABC1A576-EC65-4C13-BFE0-EF1B3575FBD7}" name="Column4205"/>
    <tableColumn id="4233" xr3:uid="{D54A14AF-8012-4E3A-977C-B4D1A53E91D3}" name="Column4206"/>
    <tableColumn id="4234" xr3:uid="{102FF908-7C57-4B31-A139-978789C6BAB7}" name="Column4207"/>
    <tableColumn id="4235" xr3:uid="{F3A91A0B-671B-43BA-ACB6-504075D10C06}" name="Column4208"/>
    <tableColumn id="4236" xr3:uid="{8E1ACE8D-0380-490E-8113-7E3B00BEDF33}" name="Column4209"/>
    <tableColumn id="4237" xr3:uid="{5A396241-ADAD-4381-AE47-1794FDD9451A}" name="Column4210"/>
    <tableColumn id="4238" xr3:uid="{324E5041-E491-4597-B7C9-BC6536AFF8C1}" name="Column4211"/>
    <tableColumn id="4239" xr3:uid="{F9ECE889-8718-4397-BFA7-223342343097}" name="Column4212"/>
    <tableColumn id="4240" xr3:uid="{1F6D83EF-5AFE-451F-B711-1EA7820201BB}" name="Column4213"/>
    <tableColumn id="4241" xr3:uid="{BF971065-FE7B-4C2E-A051-F46464446E53}" name="Column4214"/>
    <tableColumn id="4242" xr3:uid="{09DBB61B-D56D-4B8C-AADB-E2BF4DA68517}" name="Column4215"/>
    <tableColumn id="4243" xr3:uid="{330D25AA-75A7-40EF-A9E0-EB1DA75B980A}" name="Column4216"/>
    <tableColumn id="4244" xr3:uid="{3D9FFEBA-EC87-4F61-8EBA-9BC58CD0ABEB}" name="Column4217"/>
    <tableColumn id="4245" xr3:uid="{8EC48F92-8734-467D-9422-DDEB1C423DEC}" name="Column4218"/>
    <tableColumn id="4246" xr3:uid="{3CC5946C-C1EE-495E-A356-5408F920B2F9}" name="Column4219"/>
    <tableColumn id="4247" xr3:uid="{F8002B58-7CF4-4966-8330-F98306BDA15D}" name="Column4220"/>
    <tableColumn id="4248" xr3:uid="{4EDAE312-A352-458F-9295-C09A9FF2E7BD}" name="Column4221"/>
    <tableColumn id="4249" xr3:uid="{8B05126D-F2B2-497C-B79A-DC42131816D7}" name="Column4222"/>
    <tableColumn id="4250" xr3:uid="{97736A3B-10DA-45D2-B765-24FB8D2F1F58}" name="Column4223"/>
    <tableColumn id="4251" xr3:uid="{55958179-E8BA-4658-A124-121168C038B4}" name="Column4224"/>
    <tableColumn id="4252" xr3:uid="{3051E65F-A37A-4B4E-91D3-1C8A0F795467}" name="Column4225"/>
    <tableColumn id="4253" xr3:uid="{F9B789C5-82AE-4221-9E8E-28A7C7D8231F}" name="Column4226"/>
    <tableColumn id="4254" xr3:uid="{35238234-91FF-4E1D-A197-0F03C19E3361}" name="Column4227"/>
    <tableColumn id="4255" xr3:uid="{0117FDF2-363F-40D2-AF6D-860F7C039764}" name="Column4228"/>
    <tableColumn id="4256" xr3:uid="{A1A38C2F-A833-409B-B09C-0F53B051830C}" name="Column4229"/>
    <tableColumn id="4257" xr3:uid="{230C8EF9-CE66-4FDC-91DB-7BCCD41A58F5}" name="Column4230"/>
    <tableColumn id="4258" xr3:uid="{8C0A72E3-01B2-4897-B540-1239BEA0D278}" name="Column4231"/>
    <tableColumn id="4259" xr3:uid="{1DD08F4F-304E-4157-AC25-AFC67D730E9A}" name="Column4232"/>
    <tableColumn id="4260" xr3:uid="{B5F3E4F0-1277-4217-8C34-D40A4E24508E}" name="Column4233"/>
    <tableColumn id="4261" xr3:uid="{A546FCD0-4B85-45FF-863A-AFCE7AEB77EC}" name="Column4234"/>
    <tableColumn id="4262" xr3:uid="{0A1F1C63-D493-4DAD-BD74-89889A50211D}" name="Column4235"/>
    <tableColumn id="4263" xr3:uid="{EB14E43B-C380-432E-ADBA-64B3C3A17564}" name="Column4236"/>
    <tableColumn id="4264" xr3:uid="{57E5822B-3C1C-4C3F-BD56-1FB296263FB8}" name="Column4237"/>
    <tableColumn id="4265" xr3:uid="{15024863-F6CD-42A5-B145-4D8AB585342A}" name="Column4238"/>
    <tableColumn id="4266" xr3:uid="{A364E11F-E174-4554-A259-049FABD39E67}" name="Column4239"/>
    <tableColumn id="4267" xr3:uid="{056809B0-F90B-43C2-A7E2-30360D6CB87C}" name="Column4240"/>
    <tableColumn id="4268" xr3:uid="{C7EC6A89-1131-4189-8164-8EA9EC394E49}" name="Column4241"/>
    <tableColumn id="4269" xr3:uid="{37198205-F81A-43EA-9077-241F59E125D4}" name="Column4242"/>
    <tableColumn id="4270" xr3:uid="{EFB734BC-ABF3-4F27-BDF8-A55C31C2D011}" name="Column4243"/>
    <tableColumn id="4271" xr3:uid="{625400ED-DFD9-4940-A42A-2277EC14C1E3}" name="Column4244"/>
    <tableColumn id="4272" xr3:uid="{6E95BD50-A781-458D-A5CF-095AF063E66B}" name="Column4245"/>
    <tableColumn id="4273" xr3:uid="{2D419D11-7B87-4276-9459-318E1B8D7207}" name="Column4246"/>
    <tableColumn id="4274" xr3:uid="{F7183BFC-20A0-47EA-B9B8-5F91F5D92010}" name="Column4247"/>
    <tableColumn id="4275" xr3:uid="{2F605B3E-DFE0-4BB1-A314-116D320982FC}" name="Column4248"/>
    <tableColumn id="4276" xr3:uid="{C80C208B-3985-47AE-903F-6F38A3174D5B}" name="Column4249"/>
    <tableColumn id="4277" xr3:uid="{D0D7E30C-ED5A-4D32-97A7-93E56843F241}" name="Column4250"/>
    <tableColumn id="4278" xr3:uid="{EBB90FDC-BFC3-40E3-BED1-D642EE168112}" name="Column4251"/>
    <tableColumn id="4279" xr3:uid="{33F3FD09-ABE8-4E5E-A75F-0FB141320D70}" name="Column4252"/>
    <tableColumn id="4280" xr3:uid="{83F1FE93-1473-4420-BBA0-85CAB6E9E735}" name="Column4253"/>
    <tableColumn id="4281" xr3:uid="{9D880ED7-3AAB-452D-A45C-DDC755261955}" name="Column4254"/>
    <tableColumn id="4282" xr3:uid="{EB77AFBA-F9C1-48FE-956E-AD0A732FA80D}" name="Column4255"/>
    <tableColumn id="4283" xr3:uid="{93EC8D24-264F-4AC0-B341-7EC108161CA2}" name="Column4256"/>
    <tableColumn id="4284" xr3:uid="{094D695B-8D7C-4C2A-8891-2003FD85411F}" name="Column4257"/>
    <tableColumn id="4285" xr3:uid="{8FF72E35-B889-4ADC-8ABE-A0BA044FA2CF}" name="Column4258"/>
    <tableColumn id="4286" xr3:uid="{BFC7932E-781D-4CCC-AA2E-C6C39AE747A6}" name="Column4259"/>
    <tableColumn id="4287" xr3:uid="{45A12EF2-2114-4AD7-B0BF-B7E65066B9EA}" name="Column4260"/>
    <tableColumn id="4288" xr3:uid="{B01E5774-498E-4490-9263-FF897614445D}" name="Column4261"/>
    <tableColumn id="4289" xr3:uid="{69B2F158-DBD0-469A-B691-3C9D33B5F65B}" name="Column4262"/>
    <tableColumn id="4290" xr3:uid="{DD0BFD1E-88CB-4921-923D-9C044291A68D}" name="Column4263"/>
    <tableColumn id="4291" xr3:uid="{98AD3298-EA37-4EF1-ABFA-DC7F208B0A5C}" name="Column4264"/>
    <tableColumn id="4292" xr3:uid="{7139CDEC-F3BC-48C7-9C65-0D761D0C961E}" name="Column4265"/>
    <tableColumn id="4293" xr3:uid="{6B93C37B-A081-4E72-9AC4-7D8D60F50080}" name="Column4266"/>
    <tableColumn id="4294" xr3:uid="{A22B3A77-8F46-44F8-B0D8-5D1E37AD9BC4}" name="Column4267"/>
    <tableColumn id="4295" xr3:uid="{1BD4759F-C92C-4377-9AF2-AE586AF8A575}" name="Column4268"/>
    <tableColumn id="4296" xr3:uid="{ED4A224D-30AF-44DC-A918-04B247B590C4}" name="Column4269"/>
    <tableColumn id="4297" xr3:uid="{FAE6F874-15F3-4E92-A59C-0A5D058DDA18}" name="Column4270"/>
    <tableColumn id="4298" xr3:uid="{887D2931-EAB9-4EE1-88A3-DB72CFA42E44}" name="Column4271"/>
    <tableColumn id="4299" xr3:uid="{5AB0D2D6-B04A-4AA1-B59F-FB31CBA25D48}" name="Column4272"/>
    <tableColumn id="4300" xr3:uid="{38B44778-CD57-4D11-8905-3B94082DEFEE}" name="Column4273"/>
    <tableColumn id="4301" xr3:uid="{6F40BA90-FA7C-499C-AFD7-1201E4815BA3}" name="Column4274"/>
    <tableColumn id="4302" xr3:uid="{0FC55D55-CDBD-43DB-85F8-87274F44AD71}" name="Column4275"/>
    <tableColumn id="4303" xr3:uid="{7074EC61-230C-4FC5-B96D-F721B952017B}" name="Column4276"/>
    <tableColumn id="4304" xr3:uid="{3F81DFC5-EBCF-4E3F-8AAE-E67B1E97C755}" name="Column4277"/>
    <tableColumn id="4305" xr3:uid="{6DBDF762-DD99-45C5-BF62-36F1BFEAF5E0}" name="Column4278"/>
    <tableColumn id="4306" xr3:uid="{A209DA33-A0A6-4AA4-B66A-D3F4315CE586}" name="Column4279"/>
    <tableColumn id="4307" xr3:uid="{9BE42B48-94E9-48B4-81FB-FDA3FC119E28}" name="Column4280"/>
    <tableColumn id="4308" xr3:uid="{E96D8AA3-4C61-4A9B-A8C2-2C7ABD6BCD90}" name="Column4281"/>
    <tableColumn id="4309" xr3:uid="{F931F74E-C5FE-4F1D-BFF1-08D819765828}" name="Column4282"/>
    <tableColumn id="4310" xr3:uid="{551EF015-06FA-4A17-BF4F-B592D48E24CB}" name="Column4283"/>
    <tableColumn id="4311" xr3:uid="{0BE4D06F-A070-4FC9-8D19-83791C4369F3}" name="Column4284"/>
    <tableColumn id="4312" xr3:uid="{3B46D8D4-3F51-4733-9ECD-DDF78E0F7A8C}" name="Column4285"/>
    <tableColumn id="4313" xr3:uid="{0024704B-7CD2-4138-AEC2-5B985CA525F7}" name="Column4286"/>
    <tableColumn id="4314" xr3:uid="{8E2423D7-AA6C-41C2-820F-18DAA0FABF29}" name="Column4287"/>
    <tableColumn id="4315" xr3:uid="{B470D5FD-CD75-444F-B03D-A4C9661CA97A}" name="Column4288"/>
    <tableColumn id="4316" xr3:uid="{7F2D6242-5962-443B-B23B-612140D1ED92}" name="Column4289"/>
    <tableColumn id="4317" xr3:uid="{B31D7A4D-163C-4E2F-A439-90B034451205}" name="Column4290"/>
    <tableColumn id="4318" xr3:uid="{C529C1AE-0EBD-4B5A-B812-9FF7FDA5C355}" name="Column4291"/>
    <tableColumn id="4319" xr3:uid="{3C593257-D3B7-403F-A89B-344C43464322}" name="Column4292"/>
    <tableColumn id="4320" xr3:uid="{798B5351-7DB5-46A6-857C-1B6BB4789FB6}" name="Column4293"/>
    <tableColumn id="4321" xr3:uid="{10FD91F5-0EE8-4EF6-8E6F-577608CEB99A}" name="Column4294"/>
    <tableColumn id="4322" xr3:uid="{10A8AF26-425A-4DA4-8CC6-2D6FBF09E832}" name="Column4295"/>
    <tableColumn id="4323" xr3:uid="{B3A56776-9FED-4471-9DBA-0112BDB2B214}" name="Column4296"/>
    <tableColumn id="4324" xr3:uid="{D44808B1-DC0A-4D97-94D7-D472A5AF6D45}" name="Column4297"/>
    <tableColumn id="4325" xr3:uid="{96AD593B-D9D0-45D3-BCDB-30D5D09D4587}" name="Column4298"/>
    <tableColumn id="4326" xr3:uid="{9FF79574-5A73-4C1D-B37C-711DF2482D18}" name="Column4299"/>
    <tableColumn id="4327" xr3:uid="{C9B49532-8C6F-4D80-A04F-0F4CE19EE736}" name="Column4300"/>
    <tableColumn id="4328" xr3:uid="{D6CADC6E-E1FA-46C6-BD2F-1AAC8D1021E6}" name="Column4301"/>
    <tableColumn id="4329" xr3:uid="{39910315-B17E-40A2-9A23-5694EFB2F8D5}" name="Column4302"/>
    <tableColumn id="4330" xr3:uid="{28DF1CB9-8BF4-4E17-A9C5-08FDACB5BF90}" name="Column4303"/>
    <tableColumn id="4331" xr3:uid="{FE730C1C-ABAC-4A8C-8D84-C2C62813AB93}" name="Column4304"/>
    <tableColumn id="4332" xr3:uid="{534CFB6E-5D12-4504-AD89-1A843B09BBA6}" name="Column4305"/>
    <tableColumn id="4333" xr3:uid="{EC936F07-C889-4719-A068-8F159BAF00BB}" name="Column4306"/>
    <tableColumn id="4334" xr3:uid="{49CBF473-FE81-4F5E-A432-7C146CD5CABF}" name="Column4307"/>
    <tableColumn id="4335" xr3:uid="{DCD51802-2FB5-4F70-8DCF-25D353653F6B}" name="Column4308"/>
    <tableColumn id="4336" xr3:uid="{24F87AA0-8140-4EA0-B379-12375C61083F}" name="Column4309"/>
    <tableColumn id="4337" xr3:uid="{DAB91664-04E1-4A03-81FA-1BD464B2E0FF}" name="Column4310"/>
    <tableColumn id="4338" xr3:uid="{97DAD068-3371-4F41-80A6-CBC20995BFDD}" name="Column4311"/>
    <tableColumn id="4339" xr3:uid="{E4854A95-DFC3-4B8A-B632-542246A4D04C}" name="Column4312"/>
    <tableColumn id="4340" xr3:uid="{03909DF7-D5B6-4A59-A68F-3846C58AF099}" name="Column4313"/>
    <tableColumn id="4341" xr3:uid="{2B19964E-6A7F-47FD-B2FC-96F6FFC70034}" name="Column4314"/>
    <tableColumn id="4342" xr3:uid="{A2453996-505A-4DE4-AAA9-23DFC2141086}" name="Column4315"/>
    <tableColumn id="4343" xr3:uid="{82A9E939-3C81-46E2-ABD7-8E81AE6E7621}" name="Column4316"/>
    <tableColumn id="4344" xr3:uid="{C72E3C96-1073-4947-A2BA-B233BF6FB3C8}" name="Column4317"/>
    <tableColumn id="4345" xr3:uid="{4C40DC38-83F3-4C56-84D8-6EECE6D4EAF4}" name="Column4318"/>
    <tableColumn id="4346" xr3:uid="{1B7731B4-662E-42A0-A1B5-0C576B68E17C}" name="Column4319"/>
    <tableColumn id="4347" xr3:uid="{15E4A824-1F02-43D5-B91E-E244F7DD8018}" name="Column4320"/>
    <tableColumn id="4348" xr3:uid="{5A1611AF-145B-46AB-B885-A6F9B0D1F6B2}" name="Column4321"/>
    <tableColumn id="4349" xr3:uid="{77D29E59-54A3-491B-A54E-A8ADAB684E1E}" name="Column4322"/>
    <tableColumn id="4350" xr3:uid="{33B98FD9-E79E-4715-8086-ADF758563244}" name="Column4323"/>
    <tableColumn id="4351" xr3:uid="{773E06D7-0558-4695-A335-61B7E592919D}" name="Column4324"/>
    <tableColumn id="4352" xr3:uid="{5DDD2F20-FCAF-4024-93F2-B88175C02BCF}" name="Column4325"/>
    <tableColumn id="4353" xr3:uid="{FCD0FBEC-256D-4CAF-8666-05C16F803516}" name="Column4326"/>
    <tableColumn id="4354" xr3:uid="{3BAF0FB4-78BE-4B67-B64B-ABD84B4A605F}" name="Column4327"/>
    <tableColumn id="4355" xr3:uid="{AE3A7208-4D06-4438-8A47-A72DDFC05AC5}" name="Column4328"/>
    <tableColumn id="4356" xr3:uid="{9ED835E8-B562-4889-9D86-C987B4944B96}" name="Column4329"/>
    <tableColumn id="4357" xr3:uid="{94067F7D-7064-4597-9A37-B2496F568FC0}" name="Column4330"/>
    <tableColumn id="4358" xr3:uid="{653EAAAD-D289-44D4-88AC-36F8F3C485E2}" name="Column4331"/>
    <tableColumn id="4359" xr3:uid="{776137B0-0680-43BA-A956-7742D8EA374B}" name="Column4332"/>
    <tableColumn id="4360" xr3:uid="{AC6302C9-2E8D-4DF2-BC08-2F52C827704E}" name="Column4333"/>
    <tableColumn id="4361" xr3:uid="{22351B5C-4C64-4044-B8A7-1F4A49C24FBF}" name="Column4334"/>
    <tableColumn id="4362" xr3:uid="{D3F3397A-190B-4383-879E-F9958BD4B1BC}" name="Column4335"/>
    <tableColumn id="4363" xr3:uid="{819EA032-5977-4F90-95C6-6959221EAEFE}" name="Column4336"/>
    <tableColumn id="4364" xr3:uid="{42E9A2B2-11B4-41B0-9573-A8F3F380CC6F}" name="Column4337"/>
    <tableColumn id="4365" xr3:uid="{1BA07DB6-279E-4A20-AB7F-6A34C0194C1E}" name="Column4338"/>
    <tableColumn id="4366" xr3:uid="{67502F70-2799-4764-AC4E-5D100BF36303}" name="Column4339"/>
    <tableColumn id="4367" xr3:uid="{D04FFEF8-EA03-4458-AE3F-582D6E835AA5}" name="Column4340"/>
    <tableColumn id="4368" xr3:uid="{1740C244-D721-4634-B336-61A66EBDD2B5}" name="Column4341"/>
    <tableColumn id="4369" xr3:uid="{3CE6663F-1E7C-4D29-B7F3-8ABFC1BE160E}" name="Column4342"/>
    <tableColumn id="4370" xr3:uid="{C8AAF64D-5560-4C99-89C2-149EB0468CCE}" name="Column4343"/>
    <tableColumn id="4371" xr3:uid="{66F906E8-5D14-4F8E-B97B-F77D78D00C10}" name="Column4344"/>
    <tableColumn id="4372" xr3:uid="{ECE4639D-FA71-4D84-B6F1-A8DCB97B79DE}" name="Column4345"/>
    <tableColumn id="4373" xr3:uid="{4061D40B-2495-4102-ABB6-B528A44F11FD}" name="Column4346"/>
    <tableColumn id="4374" xr3:uid="{7ADA0AD0-DD4F-41FA-975D-94EE65C676E5}" name="Column4347"/>
    <tableColumn id="4375" xr3:uid="{A5EA5C2C-4E96-460B-A6F0-021733D3C541}" name="Column4348"/>
    <tableColumn id="4376" xr3:uid="{72194156-5AFD-45E0-AAD5-CE85C0BA59E9}" name="Column4349"/>
    <tableColumn id="4377" xr3:uid="{A8050632-8CBD-437E-AC19-298B204FDF46}" name="Column4350"/>
    <tableColumn id="4378" xr3:uid="{176FA8F4-3A43-47F1-9754-183EDB875389}" name="Column4351"/>
    <tableColumn id="4379" xr3:uid="{C29BD08C-08E3-49A0-B572-3146BB41C338}" name="Column4352"/>
    <tableColumn id="4380" xr3:uid="{6649A0C3-286C-409C-AE1A-6ECDFF84C36B}" name="Column4353"/>
    <tableColumn id="4381" xr3:uid="{FF642AD4-1CF7-426D-A564-839FD43C0ABC}" name="Column4354"/>
    <tableColumn id="4382" xr3:uid="{2DB74683-5106-4BFF-AE97-C2A71698D41D}" name="Column4355"/>
    <tableColumn id="4383" xr3:uid="{FC521F80-85FF-474C-A8E3-4656FB65D1EF}" name="Column4356"/>
    <tableColumn id="4384" xr3:uid="{F8FC442F-F0A5-42FA-99D1-3D76EAB4BEB1}" name="Column4357"/>
    <tableColumn id="4385" xr3:uid="{5CFFB009-5AB2-44C1-938C-9735CA7E023E}" name="Column4358"/>
    <tableColumn id="4386" xr3:uid="{92407742-CC2D-4A0E-AF45-EF6F7901BEDF}" name="Column4359"/>
    <tableColumn id="4387" xr3:uid="{DE8D03C2-D278-4D45-A7F9-2630F102C062}" name="Column4360"/>
    <tableColumn id="4388" xr3:uid="{018004DE-53B4-42DF-88AC-8DF755389E3F}" name="Column4361"/>
    <tableColumn id="4389" xr3:uid="{1820EE80-0137-49DB-8DB6-4220845C4DBD}" name="Column4362"/>
    <tableColumn id="4390" xr3:uid="{8DE37C59-144C-4076-968A-547D131EEA57}" name="Column4363"/>
    <tableColumn id="4391" xr3:uid="{59AF0883-9F4E-4C27-A02C-9301132CC6C0}" name="Column4364"/>
    <tableColumn id="4392" xr3:uid="{8336E1FC-E073-4BBC-9646-1DEB1F809EB3}" name="Column4365"/>
    <tableColumn id="4393" xr3:uid="{4B404B46-05A9-4C18-B842-81529234E10C}" name="Column4366"/>
    <tableColumn id="4394" xr3:uid="{43EEE932-B45E-4E6B-8B9A-E59076921D9B}" name="Column4367"/>
    <tableColumn id="4395" xr3:uid="{B3FA47F9-11EE-4B11-BA24-033428AD1331}" name="Column4368"/>
    <tableColumn id="4396" xr3:uid="{87A47523-A97F-4650-825A-ADB6112CB51F}" name="Column4369"/>
    <tableColumn id="4397" xr3:uid="{C0D05813-440D-4424-8B3C-59B8FF1DD356}" name="Column4370"/>
    <tableColumn id="4398" xr3:uid="{03C56142-19B8-4242-998D-8DAE04DF1E54}" name="Column4371"/>
    <tableColumn id="4399" xr3:uid="{1ECE9EA2-3EB8-4FD1-9EF9-E624A5CF8806}" name="Column4372"/>
    <tableColumn id="4400" xr3:uid="{53CA90FD-DD4F-4B7A-9023-87E16A493023}" name="Column4373"/>
    <tableColumn id="4401" xr3:uid="{5F32E11B-86B0-42D9-A1A4-9131AB7D86FD}" name="Column4374"/>
    <tableColumn id="4402" xr3:uid="{BFF330A0-2EAB-4C7C-91AD-0FED8FFA9AEF}" name="Column4375"/>
    <tableColumn id="4403" xr3:uid="{C94B31DA-EBBF-410C-B478-9A8E5B4ABD4D}" name="Column4376"/>
    <tableColumn id="4404" xr3:uid="{8A11FA2A-F737-40C5-B944-B078F675E901}" name="Column4377"/>
    <tableColumn id="4405" xr3:uid="{31F68ACF-9F6D-49B8-AF3F-C8EE3589C907}" name="Column4378"/>
    <tableColumn id="4406" xr3:uid="{4ED894F0-1C17-400A-9AAA-A37681DA7E74}" name="Column4379"/>
    <tableColumn id="4407" xr3:uid="{2103B793-6A5B-48D9-8133-A8FEF93EA6C1}" name="Column4380"/>
    <tableColumn id="4408" xr3:uid="{B82FBC3A-D36B-4446-9083-7EF8D0101B3C}" name="Column4381"/>
    <tableColumn id="4409" xr3:uid="{61AEECB2-5184-453F-9EE4-F4816BEBD15F}" name="Column4382"/>
    <tableColumn id="4410" xr3:uid="{5C7B1945-5CD3-4D3D-9946-75FAFF5A9DBA}" name="Column4383"/>
    <tableColumn id="4411" xr3:uid="{2A1D07CA-656C-47F7-80F4-6C366DA5CFED}" name="Column4384"/>
    <tableColumn id="4412" xr3:uid="{EDB6D3E4-7A20-4C77-9C8A-F50E313EF274}" name="Column4385"/>
    <tableColumn id="4413" xr3:uid="{F9F0B988-D377-4A3F-B147-89B881B62925}" name="Column4386"/>
    <tableColumn id="4414" xr3:uid="{CC793B37-86F6-4DC0-8D5F-2720D1D48F2F}" name="Column4387"/>
    <tableColumn id="4415" xr3:uid="{AC396350-19D5-4034-AADF-ED82EF4BEDC9}" name="Column4388"/>
    <tableColumn id="4416" xr3:uid="{FDCD662F-84E5-4FE9-A7EA-89D56315E83C}" name="Column4389"/>
    <tableColumn id="4417" xr3:uid="{FB804D31-CB36-4FEF-88A8-131C2113B63C}" name="Column4390"/>
    <tableColumn id="4418" xr3:uid="{343F47A0-5982-465F-8A11-73B7EC9EB76C}" name="Column4391"/>
    <tableColumn id="4419" xr3:uid="{52FF4B82-D3F3-4BB8-B103-DD127B13191A}" name="Column4392"/>
    <tableColumn id="4420" xr3:uid="{66118843-78C7-4277-9BDA-BAB4A4EDCE0E}" name="Column4393"/>
    <tableColumn id="4421" xr3:uid="{92B01294-83B1-4CD0-80DA-808093104AD8}" name="Column4394"/>
    <tableColumn id="4422" xr3:uid="{4BE56941-1213-43B9-964E-077D615EBCA8}" name="Column4395"/>
    <tableColumn id="4423" xr3:uid="{F9919711-B528-4A9D-961C-9EB6F7B26685}" name="Column4396"/>
    <tableColumn id="4424" xr3:uid="{2106A282-A712-4145-8FB8-60665D94A9A1}" name="Column4397"/>
    <tableColumn id="4425" xr3:uid="{4044D8FC-28FA-4960-BF05-A945D9198A62}" name="Column4398"/>
    <tableColumn id="4426" xr3:uid="{0861B06A-AD9D-45CD-837A-784BA882A2BB}" name="Column4399"/>
    <tableColumn id="4427" xr3:uid="{F9A8C43E-E2E3-414B-B2CC-607ADBFE52F3}" name="Column4400"/>
    <tableColumn id="4428" xr3:uid="{031E872D-23AA-48BB-B1F1-01B8F62C461D}" name="Column4401"/>
    <tableColumn id="4429" xr3:uid="{524884DE-0DF5-4FB1-8D37-E0BF9ED333A6}" name="Column4402"/>
    <tableColumn id="4430" xr3:uid="{2C087A0A-CA6A-4114-9EF0-62FB51090F6B}" name="Column4403"/>
    <tableColumn id="4431" xr3:uid="{B66C404A-599B-432E-A587-1BD8F48357BA}" name="Column4404"/>
    <tableColumn id="4432" xr3:uid="{1C70CC12-F946-4974-9FA3-909769CFA5A7}" name="Column4405"/>
    <tableColumn id="4433" xr3:uid="{904CC66E-DA78-4BDC-A898-108DD840B145}" name="Column4406"/>
    <tableColumn id="4434" xr3:uid="{DC78C6EB-78E8-4997-84E4-079F51980CB1}" name="Column4407"/>
    <tableColumn id="4435" xr3:uid="{CC68A0AF-50D9-40E2-87BD-12A23460EE22}" name="Column4408"/>
    <tableColumn id="4436" xr3:uid="{E38D5D1D-6FA2-440D-9917-DD6DDB85622B}" name="Column4409"/>
    <tableColumn id="4437" xr3:uid="{5147533D-BDA1-415A-B6EF-500E28AB9101}" name="Column4410"/>
    <tableColumn id="4438" xr3:uid="{E175EA35-2C0A-4D4B-A372-6A6043F0F7FB}" name="Column4411"/>
    <tableColumn id="4439" xr3:uid="{7A4CD08E-3112-4E70-9441-057581EA86D9}" name="Column4412"/>
    <tableColumn id="4440" xr3:uid="{09A0128A-6F56-443B-93C6-C0C8E775E37E}" name="Column4413"/>
    <tableColumn id="4441" xr3:uid="{C51E305E-C570-4AF0-979D-D71B6DEE89A0}" name="Column4414"/>
    <tableColumn id="4442" xr3:uid="{B17C657A-B42D-4F7D-AA9F-553142A57C1A}" name="Column4415"/>
    <tableColumn id="4443" xr3:uid="{59237BF5-A6CE-4CAF-9A6F-0751B34A376C}" name="Column4416"/>
    <tableColumn id="4444" xr3:uid="{EE361152-0C36-4123-A2A6-4556F84A483C}" name="Column4417"/>
    <tableColumn id="4445" xr3:uid="{55D41D54-CF92-4EEC-A890-DDAE61081328}" name="Column4418"/>
    <tableColumn id="4446" xr3:uid="{D25F3E12-8BFD-46DF-9E5A-2632063567CC}" name="Column4419"/>
    <tableColumn id="4447" xr3:uid="{21B28BA9-C479-4CB6-9135-66EE5A891CBA}" name="Column4420"/>
    <tableColumn id="4448" xr3:uid="{729CB08C-C0CD-4135-AC53-FDFC227CF325}" name="Column4421"/>
    <tableColumn id="4449" xr3:uid="{BE6A0E9D-116B-4E79-AAEB-D676054FE30B}" name="Column4422"/>
    <tableColumn id="4450" xr3:uid="{55E28751-0783-46D9-A164-F99044EDE1A9}" name="Column4423"/>
    <tableColumn id="4451" xr3:uid="{7975663D-5B1F-45D9-92F0-3218804A7289}" name="Column4424"/>
    <tableColumn id="4452" xr3:uid="{34013D59-3DB1-419E-B370-DE0B24C8F0F8}" name="Column4425"/>
    <tableColumn id="4453" xr3:uid="{5C0F8539-D538-4F7E-A512-00F14B35E3E5}" name="Column4426"/>
    <tableColumn id="4454" xr3:uid="{AF70E2D1-CDD5-4CF2-997A-662559A0073C}" name="Column4427"/>
    <tableColumn id="4455" xr3:uid="{5C99147C-40B2-4893-B24B-A9CCCD182FC8}" name="Column4428"/>
    <tableColumn id="4456" xr3:uid="{83F2A2BF-1929-4E69-8480-37796EDA0AEC}" name="Column4429"/>
    <tableColumn id="4457" xr3:uid="{73B017C2-6398-4ABB-A0CA-EDA50128B36A}" name="Column4430"/>
    <tableColumn id="4458" xr3:uid="{4AD5887D-6845-446F-BD99-0F3976FF446B}" name="Column4431"/>
    <tableColumn id="4459" xr3:uid="{20F234AD-B186-4BDB-8326-929AD0A9C5E9}" name="Column4432"/>
    <tableColumn id="4460" xr3:uid="{760B8CA0-1E73-4F05-922C-232F74FCC38A}" name="Column4433"/>
    <tableColumn id="4461" xr3:uid="{DB540107-34A1-4702-A3A4-39BDF238590A}" name="Column4434"/>
    <tableColumn id="4462" xr3:uid="{C5A51FC2-A10F-4328-8DA7-61A2C1385CD7}" name="Column4435"/>
    <tableColumn id="4463" xr3:uid="{E6CE8EB8-7BE8-40E9-8D95-7A0F114D4AB1}" name="Column4436"/>
    <tableColumn id="4464" xr3:uid="{16261A48-CCF1-4C4A-AF4A-5091089691DE}" name="Column4437"/>
    <tableColumn id="4465" xr3:uid="{CC7B6962-F18C-4937-9ABB-CFA30263ADC3}" name="Column4438"/>
    <tableColumn id="4466" xr3:uid="{E77E58B1-5F75-4B47-8A6F-FA7347E14EC4}" name="Column4439"/>
    <tableColumn id="4467" xr3:uid="{EF63EF00-5CD7-4356-A840-2767C95CD881}" name="Column4440"/>
    <tableColumn id="4468" xr3:uid="{A491E096-036E-4FAF-ABCB-1A51B02B45BC}" name="Column4441"/>
    <tableColumn id="4469" xr3:uid="{616F414E-CBAE-4088-831B-2E8EF96DF28D}" name="Column4442"/>
    <tableColumn id="4470" xr3:uid="{126A32DF-9EF7-4715-B039-D8D042BEA92F}" name="Column4443"/>
    <tableColumn id="4471" xr3:uid="{2C88FA7A-3798-4374-808C-7BED69CBF7D8}" name="Column4444"/>
    <tableColumn id="4472" xr3:uid="{5540A2DF-0C4C-47CC-9763-8F0E7C71F440}" name="Column4445"/>
    <tableColumn id="4473" xr3:uid="{6B44881A-A1EF-4325-9746-2DB71243321E}" name="Column4446"/>
    <tableColumn id="4474" xr3:uid="{20AEB4E2-9B43-4995-BEE2-4D1AA09BF50D}" name="Column4447"/>
    <tableColumn id="4475" xr3:uid="{8E58ED2F-09A7-4C4D-911F-C96D83BC0CAE}" name="Column4448"/>
    <tableColumn id="4476" xr3:uid="{B39448ED-5527-4B4D-A661-6186419FE9B1}" name="Column4449"/>
    <tableColumn id="4477" xr3:uid="{B3A90AC2-84D1-4842-B9A5-8DCED6C421EB}" name="Column4450"/>
    <tableColumn id="4478" xr3:uid="{CBFD36AA-FA9D-49C3-AFDE-EB690E5BEE49}" name="Column4451"/>
    <tableColumn id="4479" xr3:uid="{F956E304-BA66-4746-AB0E-E267252FD39E}" name="Column4452"/>
    <tableColumn id="4480" xr3:uid="{6CDC5540-4078-467E-9C46-57F0430D4806}" name="Column4453"/>
    <tableColumn id="4481" xr3:uid="{6182F3EB-18BB-4753-A0C3-BA0E934A9518}" name="Column4454"/>
    <tableColumn id="4482" xr3:uid="{AE251F30-F897-4773-A260-D98395DCF266}" name="Column4455"/>
    <tableColumn id="4483" xr3:uid="{69B8439E-E6DD-4D16-B94C-D033123E4776}" name="Column4456"/>
    <tableColumn id="4484" xr3:uid="{7A146140-457B-4615-AC6A-071055F6D664}" name="Column4457"/>
    <tableColumn id="4485" xr3:uid="{894F3504-DB08-4651-9B8D-A8F63E2F6E94}" name="Column4458"/>
    <tableColumn id="4486" xr3:uid="{F484252E-6B4A-4C95-8F78-0A331BA6347F}" name="Column4459"/>
    <tableColumn id="4487" xr3:uid="{D987AAB8-86A2-4534-9E77-29108A13337C}" name="Column4460"/>
    <tableColumn id="4488" xr3:uid="{DD9BFBE5-BC69-4D3F-B960-0A8FE03BF56A}" name="Column4461"/>
    <tableColumn id="4489" xr3:uid="{93ABDF6F-E8E6-4C44-9A2A-4E0EA75EC92D}" name="Column4462"/>
    <tableColumn id="4490" xr3:uid="{C6A43330-F049-4F0C-BD32-49BD09F4C3D7}" name="Column4463"/>
    <tableColumn id="4491" xr3:uid="{3AAA3061-C96C-4E3F-8C19-55531DEC69BB}" name="Column4464"/>
    <tableColumn id="4492" xr3:uid="{0B0DBCD2-50C8-461A-A4DA-7352A72ED748}" name="Column4465"/>
    <tableColumn id="4493" xr3:uid="{E98C1A26-75F8-4291-B78C-C3445FCE7C31}" name="Column4466"/>
    <tableColumn id="4494" xr3:uid="{86961F12-A1A4-4FB2-8866-5F5363DCF1AF}" name="Column4467"/>
    <tableColumn id="4495" xr3:uid="{EAE7156E-6B80-4448-B3B3-8E2A948D92C9}" name="Column4468"/>
    <tableColumn id="4496" xr3:uid="{374B804E-BE4B-4E3A-A65C-DD2725E4429A}" name="Column4469"/>
    <tableColumn id="4497" xr3:uid="{73295966-16D2-4446-A5A4-D00B85D22234}" name="Column4470"/>
    <tableColumn id="4498" xr3:uid="{4FE3BA81-266B-4EA3-88B0-D80AB6086927}" name="Column4471"/>
    <tableColumn id="4499" xr3:uid="{EAC72AB1-1AB3-473C-BDC7-BBA6431A7C2F}" name="Column4472"/>
    <tableColumn id="4500" xr3:uid="{2A2FE737-E604-4F28-9B6D-262A4B5BCA49}" name="Column4473"/>
    <tableColumn id="4501" xr3:uid="{CE98BC18-EF21-439D-9A67-F165627E03C9}" name="Column4474"/>
    <tableColumn id="4502" xr3:uid="{909DBDFC-201C-412D-AC41-71C4A54D9E55}" name="Column4475"/>
    <tableColumn id="4503" xr3:uid="{B60D6CA6-7D6A-429A-B2F3-888BB109616D}" name="Column4476"/>
    <tableColumn id="4504" xr3:uid="{ED3504AD-12F8-42F4-8229-7E26792951D0}" name="Column4477"/>
    <tableColumn id="4505" xr3:uid="{DB27E8F0-260B-4209-A651-B8FAB695120D}" name="Column4478"/>
    <tableColumn id="4506" xr3:uid="{58EF40DD-F166-46A5-8EA9-89E40FA6957B}" name="Column4479"/>
    <tableColumn id="4507" xr3:uid="{449FF5E1-1431-467C-B577-D3CA6800ACA5}" name="Column4480"/>
    <tableColumn id="4508" xr3:uid="{1CF38390-B9BC-41DF-88B8-C1F622D02024}" name="Column4481"/>
    <tableColumn id="4509" xr3:uid="{37011BFF-B966-4051-B7EB-1067CEF2EAE6}" name="Column4482"/>
    <tableColumn id="4510" xr3:uid="{0CB1C07C-D2A7-4B37-ABD0-FB906788E766}" name="Column4483"/>
    <tableColumn id="4511" xr3:uid="{E63BF0CE-78D7-4111-8E54-9069A518C281}" name="Column4484"/>
    <tableColumn id="4512" xr3:uid="{2064CE5D-217D-4448-9D7C-97E6FBC2F21B}" name="Column4485"/>
    <tableColumn id="4513" xr3:uid="{94001408-6303-44F4-8F5A-B6D325D27968}" name="Column4486"/>
    <tableColumn id="4514" xr3:uid="{048B808B-A0F1-4AE7-9CBB-7B45358BD381}" name="Column4487"/>
    <tableColumn id="4515" xr3:uid="{4C9090B0-4467-40AD-8C9A-C2B67CA91A26}" name="Column4488"/>
    <tableColumn id="4516" xr3:uid="{88D1C3BC-3392-4F54-8C16-54299FB5A15E}" name="Column4489"/>
    <tableColumn id="4517" xr3:uid="{0CDE6E34-7641-4E03-9A1D-A97D4B78D665}" name="Column4490"/>
    <tableColumn id="4518" xr3:uid="{B661A105-15CA-4594-A456-5E053036EC19}" name="Column4491"/>
    <tableColumn id="4519" xr3:uid="{0782D2AE-A876-4BCA-8A23-5FD4B3DC9990}" name="Column4492"/>
    <tableColumn id="4520" xr3:uid="{9F26C9F2-B105-4761-867A-8BA23D7D443A}" name="Column4493"/>
    <tableColumn id="4521" xr3:uid="{F9E2F3F8-0DF4-45E9-8548-3F0B5650D358}" name="Column4494"/>
    <tableColumn id="4522" xr3:uid="{A4D8E196-EE8E-4716-BBC1-3988BCD846BF}" name="Column4495"/>
    <tableColumn id="4523" xr3:uid="{12952867-B5BE-4C42-A5EB-408719CF747E}" name="Column4496"/>
    <tableColumn id="4524" xr3:uid="{ADC7B5F8-B45C-49B0-B8E2-12DF20213746}" name="Column4497"/>
    <tableColumn id="4525" xr3:uid="{BE7B4DE8-61CF-480B-985D-A2E7FF380ACD}" name="Column4498"/>
    <tableColumn id="4526" xr3:uid="{20601173-992A-4C07-B488-81B97897575F}" name="Column4499"/>
    <tableColumn id="4527" xr3:uid="{756664AE-42E4-4BA1-AC7A-175925CC3029}" name="Column4500"/>
    <tableColumn id="4528" xr3:uid="{1968509E-72C2-4296-883D-E98ACC9B922C}" name="Column4501"/>
    <tableColumn id="4529" xr3:uid="{698A786E-9344-4C00-B75F-63591B6BBF9A}" name="Column4502"/>
    <tableColumn id="4530" xr3:uid="{1AF72686-0B49-4691-9B22-8A5ED7F901ED}" name="Column4503"/>
    <tableColumn id="4531" xr3:uid="{31426A77-472C-45CE-9442-8D64E2DDAAE9}" name="Column4504"/>
    <tableColumn id="4532" xr3:uid="{1218CD16-A8AC-4788-81FD-9AABE6B2D094}" name="Column4505"/>
    <tableColumn id="4533" xr3:uid="{B4947965-317F-4B43-9C30-85F853CAFDF9}" name="Column4506"/>
    <tableColumn id="4534" xr3:uid="{64EB3460-AF17-450E-B247-B41171F73D18}" name="Column4507"/>
    <tableColumn id="4535" xr3:uid="{92A02CBA-7675-4A49-921A-3940415723D2}" name="Column4508"/>
    <tableColumn id="4536" xr3:uid="{707CF95C-4864-49A7-9A1F-EBB7ADFB3354}" name="Column4509"/>
    <tableColumn id="4537" xr3:uid="{EF3888D1-72AC-4786-8028-9F9B3062CF64}" name="Column4510"/>
    <tableColumn id="4538" xr3:uid="{F10F149D-464A-4A0A-8899-6A9DBF30B871}" name="Column4511"/>
    <tableColumn id="4539" xr3:uid="{A183E3E5-2DFF-4AC4-9EBD-C13955B28D1B}" name="Column4512"/>
    <tableColumn id="4540" xr3:uid="{FF917AB6-5DCA-4087-A8AF-AC06F4835605}" name="Column4513"/>
    <tableColumn id="4541" xr3:uid="{AD228255-108B-4AB7-BB4C-6975CA34D738}" name="Column4514"/>
    <tableColumn id="4542" xr3:uid="{209CC028-74EE-4DA8-81CB-CF5FA40A3074}" name="Column4515"/>
    <tableColumn id="4543" xr3:uid="{107FA983-8F17-45C9-8334-926EDC948B15}" name="Column4516"/>
    <tableColumn id="4544" xr3:uid="{61284457-5974-48B4-AEF4-AD439DC0D10B}" name="Column4517"/>
    <tableColumn id="4545" xr3:uid="{3C35134C-6474-4A36-9651-1E04B675FE08}" name="Column4518"/>
    <tableColumn id="4546" xr3:uid="{03B057AD-C30E-422E-800C-35DDEF17E4AD}" name="Column4519"/>
    <tableColumn id="4547" xr3:uid="{B38F5A92-A2F2-4F89-A05C-4F09B8074C84}" name="Column4520"/>
    <tableColumn id="4548" xr3:uid="{2A674336-F9E0-4D99-8001-55ABE7365ECF}" name="Column4521"/>
    <tableColumn id="4549" xr3:uid="{C31488A9-77AA-4CFB-8FAA-992E0C2F9D5C}" name="Column4522"/>
    <tableColumn id="4550" xr3:uid="{EFC797AB-1218-44BB-929D-9FBCA46C3A44}" name="Column4523"/>
    <tableColumn id="4551" xr3:uid="{1EEB96BA-B426-4A90-BDB2-57AD3409DB1D}" name="Column4524"/>
    <tableColumn id="4552" xr3:uid="{52F980DD-C83C-4B92-996B-D70A9180549D}" name="Column4525"/>
    <tableColumn id="4553" xr3:uid="{C7B07C9F-50AC-4D36-A302-DDF776C57EE5}" name="Column4526"/>
    <tableColumn id="4554" xr3:uid="{D1B40EB6-71FC-40A1-A949-46A9FC6BCE74}" name="Column4527"/>
    <tableColumn id="4555" xr3:uid="{D3DFA66F-C02A-46D5-BD5F-677957977DC3}" name="Column4528"/>
    <tableColumn id="4556" xr3:uid="{CCF5D816-D4FB-4653-AC8E-DE8F01F90B6C}" name="Column4529"/>
    <tableColumn id="4557" xr3:uid="{FDAF604E-BAEA-4134-9669-2C01B19FC8D2}" name="Column4530"/>
    <tableColumn id="4558" xr3:uid="{A5176031-6C63-4E10-B337-46E2B2811E59}" name="Column4531"/>
    <tableColumn id="4559" xr3:uid="{59E93280-B416-4F2F-A1EE-15AC93EE0A5A}" name="Column4532"/>
    <tableColumn id="4560" xr3:uid="{B9B459CB-C473-400C-8632-29EB3B765244}" name="Column4533"/>
    <tableColumn id="4561" xr3:uid="{3BE99EC0-8333-46B7-8E84-F993175BC223}" name="Column4534"/>
    <tableColumn id="4562" xr3:uid="{ADC04770-38EC-42DC-B062-BC93051E725A}" name="Column4535"/>
    <tableColumn id="4563" xr3:uid="{E8C456A4-7C63-4E90-9164-56AD587C55A7}" name="Column4536"/>
    <tableColumn id="4564" xr3:uid="{181519C5-166F-4064-A222-4CFE7CED5670}" name="Column4537"/>
    <tableColumn id="4565" xr3:uid="{34696F9E-0BA8-4D1C-AA58-95542DA92C63}" name="Column4538"/>
    <tableColumn id="4566" xr3:uid="{76D069F0-E0D4-40F6-A810-D54B5CF9CEC9}" name="Column4539"/>
    <tableColumn id="4567" xr3:uid="{327A719F-2E99-41C3-BF7E-13E341897403}" name="Column4540"/>
    <tableColumn id="4568" xr3:uid="{1EE04265-2C54-4E8E-AA27-060B2F9714B2}" name="Column4541"/>
    <tableColumn id="4569" xr3:uid="{D02F431D-2BFE-46A7-9005-701B2F0B288B}" name="Column4542"/>
    <tableColumn id="4570" xr3:uid="{A3FFDE98-0CA0-476E-A77F-360D6DBC5768}" name="Column4543"/>
    <tableColumn id="4571" xr3:uid="{AA3BED96-96ED-4235-9A65-6C57734B58EC}" name="Column4544"/>
    <tableColumn id="4572" xr3:uid="{871575FF-47A0-4939-AE8E-2E49584614EE}" name="Column4545"/>
    <tableColumn id="4573" xr3:uid="{DD9BC639-F900-48FC-8818-D2E43C4A44E3}" name="Column4546"/>
    <tableColumn id="4574" xr3:uid="{8508B918-A051-4FB3-B9DD-905AA22D03F3}" name="Column4547"/>
    <tableColumn id="4575" xr3:uid="{F04F5760-9A56-458D-A018-3140472DD59A}" name="Column4548"/>
    <tableColumn id="4576" xr3:uid="{E58166E4-3C87-40B0-A6EC-B3960F4EA41A}" name="Column4549"/>
    <tableColumn id="4577" xr3:uid="{FD644359-1514-4429-985F-4836BD23B1E7}" name="Column4550"/>
    <tableColumn id="4578" xr3:uid="{40945C6B-69DB-4A56-B92D-936B9445D525}" name="Column4551"/>
    <tableColumn id="4579" xr3:uid="{77A2454E-AE2B-4FDC-B0EC-2794D5EDA61E}" name="Column4552"/>
    <tableColumn id="4580" xr3:uid="{38B86E95-282D-4DB8-9CCB-8A2B710F2A5E}" name="Column4553"/>
    <tableColumn id="4581" xr3:uid="{2AEE1AF1-39F9-4D95-983C-F8D48B45B930}" name="Column4554"/>
    <tableColumn id="4582" xr3:uid="{E5B3B348-E5A3-4472-ADE8-8CB2E512A0CE}" name="Column4555"/>
    <tableColumn id="4583" xr3:uid="{38783736-3C23-4BD2-9A76-DC9248C72622}" name="Column4556"/>
    <tableColumn id="4584" xr3:uid="{D298F54B-4280-4AA6-9DCE-64CA4129D562}" name="Column4557"/>
    <tableColumn id="4585" xr3:uid="{7F77E7A0-503B-4232-8C06-5358557966A5}" name="Column4558"/>
    <tableColumn id="4586" xr3:uid="{5AE6FE44-24B7-40E1-BB75-1450AE33F19C}" name="Column4559"/>
    <tableColumn id="4587" xr3:uid="{4F89003E-88A5-457F-B1AC-E42BA4920A64}" name="Column4560"/>
    <tableColumn id="4588" xr3:uid="{03AEFA06-7C96-4C72-AFDB-A181CD54038F}" name="Column4561"/>
    <tableColumn id="4589" xr3:uid="{89B36FE7-A255-4F81-91D3-E0FA5999BA89}" name="Column4562"/>
    <tableColumn id="4590" xr3:uid="{3CBC031B-D4CA-4E8F-A614-3588A8D06273}" name="Column4563"/>
    <tableColumn id="4591" xr3:uid="{4EE8FD59-8A80-4986-BB34-4337D75E4EB9}" name="Column4564"/>
    <tableColumn id="4592" xr3:uid="{80E1B929-253C-4E50-B3E1-4A0AB59AC740}" name="Column4565"/>
    <tableColumn id="4593" xr3:uid="{4856504E-A3D9-4B76-9CCC-23824044D674}" name="Column4566"/>
    <tableColumn id="4594" xr3:uid="{EBD142C2-3794-4DAA-B5AC-3007E7011DF5}" name="Column4567"/>
    <tableColumn id="4595" xr3:uid="{72ECC383-6067-46A6-B897-E288784D6F46}" name="Column4568"/>
    <tableColumn id="4596" xr3:uid="{B00C7A78-095C-4113-8BEE-1237877E06B1}" name="Column4569"/>
    <tableColumn id="4597" xr3:uid="{D58F054A-1532-489C-98EC-EA20250986CB}" name="Column4570"/>
    <tableColumn id="4598" xr3:uid="{3FE14C6A-63E8-4F0E-B5CF-E0D12891DDA3}" name="Column4571"/>
    <tableColumn id="4599" xr3:uid="{B1691645-5872-45E4-813F-42246D1DC521}" name="Column4572"/>
    <tableColumn id="4600" xr3:uid="{4AE68276-F24A-432A-9B6D-8BC9B230F822}" name="Column4573"/>
    <tableColumn id="4601" xr3:uid="{FDDF2234-0B3B-48FA-AE37-448934548789}" name="Column4574"/>
    <tableColumn id="4602" xr3:uid="{84EB664A-81C5-4872-AD10-70ABF45A4077}" name="Column4575"/>
    <tableColumn id="4603" xr3:uid="{E2A54F15-5149-494F-9195-ADB8397B8A1D}" name="Column4576"/>
    <tableColumn id="4604" xr3:uid="{66C3EFD9-E51C-4387-84D4-126C247A1C5D}" name="Column4577"/>
    <tableColumn id="4605" xr3:uid="{8F8E5762-7397-439E-9F05-BB7E68FCCAF6}" name="Column4578"/>
    <tableColumn id="4606" xr3:uid="{FA7DBF26-AB48-40AE-A443-6D15021277C8}" name="Column4579"/>
    <tableColumn id="4607" xr3:uid="{5D27CF80-B1B0-4983-8661-2346D63C4617}" name="Column4580"/>
    <tableColumn id="4608" xr3:uid="{714FFBC7-6F67-49CC-88D5-8E9F06F6EFFC}" name="Column4581"/>
    <tableColumn id="4609" xr3:uid="{5F76C118-A848-4ACF-90A6-48926ADA81E6}" name="Column4582"/>
    <tableColumn id="4610" xr3:uid="{BD9E1609-66FB-4DB4-BECA-FF6EA68C6B1B}" name="Column4583"/>
    <tableColumn id="4611" xr3:uid="{868FE871-D862-4252-B666-F4AD387C99E3}" name="Column4584"/>
    <tableColumn id="4612" xr3:uid="{06E32D48-995F-4546-BE3C-A962E0B476B9}" name="Column4585"/>
    <tableColumn id="4613" xr3:uid="{F6708271-E4D6-409E-AB04-CDB5BCBE9272}" name="Column4586"/>
    <tableColumn id="4614" xr3:uid="{3AA5AC70-0438-4792-ACDD-D3982C97BAF5}" name="Column4587"/>
    <tableColumn id="4615" xr3:uid="{D46E341C-EAC7-43C0-8F4E-BD2DA1645B1A}" name="Column4588"/>
    <tableColumn id="4616" xr3:uid="{32D582A6-2892-4680-A743-49A5521AC263}" name="Column4589"/>
    <tableColumn id="4617" xr3:uid="{9EA3B728-8EBA-423C-997C-E76699952E9E}" name="Column4590"/>
    <tableColumn id="4618" xr3:uid="{5E3A9C3E-90B5-4559-ACA7-24A5B6B66257}" name="Column4591"/>
    <tableColumn id="4619" xr3:uid="{38CE52AC-3565-44EB-85B5-77C02B19717C}" name="Column4592"/>
    <tableColumn id="4620" xr3:uid="{28307089-A95F-4D09-B616-3FC2D72394A7}" name="Column4593"/>
    <tableColumn id="4621" xr3:uid="{45C3DDF8-8F15-434A-AE5A-348304F7E1BF}" name="Column4594"/>
    <tableColumn id="4622" xr3:uid="{C57669B0-3E84-4785-BAA5-71A20BAE6592}" name="Column4595"/>
    <tableColumn id="4623" xr3:uid="{F5F3737C-5426-4CF1-960C-05E10B23F08C}" name="Column4596"/>
    <tableColumn id="4624" xr3:uid="{863DEEAD-ABBA-472E-8980-8C0B15D3A370}" name="Column4597"/>
    <tableColumn id="4625" xr3:uid="{2DF22EAF-CA7C-4E35-93EA-AB98D25E25D5}" name="Column4598"/>
    <tableColumn id="4626" xr3:uid="{A3D9CC23-0547-4621-8C99-F08F5BB6BF16}" name="Column4599"/>
    <tableColumn id="4627" xr3:uid="{E9BAF809-DEDA-421A-B6AD-F2D1C594212E}" name="Column4600"/>
    <tableColumn id="4628" xr3:uid="{54D371A6-46EF-422B-9831-B62B7459F56D}" name="Column4601"/>
    <tableColumn id="4629" xr3:uid="{D69A2252-B5F3-42C2-BCBC-C470E89CFF0B}" name="Column4602"/>
    <tableColumn id="4630" xr3:uid="{B24188E6-0386-434B-9068-F58A8C352E60}" name="Column4603"/>
    <tableColumn id="4631" xr3:uid="{5FBD8DF0-3B3C-4EAD-B0A1-29BE06B10A06}" name="Column4604"/>
    <tableColumn id="4632" xr3:uid="{E6DCF076-8026-413D-A445-7B5EADDE5525}" name="Column4605"/>
    <tableColumn id="4633" xr3:uid="{82B3B357-5838-48E0-B73E-6CEB6D61D80A}" name="Column4606"/>
    <tableColumn id="4634" xr3:uid="{F12BBD56-C75F-4ECF-8193-197D703791FA}" name="Column4607"/>
    <tableColumn id="4635" xr3:uid="{3AF81F77-AB5F-422A-9D5A-FE8D7810BCA8}" name="Column4608"/>
    <tableColumn id="4636" xr3:uid="{B0ECEABC-A047-4840-80AB-D0F82631D35D}" name="Column4609"/>
    <tableColumn id="4637" xr3:uid="{7CFCFE91-DA31-4C2E-AB93-55DDB0AD18EF}" name="Column4610"/>
    <tableColumn id="4638" xr3:uid="{1442BA7D-ADF3-4D34-9D8F-2F97F65E10C7}" name="Column4611"/>
    <tableColumn id="4639" xr3:uid="{BA62154F-D1C9-468E-911B-4609BBA829C6}" name="Column4612"/>
    <tableColumn id="4640" xr3:uid="{435F03F1-AD45-4295-BF9B-5368CDCD4E9C}" name="Column4613"/>
    <tableColumn id="4641" xr3:uid="{4EAA01DD-2082-48E2-AE17-FEBCF24245F6}" name="Column4614"/>
    <tableColumn id="4642" xr3:uid="{23D133FA-9367-4A31-9CAC-79A2A15E7C4E}" name="Column4615"/>
    <tableColumn id="4643" xr3:uid="{7967FD8A-ADC3-43CA-98CD-DC8D8CC30E99}" name="Column4616"/>
    <tableColumn id="4644" xr3:uid="{3F94E14E-0F86-40E2-AF33-A6908E354E7C}" name="Column4617"/>
    <tableColumn id="4645" xr3:uid="{0A4646AE-0503-4E58-A8A9-9E8D0A5DEA88}" name="Column4618"/>
    <tableColumn id="4646" xr3:uid="{7CDB0ABA-BAC9-432D-840E-46694C55D793}" name="Column4619"/>
    <tableColumn id="4647" xr3:uid="{7F315F9D-6E29-4A0C-990B-67D4B2955FEE}" name="Column4620"/>
    <tableColumn id="4648" xr3:uid="{535654DC-9959-4784-9394-0DB7067FE9FC}" name="Column4621"/>
    <tableColumn id="4649" xr3:uid="{9CFCF7B0-4451-4A9E-90BE-CEF73F4161DA}" name="Column4622"/>
    <tableColumn id="4650" xr3:uid="{072568B9-E776-4F03-AAD3-65BC60A8A288}" name="Column4623"/>
    <tableColumn id="4651" xr3:uid="{F7B70BDE-C57F-4954-B454-9A4D328C47A0}" name="Column4624"/>
    <tableColumn id="4652" xr3:uid="{510BB9D9-8BED-4CBE-B918-C527040440EB}" name="Column4625"/>
    <tableColumn id="4653" xr3:uid="{BA025857-409F-4065-AA96-0F6E3B219047}" name="Column4626"/>
    <tableColumn id="4654" xr3:uid="{C8ECD674-68AB-477F-B52E-9E8EB2B4790D}" name="Column4627"/>
    <tableColumn id="4655" xr3:uid="{EF9F9938-3172-4423-811D-20953DB7EB87}" name="Column4628"/>
    <tableColumn id="4656" xr3:uid="{A645EFAC-7220-4A1A-8F9A-AE78CD67988A}" name="Column4629"/>
    <tableColumn id="4657" xr3:uid="{600BF7F6-0BD4-41A3-A3E9-7EE4DAA71BDC}" name="Column4630"/>
    <tableColumn id="4658" xr3:uid="{A4571A3A-19A3-405A-BC04-7067D58C4620}" name="Column4631"/>
    <tableColumn id="4659" xr3:uid="{F47F8296-F917-4D1B-A70D-C8E27DA72A44}" name="Column4632"/>
    <tableColumn id="4660" xr3:uid="{860F106C-70F1-463A-91DC-5D02881C841C}" name="Column4633"/>
    <tableColumn id="4661" xr3:uid="{953AA378-549B-4B43-A6E9-0F2EA77103AA}" name="Column4634"/>
    <tableColumn id="4662" xr3:uid="{2669EB31-4017-4E05-A51E-255E99A10673}" name="Column4635"/>
    <tableColumn id="4663" xr3:uid="{ABE116D8-1F78-4934-BB40-048A8A13DBE7}" name="Column4636"/>
    <tableColumn id="4664" xr3:uid="{98DBA52E-2C64-458A-8043-95231CF7C330}" name="Column4637"/>
    <tableColumn id="4665" xr3:uid="{9445B9A8-4692-42E3-9422-73E2D65CDB42}" name="Column4638"/>
    <tableColumn id="4666" xr3:uid="{232550B7-F2FC-4786-BCDE-F1A3E699913B}" name="Column4639"/>
    <tableColumn id="4667" xr3:uid="{FCEB1490-EF95-4C82-8C8D-6D099B0E52C8}" name="Column4640"/>
    <tableColumn id="4668" xr3:uid="{49EF6062-47BC-4927-A189-41AD2602C05F}" name="Column4641"/>
    <tableColumn id="4669" xr3:uid="{181BA041-A00C-46BD-9894-2B9F3C3AD696}" name="Column4642"/>
    <tableColumn id="4670" xr3:uid="{E460E789-B39C-40E4-86DE-7A3ECCB49055}" name="Column4643"/>
    <tableColumn id="4671" xr3:uid="{650FB0F4-1988-4BAD-A3F1-8CBAF9D49E7A}" name="Column4644"/>
    <tableColumn id="4672" xr3:uid="{06110C46-DC51-49AB-A839-F4E3B8E034F2}" name="Column4645"/>
    <tableColumn id="4673" xr3:uid="{6F47E01C-DABA-4785-A6E6-DFD5F9C32FA6}" name="Column4646"/>
    <tableColumn id="4674" xr3:uid="{C08D22A7-EA13-43F7-BBE2-0A731E4E9FA4}" name="Column4647"/>
    <tableColumn id="4675" xr3:uid="{707388BD-432F-46E6-A5AD-E0E62DEB044F}" name="Column4648"/>
    <tableColumn id="4676" xr3:uid="{81C687ED-4230-4C0E-83C6-E52F38D4E961}" name="Column4649"/>
    <tableColumn id="4677" xr3:uid="{1AE38D9D-5AF4-4344-B489-ECEE6A792254}" name="Column4650"/>
    <tableColumn id="4678" xr3:uid="{BC7BBB7E-AB1B-408D-A1CC-E8B70C738055}" name="Column4651"/>
    <tableColumn id="4679" xr3:uid="{E7DB20C9-9CC8-4776-BE43-5DF39C46F1F0}" name="Column4652"/>
    <tableColumn id="4680" xr3:uid="{1EEC69CD-F263-4FD8-B670-277E69ED115D}" name="Column4653"/>
    <tableColumn id="4681" xr3:uid="{EE67A47E-7B6D-430E-BFA4-20374FB468EE}" name="Column4654"/>
    <tableColumn id="4682" xr3:uid="{FA00B3EB-ADC7-4075-B316-EBA7F91F25E7}" name="Column4655"/>
    <tableColumn id="4683" xr3:uid="{C1006288-BF34-418D-9B6F-C65F43918855}" name="Column4656"/>
    <tableColumn id="4684" xr3:uid="{170C0F80-3AFD-4A52-970D-C0B3C271D599}" name="Column4657"/>
    <tableColumn id="4685" xr3:uid="{9B4CADE8-3030-46F2-9272-B5E53F3CD7AA}" name="Column4658"/>
    <tableColumn id="4686" xr3:uid="{80AF16CB-24A8-44E1-AE23-D2EA71C9E986}" name="Column4659"/>
    <tableColumn id="4687" xr3:uid="{DDF18F20-F3D6-441D-8555-BDE69E1C3485}" name="Column4660"/>
    <tableColumn id="4688" xr3:uid="{9462F5F8-674B-421A-A4C0-251DE25E33EB}" name="Column4661"/>
    <tableColumn id="4689" xr3:uid="{C8AB6E21-4B5D-4F12-922B-CBC15C3B1EE5}" name="Column4662"/>
    <tableColumn id="4690" xr3:uid="{9873234E-9659-442D-90B5-9196AE94A1D4}" name="Column4663"/>
    <tableColumn id="4691" xr3:uid="{0ED306FC-4D91-4C15-954A-E87A5A8A9064}" name="Column4664"/>
    <tableColumn id="4692" xr3:uid="{2EBB36A8-D189-4B16-B07D-8AFB5C136E02}" name="Column4665"/>
    <tableColumn id="4693" xr3:uid="{71F5E453-3E6C-4703-A399-26B5AA436398}" name="Column4666"/>
    <tableColumn id="4694" xr3:uid="{66780070-5C18-41C5-9B61-8FEF365D112F}" name="Column4667"/>
    <tableColumn id="4695" xr3:uid="{9C86261C-6B7D-4007-98DA-91DDDDE3791E}" name="Column4668"/>
    <tableColumn id="4696" xr3:uid="{97433E69-15A1-47F2-BB79-8F54040877A8}" name="Column4669"/>
    <tableColumn id="4697" xr3:uid="{425E9CB1-84B0-4013-BA41-3DD1C51C80B3}" name="Column4670"/>
    <tableColumn id="4698" xr3:uid="{9E872210-BC23-47A6-97E9-9E738D69AD04}" name="Column4671"/>
    <tableColumn id="4699" xr3:uid="{46BF2E43-EDEF-46DE-BC21-F6F78B407F09}" name="Column4672"/>
    <tableColumn id="4700" xr3:uid="{5D6DBFC2-BE06-4D65-981E-E2A61FE8C454}" name="Column4673"/>
    <tableColumn id="4701" xr3:uid="{08870397-C6B9-47A5-8301-34EECC38B65A}" name="Column4674"/>
    <tableColumn id="4702" xr3:uid="{6AB617F5-9214-452F-8526-07CBCD7F2DAE}" name="Column4675"/>
    <tableColumn id="4703" xr3:uid="{A719BA58-4EC2-4E29-91B1-8CA8F7F0B67D}" name="Column4676"/>
    <tableColumn id="4704" xr3:uid="{9F738FDA-79E6-4E84-8EDF-826A78C6B1B9}" name="Column4677"/>
    <tableColumn id="4705" xr3:uid="{1D9C21A2-8F19-4812-B40C-B27B0AA1EA06}" name="Column4678"/>
    <tableColumn id="4706" xr3:uid="{49F9D077-8443-4D19-9661-78D747095936}" name="Column4679"/>
    <tableColumn id="4707" xr3:uid="{14459B3C-769A-4210-8B96-F9AD4A0056AE}" name="Column4680"/>
    <tableColumn id="4708" xr3:uid="{2C3F12BB-2320-4ED1-8F2D-B7E2740CC22E}" name="Column4681"/>
    <tableColumn id="4709" xr3:uid="{121C936D-E4B1-45BC-AB0D-C54FF8C181B6}" name="Column4682"/>
    <tableColumn id="4710" xr3:uid="{23C0A795-0D15-4265-A60D-217CACAFB7DE}" name="Column4683"/>
    <tableColumn id="4711" xr3:uid="{0CE39EA4-A642-48CE-B97B-ACB5A4DE64F0}" name="Column4684"/>
    <tableColumn id="4712" xr3:uid="{3F94FE1A-EE05-4CF2-8E73-AC19271BE48C}" name="Column4685"/>
    <tableColumn id="4713" xr3:uid="{9F90D1CE-9421-4F66-A3FA-A9F716596176}" name="Column4686"/>
    <tableColumn id="4714" xr3:uid="{731BCD23-9627-4932-8DB5-BF0B5A9810FE}" name="Column4687"/>
    <tableColumn id="4715" xr3:uid="{16C33F4B-DB14-4223-8C00-A14CA6FCE037}" name="Column4688"/>
    <tableColumn id="4716" xr3:uid="{00BEBAB4-48D4-46F0-AAF4-46E42AEEC657}" name="Column4689"/>
    <tableColumn id="4717" xr3:uid="{E09FA5C2-DA61-4005-BB9C-EF484F27B5BB}" name="Column4690"/>
    <tableColumn id="4718" xr3:uid="{0430D46D-62C4-4E98-B0C9-612A9E9D4456}" name="Column4691"/>
    <tableColumn id="4719" xr3:uid="{8EC52FE4-B5D7-44F8-A183-A2FDBD9B07E2}" name="Column4692"/>
    <tableColumn id="4720" xr3:uid="{E325A5FF-43DD-4BA0-B757-06CD26D4069C}" name="Column4693"/>
    <tableColumn id="4721" xr3:uid="{6B047236-678D-4ECA-BC87-1B9345F5EF20}" name="Column4694"/>
    <tableColumn id="4722" xr3:uid="{0191267B-A4FA-4EFE-8F0B-4B5678A9EE66}" name="Column4695"/>
    <tableColumn id="4723" xr3:uid="{7965988C-2A85-493B-A7F7-8EBAA5344DDB}" name="Column4696"/>
    <tableColumn id="4724" xr3:uid="{60A14957-027D-4454-BE49-36D6A8354B16}" name="Column4697"/>
    <tableColumn id="4725" xr3:uid="{8227F40F-A5A6-416B-AD09-3C4A82340C2C}" name="Column4698"/>
    <tableColumn id="4726" xr3:uid="{786E16AF-A100-453B-8850-ED9942368613}" name="Column4699"/>
    <tableColumn id="4727" xr3:uid="{031C0B4F-7B89-404A-A178-E637BC26683F}" name="Column4700"/>
    <tableColumn id="4728" xr3:uid="{929DA397-F57D-4FC2-B87D-D439A48CC22F}" name="Column4701"/>
    <tableColumn id="4729" xr3:uid="{6B5A1BD7-C959-4E2B-B15E-8295B15FC422}" name="Column4702"/>
    <tableColumn id="4730" xr3:uid="{70AA18C5-6A82-44F0-8EAF-382BA02A905B}" name="Column4703"/>
    <tableColumn id="4731" xr3:uid="{9FBE5CF1-DB43-45A6-BA49-97926F7E52A9}" name="Column4704"/>
    <tableColumn id="4732" xr3:uid="{751124DF-E157-4668-A825-8D7B073B1D92}" name="Column4705"/>
    <tableColumn id="4733" xr3:uid="{D7960BB3-E6B1-47BE-BB77-602B46768066}" name="Column4706"/>
    <tableColumn id="4734" xr3:uid="{1C50C3E4-E556-4085-8810-91AEF6477725}" name="Column4707"/>
    <tableColumn id="4735" xr3:uid="{B3858405-AA39-4A50-BD7B-B56C42AD22DE}" name="Column4708"/>
    <tableColumn id="4736" xr3:uid="{2CCA7206-4690-4582-A43C-F2D5709E0AC3}" name="Column4709"/>
    <tableColumn id="4737" xr3:uid="{FA3DF3DB-7378-44E6-BAAD-8E11EC1F96AD}" name="Column4710"/>
    <tableColumn id="4738" xr3:uid="{D354C508-DDFB-4CAC-98A4-6A01E28EB499}" name="Column4711"/>
    <tableColumn id="4739" xr3:uid="{99D83D8E-FD81-4060-8772-10402B65AD7E}" name="Column4712"/>
    <tableColumn id="4740" xr3:uid="{0C6861A4-564F-405D-AC35-A169F859414A}" name="Column4713"/>
    <tableColumn id="4741" xr3:uid="{0D2BFE0E-9DC2-49F8-9725-D8194DF5CF74}" name="Column4714"/>
    <tableColumn id="4742" xr3:uid="{6E34566E-CF44-4916-AE40-88A7FD59DA87}" name="Column4715"/>
    <tableColumn id="4743" xr3:uid="{E5E21268-A3D0-4132-92BD-E5ECB5A0F31C}" name="Column4716"/>
    <tableColumn id="4744" xr3:uid="{19366B37-6DB3-4379-AD72-3FEAAE068FD2}" name="Column4717"/>
    <tableColumn id="4745" xr3:uid="{7C226995-AF1D-4E1B-ADED-A58E533AB7A9}" name="Column4718"/>
    <tableColumn id="4746" xr3:uid="{BE945367-47DB-4C6D-AB63-118E07FA5C2E}" name="Column4719"/>
    <tableColumn id="4747" xr3:uid="{EFE18A8A-EC43-4AE9-B80C-1C694F00E65D}" name="Column4720"/>
    <tableColumn id="4748" xr3:uid="{1B2FB421-38E2-4C51-9A74-7A71FCAFC3A1}" name="Column4721"/>
    <tableColumn id="4749" xr3:uid="{53442394-4434-4FCF-835E-90545CB6B1F1}" name="Column4722"/>
    <tableColumn id="4750" xr3:uid="{7647B5F7-D7D2-4401-9034-51F40E9BF79B}" name="Column4723"/>
    <tableColumn id="4751" xr3:uid="{9A43168E-815F-4069-B0C1-BAC03BA29851}" name="Column4724"/>
    <tableColumn id="4752" xr3:uid="{E134A23D-9655-4E6C-B05E-58236DD4F1DF}" name="Column4725"/>
    <tableColumn id="4753" xr3:uid="{FD47CF8C-8A99-4876-82D6-F2E164463083}" name="Column4726"/>
    <tableColumn id="4754" xr3:uid="{1E5EAA6D-7849-41DF-8CF6-8DE2DDC9085F}" name="Column4727"/>
    <tableColumn id="4755" xr3:uid="{4C8F497A-7B41-4D6C-928F-83985FAD0306}" name="Column4728"/>
    <tableColumn id="4756" xr3:uid="{FF7DD7E5-4C1C-4F07-926E-DB4206E6E69D}" name="Column4729"/>
    <tableColumn id="4757" xr3:uid="{770037AE-6D84-4F1C-AE66-AC0EFF4E2B9A}" name="Column4730"/>
    <tableColumn id="4758" xr3:uid="{924C77CB-6899-4807-A03D-1451A544E165}" name="Column4731"/>
    <tableColumn id="4759" xr3:uid="{06AA1699-C699-49DB-8B07-0604CFA47E56}" name="Column4732"/>
    <tableColumn id="4760" xr3:uid="{CF205210-5ADC-4E59-98DD-593266EDD006}" name="Column4733"/>
    <tableColumn id="4761" xr3:uid="{1BD10397-49B8-4FF6-A542-0783608C2A77}" name="Column4734"/>
    <tableColumn id="4762" xr3:uid="{0936594C-BAA6-4E49-8021-6A1002022A33}" name="Column4735"/>
    <tableColumn id="4763" xr3:uid="{02EF68CC-55B7-4CA2-8694-F8C4BE2EA7DC}" name="Column4736"/>
    <tableColumn id="4764" xr3:uid="{E9E1884D-FE3A-49AF-B6CB-F025D81A179D}" name="Column4737"/>
    <tableColumn id="4765" xr3:uid="{17B16CE2-9D40-4E16-A0AD-518E9C2FBCEB}" name="Column4738"/>
    <tableColumn id="4766" xr3:uid="{10568D8B-E4DE-4864-B8D3-1AD3A3917A81}" name="Column4739"/>
    <tableColumn id="4767" xr3:uid="{6161BFED-524A-4655-AA9F-C4001723D2C7}" name="Column4740"/>
    <tableColumn id="4768" xr3:uid="{959032AF-66D8-4B22-8578-9748B60F6926}" name="Column4741"/>
    <tableColumn id="4769" xr3:uid="{A7B59A65-37E3-433E-8634-86C6CFE985E9}" name="Column4742"/>
    <tableColumn id="4770" xr3:uid="{9ABD57FE-8E16-41E6-9E1B-89721B892642}" name="Column4743"/>
    <tableColumn id="4771" xr3:uid="{63D545CE-7D6B-45AC-8904-C454E36EC120}" name="Column4744"/>
    <tableColumn id="4772" xr3:uid="{8BEF40FE-D3CE-42A8-8B60-00838C1C31BF}" name="Column4745"/>
    <tableColumn id="4773" xr3:uid="{357EEF3B-39C6-4C73-BB13-BB1F81A3BF7F}" name="Column4746"/>
    <tableColumn id="4774" xr3:uid="{009B5F2C-DB7C-4D38-9962-C0A7FFB0E95B}" name="Column4747"/>
    <tableColumn id="4775" xr3:uid="{C2301442-3051-4A6F-8289-9E7B42A7A657}" name="Column4748"/>
    <tableColumn id="4776" xr3:uid="{412854C9-37E7-48DD-B606-053DD6B936D8}" name="Column4749"/>
    <tableColumn id="4777" xr3:uid="{FDC6D7C2-AF98-4770-93CA-6153154F767A}" name="Column4750"/>
    <tableColumn id="4778" xr3:uid="{9D4E7056-3639-42E2-A133-917BEE11AE41}" name="Column4751"/>
    <tableColumn id="4779" xr3:uid="{771179E7-4591-4E9E-95D8-7CC16D9A6E3E}" name="Column4752"/>
    <tableColumn id="4780" xr3:uid="{2144DF1C-3206-4EE4-B3DC-4714D03BF7CA}" name="Column4753"/>
    <tableColumn id="4781" xr3:uid="{109E0498-CE64-44FF-AF34-079433A12DB6}" name="Column4754"/>
    <tableColumn id="4782" xr3:uid="{1F9A12B0-E3F2-4220-A0B2-FE04856AE3B5}" name="Column4755"/>
    <tableColumn id="4783" xr3:uid="{727CC83A-41F3-4FB3-9DBA-6378563E39C3}" name="Column4756"/>
    <tableColumn id="4784" xr3:uid="{37506264-4F27-496D-AA46-EDFDF3CE83CA}" name="Column4757"/>
    <tableColumn id="4785" xr3:uid="{F4910743-1FA6-45A5-A457-78EF95E67B46}" name="Column4758"/>
    <tableColumn id="4786" xr3:uid="{52C71FF1-BCAE-4422-9566-7D5C349A9CB9}" name="Column4759"/>
    <tableColumn id="4787" xr3:uid="{020CDFCF-0D2F-4FA9-B0B3-3A5F09FEB541}" name="Column4760"/>
    <tableColumn id="4788" xr3:uid="{765F24CC-C712-49C1-AD89-D74208A29398}" name="Column4761"/>
    <tableColumn id="4789" xr3:uid="{B6537C10-499B-4E2C-A26D-6E9D2458EE21}" name="Column4762"/>
    <tableColumn id="4790" xr3:uid="{48C2D709-6058-4A4C-B28F-E108887CC9A5}" name="Column4763"/>
    <tableColumn id="4791" xr3:uid="{83AEA1CE-B3BF-4876-B0D0-0B9883C91739}" name="Column4764"/>
    <tableColumn id="4792" xr3:uid="{9EB57679-36E5-4785-BEF0-F5265A715CEC}" name="Column4765"/>
    <tableColumn id="4793" xr3:uid="{29DA7441-327A-4311-BFA2-884B1801E9BA}" name="Column4766"/>
    <tableColumn id="4794" xr3:uid="{2B88893B-FF20-4A59-B474-03DA716A6A88}" name="Column4767"/>
    <tableColumn id="4795" xr3:uid="{FE0D9668-267F-4F8C-B0B6-9FCF362D0C02}" name="Column4768"/>
    <tableColumn id="4796" xr3:uid="{9DF01DC9-0F19-46C3-A4E4-D9596EE21AF5}" name="Column4769"/>
    <tableColumn id="4797" xr3:uid="{8BB8DA20-F977-43DC-AEB9-8FAB343210A5}" name="Column4770"/>
    <tableColumn id="4798" xr3:uid="{02653701-BAFE-40F6-9EB9-9F36B08510F2}" name="Column4771"/>
    <tableColumn id="4799" xr3:uid="{4EC5FFFF-1EA4-4259-AC3D-52D10FBF055E}" name="Column4772"/>
    <tableColumn id="4800" xr3:uid="{97D9C8A9-D8B4-414E-93A4-1ADDE839A0D5}" name="Column4773"/>
    <tableColumn id="4801" xr3:uid="{7CB8D776-08F1-4883-9A5B-1217F8EDD3B9}" name="Column4774"/>
    <tableColumn id="4802" xr3:uid="{8B7C0781-32F4-4E63-A92B-4D1925C355C9}" name="Column4775"/>
    <tableColumn id="4803" xr3:uid="{402B419B-E04D-4F08-B18B-3A58DBDF02CD}" name="Column4776"/>
    <tableColumn id="4804" xr3:uid="{0DDBD736-CE49-4975-B199-1DD567C77D26}" name="Column4777"/>
    <tableColumn id="4805" xr3:uid="{73BEB01A-33C3-445B-BCC6-547E9C8B29B1}" name="Column4778"/>
    <tableColumn id="4806" xr3:uid="{21709933-B106-4B12-B469-86A3EA0C4CB7}" name="Column4779"/>
    <tableColumn id="4807" xr3:uid="{D1BB8B18-C8EB-44A4-9A35-94754F9C334C}" name="Column4780"/>
    <tableColumn id="4808" xr3:uid="{9E4E3E38-8599-446E-9956-0AC15097BA6F}" name="Column4781"/>
    <tableColumn id="4809" xr3:uid="{18C48FDA-968C-44A6-A19B-6133A0642C30}" name="Column4782"/>
    <tableColumn id="4810" xr3:uid="{3C402C03-B2AE-440A-B648-9D99CF8DC1F1}" name="Column4783"/>
    <tableColumn id="4811" xr3:uid="{DFB1CE22-9390-407F-B55C-FB5EFEDF78CD}" name="Column4784"/>
    <tableColumn id="4812" xr3:uid="{A626069A-8E05-4DF3-BE40-12A6783DB997}" name="Column4785"/>
    <tableColumn id="4813" xr3:uid="{2079979D-F541-48E4-B55D-A3763D6285FD}" name="Column4786"/>
    <tableColumn id="4814" xr3:uid="{16EB807A-7B73-40B6-8B39-451F6153E4C0}" name="Column4787"/>
    <tableColumn id="4815" xr3:uid="{7A87D71B-C7EB-47BE-AB02-20EC9E560123}" name="Column4788"/>
    <tableColumn id="4816" xr3:uid="{1A46D895-0E9D-4DAD-826D-21729F1F1848}" name="Column4789"/>
    <tableColumn id="4817" xr3:uid="{7295C8C8-37A5-4DAE-9D3E-D846FFCD7DE7}" name="Column4790"/>
    <tableColumn id="4818" xr3:uid="{4E3737A9-B4F8-4090-9DD8-6A89009C5466}" name="Column4791"/>
    <tableColumn id="4819" xr3:uid="{9B0C4944-D299-47F8-85AB-C9798C6B1171}" name="Column4792"/>
    <tableColumn id="4820" xr3:uid="{BDE1CEAE-5C47-4889-9B25-D83E5EF9861C}" name="Column4793"/>
    <tableColumn id="4821" xr3:uid="{59AE64A9-4384-418C-8950-673ED1E30422}" name="Column4794"/>
    <tableColumn id="4822" xr3:uid="{B653D401-74CF-41BC-BB6A-90A1DEC58C7A}" name="Column4795"/>
    <tableColumn id="4823" xr3:uid="{2CB7B156-C05B-40BE-9203-1277A8B2BAE8}" name="Column4796"/>
    <tableColumn id="4824" xr3:uid="{F852C3A4-B454-432C-9762-B9A20F15733C}" name="Column4797"/>
    <tableColumn id="4825" xr3:uid="{D119647C-25D7-4287-99C2-5FA672CF355E}" name="Column4798"/>
    <tableColumn id="4826" xr3:uid="{1BAA2142-A2C9-4474-8E6F-B8700859FBA4}" name="Column4799"/>
    <tableColumn id="4827" xr3:uid="{7BB95D90-629C-4C6B-915B-45C5C5728FC5}" name="Column4800"/>
    <tableColumn id="4828" xr3:uid="{AE942800-A96F-4CF9-9999-261B579F78C6}" name="Column4801"/>
    <tableColumn id="4829" xr3:uid="{55B46A5E-5582-4271-B8CC-D372FE8D3023}" name="Column4802"/>
    <tableColumn id="4830" xr3:uid="{B70B5F1C-5206-48E8-8806-9628CE455B05}" name="Column4803"/>
    <tableColumn id="4831" xr3:uid="{66DD01F2-4543-4338-80D1-B25DDDDB847D}" name="Column4804"/>
    <tableColumn id="4832" xr3:uid="{897F66FF-F29C-4AC3-9B0C-1E16E64A972D}" name="Column4805"/>
    <tableColumn id="4833" xr3:uid="{78B67F58-5FE9-4422-B21B-148BE2572BAC}" name="Column4806"/>
    <tableColumn id="4834" xr3:uid="{C69E7389-08AD-43B5-B99D-4B69319D256D}" name="Column4807"/>
    <tableColumn id="4835" xr3:uid="{6E827D91-BA09-42E6-BF52-B0106B4ECD8A}" name="Column4808"/>
    <tableColumn id="4836" xr3:uid="{2AABB4EC-4A13-433E-95A8-5C32544FE7B1}" name="Column4809"/>
    <tableColumn id="4837" xr3:uid="{4596FA0B-BC7C-44FA-98BB-AB3F037D4EE0}" name="Column4810"/>
    <tableColumn id="4838" xr3:uid="{14FE3728-90BF-4B06-876B-9BA22EF2B7E5}" name="Column4811"/>
    <tableColumn id="4839" xr3:uid="{C2EE0EBD-B27E-47B7-BA08-C8DFC48B2F9B}" name="Column4812"/>
    <tableColumn id="4840" xr3:uid="{9E957E4A-D6C5-48F4-810F-58DE205E3B35}" name="Column4813"/>
    <tableColumn id="4841" xr3:uid="{35EA9C3A-10A6-40C5-9EE1-A0F37AF46DC8}" name="Column4814"/>
    <tableColumn id="4842" xr3:uid="{5A36D99F-866D-485C-9DE0-D7513606C95F}" name="Column4815"/>
    <tableColumn id="4843" xr3:uid="{21AF4AD3-C114-4CC9-9DC6-CCCF41B1DF27}" name="Column4816"/>
    <tableColumn id="4844" xr3:uid="{D519A0F7-2294-4645-BB67-3ED8AAF98841}" name="Column4817"/>
    <tableColumn id="4845" xr3:uid="{095FCABD-B5A2-40B4-86DF-2BC5B6916E60}" name="Column4818"/>
    <tableColumn id="4846" xr3:uid="{34EC5339-3E8C-48BE-BB65-F62E952C375B}" name="Column4819"/>
    <tableColumn id="4847" xr3:uid="{8CD97780-0D9A-474D-8175-D5C8BF210993}" name="Column4820"/>
    <tableColumn id="4848" xr3:uid="{DA948B3C-1463-4AFD-A282-9673DEFDF552}" name="Column4821"/>
    <tableColumn id="4849" xr3:uid="{1FF97DF4-8D6C-4524-85C0-505264630E90}" name="Column4822"/>
    <tableColumn id="4850" xr3:uid="{8B8490C9-7EAA-4D47-96C9-3B2DA2E44668}" name="Column4823"/>
    <tableColumn id="4851" xr3:uid="{A3215B83-3327-4DDD-B2EE-3BA49CCFEF3E}" name="Column4824"/>
    <tableColumn id="4852" xr3:uid="{DF8592B2-1C81-4429-AFBD-D3BEF3B76AC2}" name="Column4825"/>
    <tableColumn id="4853" xr3:uid="{DEE27F6F-CE58-4E0F-A391-C02D81A6529D}" name="Column4826"/>
    <tableColumn id="4854" xr3:uid="{E3F9752B-510B-467F-9D5C-FD6DBA36ACCB}" name="Column4827"/>
    <tableColumn id="4855" xr3:uid="{2309F942-736A-4964-92BE-67071BBB313B}" name="Column4828"/>
    <tableColumn id="4856" xr3:uid="{DB821276-A182-4308-9DDA-B238568FDBAA}" name="Column4829"/>
    <tableColumn id="4857" xr3:uid="{F9A095CA-3826-428C-86BB-E2D96B767967}" name="Column4830"/>
    <tableColumn id="4858" xr3:uid="{2D87BC63-661F-4246-8ACE-51A9BE8C9B8E}" name="Column4831"/>
    <tableColumn id="4859" xr3:uid="{147692DF-BED5-45A3-915E-3F867D9E6310}" name="Column4832"/>
    <tableColumn id="4860" xr3:uid="{AEE68082-A11F-4771-ABDC-E82B39FE851D}" name="Column4833"/>
    <tableColumn id="4861" xr3:uid="{2F792861-DC48-41B7-93C7-143428E5BB9B}" name="Column4834"/>
    <tableColumn id="4862" xr3:uid="{A82B090B-C2DA-4848-A305-445CC40E765A}" name="Column4835"/>
    <tableColumn id="4863" xr3:uid="{EEE99942-8DFF-4F9A-98AA-397C6DF9684E}" name="Column4836"/>
    <tableColumn id="4864" xr3:uid="{AE8E4479-F185-446E-A7AA-8613B950EECB}" name="Column4837"/>
    <tableColumn id="4865" xr3:uid="{B6C216F3-EC04-4BF6-8386-9941993DCB1F}" name="Column4838"/>
    <tableColumn id="4866" xr3:uid="{F473E081-F518-440B-8F90-790FA35D3C8B}" name="Column4839"/>
    <tableColumn id="4867" xr3:uid="{3EC37C9A-A52E-4776-BE0C-3D3C35D17569}" name="Column4840"/>
    <tableColumn id="4868" xr3:uid="{FE5FB195-D6D9-40FA-87EE-43FF7DA9144A}" name="Column4841"/>
    <tableColumn id="4869" xr3:uid="{CF2E320B-26D0-436C-B3DE-172753C09116}" name="Column4842"/>
    <tableColumn id="4870" xr3:uid="{572604E2-E88D-4CA3-AFFB-B607617B6779}" name="Column4843"/>
    <tableColumn id="4871" xr3:uid="{C957055A-1C67-4818-A986-8EC945703105}" name="Column4844"/>
    <tableColumn id="4872" xr3:uid="{4025BB7C-674C-45EB-BB1B-AB723FBEEB9F}" name="Column4845"/>
    <tableColumn id="4873" xr3:uid="{1512ACFC-FE45-4FB4-BC8F-A65E002C7E18}" name="Column4846"/>
    <tableColumn id="4874" xr3:uid="{7B7D0461-31FE-4D9D-B7B4-127C0D3FB808}" name="Column4847"/>
    <tableColumn id="4875" xr3:uid="{2B19055E-A191-4630-9C81-BCF6900C4D06}" name="Column4848"/>
    <tableColumn id="4876" xr3:uid="{C1D43089-6080-43FB-A895-A1A661A53BE7}" name="Column4849"/>
    <tableColumn id="4877" xr3:uid="{A3005CF9-434F-4DD8-8AC0-5EA40A05BF85}" name="Column4850"/>
    <tableColumn id="4878" xr3:uid="{842E6A62-6031-410F-919C-8F39C145E537}" name="Column4851"/>
    <tableColumn id="4879" xr3:uid="{430C9F3F-F19F-43B2-B619-38C7D1C21067}" name="Column4852"/>
    <tableColumn id="4880" xr3:uid="{05F00728-CC81-432A-B226-B9BD0C6A9794}" name="Column4853"/>
    <tableColumn id="4881" xr3:uid="{DABB9DE2-605A-42DF-BC10-9F98BDFA22F7}" name="Column4854"/>
    <tableColumn id="4882" xr3:uid="{0058AF5A-8102-4A8D-9201-C305998E9034}" name="Column4855"/>
    <tableColumn id="4883" xr3:uid="{8A72FF44-51D5-49B2-A335-454BDBC720F3}" name="Column4856"/>
    <tableColumn id="4884" xr3:uid="{197596BA-3A4A-4500-8081-5F746A415778}" name="Column4857"/>
    <tableColumn id="4885" xr3:uid="{390CAF67-B203-46B7-9324-36069320931F}" name="Column4858"/>
    <tableColumn id="4886" xr3:uid="{78EC2F17-EBB7-4A71-BCDD-CA7F27DE9E08}" name="Column4859"/>
    <tableColumn id="4887" xr3:uid="{5FF2B0BB-28F4-4E0B-8B6F-2308ECB198BC}" name="Column4860"/>
    <tableColumn id="4888" xr3:uid="{B2ED8527-E98B-49CB-B59A-1B96CEA40B90}" name="Column4861"/>
    <tableColumn id="4889" xr3:uid="{D831A766-D5E5-40F4-9731-066D0333B8A9}" name="Column4862"/>
    <tableColumn id="4890" xr3:uid="{0A858D3C-1C44-4966-BB31-62DC1A1AC8F4}" name="Column4863"/>
    <tableColumn id="4891" xr3:uid="{C6A63EF1-5073-449D-9FE8-3E59C06F8745}" name="Column4864"/>
    <tableColumn id="4892" xr3:uid="{B6DAEA70-51A7-4EC6-A322-A40A66C1BF47}" name="Column4865"/>
    <tableColumn id="4893" xr3:uid="{CC99D203-306F-4781-8456-DDF02480BE5C}" name="Column4866"/>
    <tableColumn id="4894" xr3:uid="{B4C4B737-0ACA-4369-9281-92CE3FA9A4EF}" name="Column4867"/>
    <tableColumn id="4895" xr3:uid="{4060E823-E37A-4551-BE71-163B754E6104}" name="Column4868"/>
    <tableColumn id="4896" xr3:uid="{F5CD6674-E124-40B8-82BD-C90E9B4B211D}" name="Column4869"/>
    <tableColumn id="4897" xr3:uid="{0CD2C31E-2761-49F0-AAC4-D68371F0E430}" name="Column4870"/>
    <tableColumn id="4898" xr3:uid="{FB7C6472-CB33-47CC-8371-908FC23A6719}" name="Column4871"/>
    <tableColumn id="4899" xr3:uid="{2E4A6FCE-EE6A-4575-A7E7-41A818779209}" name="Column4872"/>
    <tableColumn id="4900" xr3:uid="{BA400CFE-D67E-4CA7-8559-9EA28712ECD0}" name="Column4873"/>
    <tableColumn id="4901" xr3:uid="{DA6E0CEC-5B45-4B62-AD62-4B427F9F9BE8}" name="Column4874"/>
    <tableColumn id="4902" xr3:uid="{2965E3F1-574F-4B60-B3DC-6720E36E114F}" name="Column4875"/>
    <tableColumn id="4903" xr3:uid="{FC67DC72-AC4D-4991-B5F6-4F743BA176D5}" name="Column4876"/>
    <tableColumn id="4904" xr3:uid="{EDCFF32B-AA1F-43CA-8DD7-D44C42B912C3}" name="Column4877"/>
    <tableColumn id="4905" xr3:uid="{3D7677E2-B742-4C49-9283-538DFFC0496C}" name="Column4878"/>
    <tableColumn id="4906" xr3:uid="{E05A5D44-91B2-4464-BF1F-F70A90F2780C}" name="Column4879"/>
    <tableColumn id="4907" xr3:uid="{452C29A0-28CA-4047-8120-040A95A5EE9B}" name="Column4880"/>
    <tableColumn id="4908" xr3:uid="{BFF58FD5-A3FB-43D7-A4CA-1DB8521078D7}" name="Column4881"/>
    <tableColumn id="4909" xr3:uid="{2AEEE91B-4800-4FD9-890F-0A7064258D6F}" name="Column4882"/>
    <tableColumn id="4910" xr3:uid="{16753D69-C5A6-4A09-99CE-F83F17EADADD}" name="Column4883"/>
    <tableColumn id="4911" xr3:uid="{707A1E05-5491-4301-B280-FE1DE45C9EC9}" name="Column4884"/>
    <tableColumn id="4912" xr3:uid="{C0324C89-FEB7-4A14-BEBE-E85C16FCA65A}" name="Column4885"/>
    <tableColumn id="4913" xr3:uid="{D6D342A2-E392-44E4-915A-8E81E02D40FE}" name="Column4886"/>
    <tableColumn id="4914" xr3:uid="{A6C333D7-B9A4-4527-AA7A-F015AF916B23}" name="Column4887"/>
    <tableColumn id="4915" xr3:uid="{BCCD86BC-08A7-4C6D-9A54-36912F2DC002}" name="Column4888"/>
    <tableColumn id="4916" xr3:uid="{56AEB370-0C49-46CA-AD48-B5094FC7FA36}" name="Column4889"/>
    <tableColumn id="4917" xr3:uid="{668BDAFA-3FE7-4F64-8E22-E87A2EE7C082}" name="Column4890"/>
    <tableColumn id="4918" xr3:uid="{3D12D3DD-8895-4015-8FB3-4AFEA68404C0}" name="Column4891"/>
    <tableColumn id="4919" xr3:uid="{A6D71FFF-126B-4922-B6B3-482C87739C89}" name="Column4892"/>
    <tableColumn id="4920" xr3:uid="{CAAF0991-C357-4E6F-AFFE-E33A2BF359B1}" name="Column4893"/>
    <tableColumn id="4921" xr3:uid="{72A8082C-5CB3-4083-B22A-8B755A72EAE9}" name="Column4894"/>
    <tableColumn id="4922" xr3:uid="{E89597B6-DD32-4BA4-931C-9337C259D7CA}" name="Column4895"/>
    <tableColumn id="4923" xr3:uid="{CC6147E9-B88D-4E04-B608-E98E2B27F3B5}" name="Column4896"/>
    <tableColumn id="4924" xr3:uid="{9277F475-B774-4454-A2B0-049F5D23BB02}" name="Column4897"/>
    <tableColumn id="4925" xr3:uid="{0D47975C-4882-4981-8350-88A937B04D38}" name="Column4898"/>
    <tableColumn id="4926" xr3:uid="{AE856D8F-9F78-4C96-85B1-86732470629A}" name="Column4899"/>
    <tableColumn id="4927" xr3:uid="{31418350-FE27-444A-B599-C33C5E2A705A}" name="Column4900"/>
    <tableColumn id="4928" xr3:uid="{6F95D25B-C5BC-4E3F-9A0C-F3EA96A7E35E}" name="Column4901"/>
    <tableColumn id="4929" xr3:uid="{660537D9-E97E-46E6-8C74-165D329AF1AA}" name="Column4902"/>
    <tableColumn id="4930" xr3:uid="{5D4F306E-1027-459C-A4B3-722BE700BFD8}" name="Column4903"/>
    <tableColumn id="4931" xr3:uid="{3FC11B4C-9613-46B2-970D-7C66731A6A12}" name="Column4904"/>
    <tableColumn id="4932" xr3:uid="{E8FEE6C2-FFB6-42B9-A8B7-C2677A32C78C}" name="Column4905"/>
    <tableColumn id="4933" xr3:uid="{9B8ED057-0B2E-4CEF-95A2-8B7BC0D6B124}" name="Column4906"/>
    <tableColumn id="4934" xr3:uid="{7EBC105B-DA0D-45FE-A427-E04C9B28AFDC}" name="Column4907"/>
    <tableColumn id="4935" xr3:uid="{9F702035-DB6F-46C9-A489-896D066D585C}" name="Column4908"/>
    <tableColumn id="4936" xr3:uid="{B54564A6-C2D6-45DF-807D-8D216DE206F4}" name="Column4909"/>
    <tableColumn id="4937" xr3:uid="{4A3EB12C-F342-4FD4-80CF-AE8F59904FAF}" name="Column4910"/>
    <tableColumn id="4938" xr3:uid="{CE2D4FF4-0A13-495E-9E7E-760ABE8C40C9}" name="Column4911"/>
    <tableColumn id="4939" xr3:uid="{54AC4960-6591-40D8-9BE6-60DCEFC6D55B}" name="Column4912"/>
    <tableColumn id="4940" xr3:uid="{D0687803-1CB1-4BDF-AC11-1937C369C962}" name="Column4913"/>
    <tableColumn id="4941" xr3:uid="{09D97B76-F0C2-4D82-A51B-7A65350CBCF7}" name="Column4914"/>
    <tableColumn id="4942" xr3:uid="{BA2725F6-178E-4980-B90C-229D0E446361}" name="Column4915"/>
    <tableColumn id="4943" xr3:uid="{463710FA-13E5-46E8-874F-127C34C94E2A}" name="Column4916"/>
    <tableColumn id="4944" xr3:uid="{4DBACD92-2971-48A0-8181-16231948A207}" name="Column4917"/>
    <tableColumn id="4945" xr3:uid="{5A33347D-F1EC-4035-8AD4-BB158A4E714A}" name="Column4918"/>
    <tableColumn id="4946" xr3:uid="{01B4E9E0-C580-40E2-AEEC-6BF8367120FD}" name="Column4919"/>
    <tableColumn id="4947" xr3:uid="{D0EC81DC-AD68-4BDB-AEBF-E89FB2F4F508}" name="Column4920"/>
    <tableColumn id="4948" xr3:uid="{AD1E4CE0-A8C8-4D81-BE94-A9C78F0DEBDA}" name="Column4921"/>
    <tableColumn id="4949" xr3:uid="{C7B0DD64-08C6-4BA3-BF0A-1279416930BD}" name="Column4922"/>
    <tableColumn id="4950" xr3:uid="{7131E1D8-3D2A-46B0-8202-E1D651FD9126}" name="Column4923"/>
    <tableColumn id="4951" xr3:uid="{4DBD5425-1423-46AF-A80D-41B743122A91}" name="Column4924"/>
    <tableColumn id="4952" xr3:uid="{7EE8AA36-B9CC-4A50-8E90-70CB257B058C}" name="Column4925"/>
    <tableColumn id="4953" xr3:uid="{83AE7E2E-81B3-4A3A-A1F7-28E3F51BA8DD}" name="Column4926"/>
    <tableColumn id="4954" xr3:uid="{298EFF28-1AAB-451B-88FF-AF6EAC7ED625}" name="Column4927"/>
    <tableColumn id="4955" xr3:uid="{7B83E5E2-2EE7-4F0A-877D-0A3253A72756}" name="Column4928"/>
    <tableColumn id="4956" xr3:uid="{38F5ADB3-04F5-496A-921D-69CFB5607641}" name="Column4929"/>
    <tableColumn id="4957" xr3:uid="{8C6B71A5-BBF2-4D40-9946-9A56DD023D1A}" name="Column4930"/>
    <tableColumn id="4958" xr3:uid="{72AC724A-6B50-4949-BDCA-78E0EBF114E6}" name="Column4931"/>
    <tableColumn id="4959" xr3:uid="{430D4F1F-0BF5-4E65-88C2-3063B75E162F}" name="Column4932"/>
    <tableColumn id="4960" xr3:uid="{F6BEE595-FCF5-4FBF-A33F-E1111E6C81DA}" name="Column4933"/>
    <tableColumn id="4961" xr3:uid="{C811FD08-107F-46DE-B826-EF8941868A8E}" name="Column4934"/>
    <tableColumn id="4962" xr3:uid="{AB06F391-3D14-4C11-862E-3A711045034A}" name="Column4935"/>
    <tableColumn id="4963" xr3:uid="{BD327EBA-BE2B-4E4A-B1D0-C1FD5DB22D6B}" name="Column4936"/>
    <tableColumn id="4964" xr3:uid="{4DA1D2C3-4402-4321-A874-62D40BD0DBDF}" name="Column4937"/>
    <tableColumn id="4965" xr3:uid="{53C5B5D3-D349-4966-BAEB-133E0F080885}" name="Column4938"/>
    <tableColumn id="4966" xr3:uid="{D97ED0B5-A7E4-4003-B52E-C1CADDE959A7}" name="Column4939"/>
    <tableColumn id="4967" xr3:uid="{4091DCA0-8785-4D66-9287-808F3D6585B1}" name="Column4940"/>
    <tableColumn id="4968" xr3:uid="{55F2CFB1-346F-4E2C-8C29-BBBD338D9261}" name="Column4941"/>
    <tableColumn id="4969" xr3:uid="{85733442-1CA3-44A4-8BAB-076CBF02CD2E}" name="Column4942"/>
    <tableColumn id="4970" xr3:uid="{77F236CD-F8EA-4FD5-BA06-DF14A0DE5625}" name="Column4943"/>
    <tableColumn id="4971" xr3:uid="{AFA692B0-8E0B-460F-8E83-976557B16B85}" name="Column4944"/>
    <tableColumn id="4972" xr3:uid="{FAA15042-2ED3-4569-8219-377C301CCECD}" name="Column4945"/>
    <tableColumn id="4973" xr3:uid="{18740A1D-2701-4923-AAAA-A67026A0C995}" name="Column4946"/>
    <tableColumn id="4974" xr3:uid="{1F80153C-2FF3-447D-BD94-1A798DEE158B}" name="Column4947"/>
    <tableColumn id="4975" xr3:uid="{462E56E5-BB84-4012-AC99-982EB491634A}" name="Column4948"/>
    <tableColumn id="4976" xr3:uid="{353C330A-7726-4CDE-ADC2-E45B4B7127CC}" name="Column4949"/>
    <tableColumn id="4977" xr3:uid="{99A22B77-1D16-41B0-92FF-1638885D12EF}" name="Column4950"/>
    <tableColumn id="4978" xr3:uid="{F6781C38-F533-44E7-9162-BB7BCCA8FA7D}" name="Column4951"/>
    <tableColumn id="4979" xr3:uid="{CF31457A-C764-42EB-A23D-2113517A1808}" name="Column4952"/>
    <tableColumn id="4980" xr3:uid="{1C7D40B0-627D-4CC3-9885-4CB72BE61180}" name="Column4953"/>
    <tableColumn id="4981" xr3:uid="{756B65A7-DA03-4F1B-846E-ED1B811A9784}" name="Column4954"/>
    <tableColumn id="4982" xr3:uid="{F8ED8D5A-8F13-497A-A962-C5DDD00C5076}" name="Column4955"/>
    <tableColumn id="4983" xr3:uid="{6077F2AE-9AB9-4AE1-A1C4-88A2077424A6}" name="Column4956"/>
    <tableColumn id="4984" xr3:uid="{C4203F88-73CA-4768-8C5C-3C53DD833A71}" name="Column4957"/>
    <tableColumn id="4985" xr3:uid="{9BD87F72-5BE2-4450-B363-E7578FBD668C}" name="Column4958"/>
    <tableColumn id="4986" xr3:uid="{196611CE-6E0E-40EC-B3A6-AFEC57C64F5A}" name="Column4959"/>
    <tableColumn id="4987" xr3:uid="{4786ADD9-5682-494E-93ED-DBD18F3CEBD6}" name="Column4960"/>
    <tableColumn id="4988" xr3:uid="{FDAE36AD-5C13-45F0-AD6B-FB2BDFCC397C}" name="Column4961"/>
    <tableColumn id="4989" xr3:uid="{CB81E859-F633-4F78-ABD3-EA9A2462A6AD}" name="Column4962"/>
    <tableColumn id="4990" xr3:uid="{F7B10E77-AD76-4460-8F64-3963E67E1A75}" name="Column4963"/>
    <tableColumn id="4991" xr3:uid="{9A5B565B-A40A-46DA-96A4-E858A63578E0}" name="Column4964"/>
    <tableColumn id="4992" xr3:uid="{A3682AB1-ED94-4715-87F5-7DF360EC4FE3}" name="Column4965"/>
    <tableColumn id="4993" xr3:uid="{334469C4-220A-4B6A-B9E3-1FAB51489014}" name="Column4966"/>
    <tableColumn id="4994" xr3:uid="{E0476B0A-F7E9-4802-9871-4A871B4C7312}" name="Column4967"/>
    <tableColumn id="4995" xr3:uid="{85F3848B-42F7-4C2D-8095-0A79EF1F7CA6}" name="Column4968"/>
    <tableColumn id="4996" xr3:uid="{5BC5574B-B0F4-4D00-866C-842E7E6D11C0}" name="Column4969"/>
    <tableColumn id="4997" xr3:uid="{48D4D475-09E9-4F3D-9A0C-19F0F1C75DD4}" name="Column4970"/>
    <tableColumn id="4998" xr3:uid="{7CAD75B0-6A4F-4E17-808F-6FC48BCD6A62}" name="Column4971"/>
    <tableColumn id="4999" xr3:uid="{0D69B45E-4FFC-450B-BEA4-22EBC0321081}" name="Column4972"/>
    <tableColumn id="5000" xr3:uid="{E33AC49B-B1D6-4DB1-812F-36202140F77A}" name="Column4973"/>
    <tableColumn id="5001" xr3:uid="{A3DFD300-9DE0-45DC-BB6C-FC6F7EB19FFE}" name="Column4974"/>
    <tableColumn id="5002" xr3:uid="{7D706204-309E-4069-89CA-68F1E27D1B07}" name="Column4975"/>
    <tableColumn id="5003" xr3:uid="{BE40363C-B3D7-45FC-93D3-B47893F3533F}" name="Column4976"/>
    <tableColumn id="5004" xr3:uid="{135183D1-2398-4452-BCE5-E58BFF5FB1B3}" name="Column4977"/>
    <tableColumn id="5005" xr3:uid="{E5F1BA3A-96FF-41DD-8A22-245A717C9C6D}" name="Column4978"/>
    <tableColumn id="5006" xr3:uid="{D83F5877-9DE2-4A24-AEA0-8DC3B189956C}" name="Column4979"/>
    <tableColumn id="5007" xr3:uid="{B2FCE98F-4DD9-430D-A702-3451D2759089}" name="Column4980"/>
    <tableColumn id="5008" xr3:uid="{1CB3774D-05BA-49BB-BB0B-0C5F8824C47B}" name="Column4981"/>
    <tableColumn id="5009" xr3:uid="{C0F378E0-BE7F-4F89-B5F2-F4D878A288D2}" name="Column4982"/>
    <tableColumn id="5010" xr3:uid="{1E482626-E883-4E40-90FB-3D00F04B9449}" name="Column4983"/>
    <tableColumn id="5011" xr3:uid="{642B9DFB-C99D-4048-A8F2-460EC6990E53}" name="Column4984"/>
    <tableColumn id="5012" xr3:uid="{B6B05F29-E6B2-4C60-8788-74A2B1B72DB2}" name="Column4985"/>
    <tableColumn id="5013" xr3:uid="{F6B1165C-1A87-4C71-971B-350DAB8F5BB5}" name="Column4986"/>
    <tableColumn id="5014" xr3:uid="{724D4DE1-E13B-41A3-9D57-C682483478CA}" name="Column4987"/>
    <tableColumn id="5015" xr3:uid="{5632CB68-6C8D-462A-9551-6E9116FA8E26}" name="Column4988"/>
    <tableColumn id="5016" xr3:uid="{49029F80-AB55-4155-88E6-A4110FEAE722}" name="Column4989"/>
    <tableColumn id="5017" xr3:uid="{D149A8C9-C035-4399-AC19-FFE976A5C71E}" name="Column4990"/>
    <tableColumn id="5018" xr3:uid="{D6D245B1-C009-4A4A-B58F-0A3ACBCCA1E1}" name="Column4991"/>
    <tableColumn id="5019" xr3:uid="{F3E9B345-762E-40B5-955F-386A78D5F54C}" name="Column4992"/>
    <tableColumn id="5020" xr3:uid="{5567C25D-2390-4A29-AF01-B0E268A73CAB}" name="Column4993"/>
    <tableColumn id="5021" xr3:uid="{5D898659-C1A3-4AB8-BD15-A863E1F74AC3}" name="Column4994"/>
    <tableColumn id="5022" xr3:uid="{9B8615C2-C1F2-409B-892A-9B6E781353C4}" name="Column4995"/>
    <tableColumn id="5023" xr3:uid="{F0F175F2-9BC8-46EE-90AD-E160CBA7C7F9}" name="Column4996"/>
    <tableColumn id="5024" xr3:uid="{6530EBA7-20D6-47C6-82B9-752D85B462D5}" name="Column4997"/>
    <tableColumn id="5025" xr3:uid="{2179322D-EC9A-470D-932B-D9C224D0EA6B}" name="Column4998"/>
    <tableColumn id="5026" xr3:uid="{4A132248-0062-4916-9170-942E5B08A643}" name="Column4999"/>
    <tableColumn id="5027" xr3:uid="{7E113698-AACF-4351-B9E8-A8E6B0141EAF}" name="Column5000"/>
    <tableColumn id="5028" xr3:uid="{4222BD6B-6DB9-4469-AC84-086B73556B57}" name="Column5001"/>
    <tableColumn id="5029" xr3:uid="{4B9664C9-0597-4F92-A3F1-0860038D1C5B}" name="Column5002"/>
    <tableColumn id="5030" xr3:uid="{0FAAEE07-5DFA-41C5-928D-0C23DCEF18A6}" name="Column5003"/>
    <tableColumn id="5031" xr3:uid="{DB8FA877-CB96-4857-BBC7-38A0389EED22}" name="Column5004"/>
    <tableColumn id="5032" xr3:uid="{77944CB6-2110-498C-990B-417032382975}" name="Column5005"/>
    <tableColumn id="5033" xr3:uid="{D857AB4B-7F81-4D69-B677-4B06912F24D0}" name="Column5006"/>
    <tableColumn id="5034" xr3:uid="{AC51369C-7A91-4520-A52F-693FE8FAED11}" name="Column5007"/>
    <tableColumn id="5035" xr3:uid="{0AD12D6B-DA02-49F0-84DD-D373034CFEA3}" name="Column5008"/>
    <tableColumn id="5036" xr3:uid="{EB15CD0A-6B58-45B4-A8EE-0A76C9622B22}" name="Column5009"/>
    <tableColumn id="5037" xr3:uid="{53F65FE3-24C2-4F2F-8C98-AE1D4152ABF1}" name="Column5010"/>
    <tableColumn id="5038" xr3:uid="{9F58F78D-7AE3-4CA2-B6F1-C28F45E4C615}" name="Column5011"/>
    <tableColumn id="5039" xr3:uid="{5CF29BD3-E77B-4135-AAF2-F30324C8ACD8}" name="Column5012"/>
    <tableColumn id="5040" xr3:uid="{0A12DCC2-A1E4-4630-B987-DC7192125112}" name="Column5013"/>
    <tableColumn id="5041" xr3:uid="{6C329654-B0D3-416C-8736-DCC5FA583B1A}" name="Column5014"/>
    <tableColumn id="5042" xr3:uid="{ADFC67E7-366A-4071-A250-3878F1D2345A}" name="Column5015"/>
    <tableColumn id="5043" xr3:uid="{E17EA63A-3644-42AA-A229-1903135BB5DD}" name="Column5016"/>
    <tableColumn id="5044" xr3:uid="{1460EAB6-A4B5-4948-95E1-E0985268B77C}" name="Column5017"/>
    <tableColumn id="5045" xr3:uid="{4FEB167A-1355-4912-A47A-A4DB81D7F210}" name="Column5018"/>
    <tableColumn id="5046" xr3:uid="{194DA8F9-5B93-4510-8B0E-2E4B3D0BC9E3}" name="Column5019"/>
    <tableColumn id="5047" xr3:uid="{3D6B5E78-1A69-4619-A4E8-9AF6AD9ADEC1}" name="Column5020"/>
    <tableColumn id="5048" xr3:uid="{EFE2459F-4A2F-4293-8FCD-B770E2B2F994}" name="Column5021"/>
    <tableColumn id="5049" xr3:uid="{BFBA91CE-94C3-4F4D-84F8-C36D03E07BF2}" name="Column5022"/>
    <tableColumn id="5050" xr3:uid="{E6627631-DAAC-459D-AD4F-44C1CC9A881E}" name="Column5023"/>
    <tableColumn id="5051" xr3:uid="{8741836C-2180-4057-B327-43C9CBCD916E}" name="Column5024"/>
    <tableColumn id="5052" xr3:uid="{B8D431B1-C33B-4D7B-BCA9-3F252482BE7B}" name="Column5025"/>
    <tableColumn id="5053" xr3:uid="{17444D88-7B76-424B-95A7-949C38FF163B}" name="Column5026"/>
    <tableColumn id="5054" xr3:uid="{CAEE68F8-17BD-4520-9073-111B2F144710}" name="Column5027"/>
    <tableColumn id="5055" xr3:uid="{102D73EA-38EF-4517-8804-080EA51CA73E}" name="Column5028"/>
    <tableColumn id="5056" xr3:uid="{A8EF54BE-7F4A-44A0-835E-0674CE990136}" name="Column5029"/>
    <tableColumn id="5057" xr3:uid="{3CEA57D0-E726-4B32-98F0-B13FE17D3631}" name="Column5030"/>
    <tableColumn id="5058" xr3:uid="{52ED5034-4F95-47E1-BEA3-51D68E704F1B}" name="Column5031"/>
    <tableColumn id="5059" xr3:uid="{13A1EEF8-BBD2-4B1C-9E4F-A2C8AF2B7B87}" name="Column5032"/>
    <tableColumn id="5060" xr3:uid="{8165E568-6835-4C32-A655-782BA073076E}" name="Column5033"/>
    <tableColumn id="5061" xr3:uid="{AD7D6271-FB0D-4470-AC7B-61F080EF7971}" name="Column5034"/>
    <tableColumn id="5062" xr3:uid="{27211A79-04FE-4FDD-9723-9715FC1FEE3D}" name="Column5035"/>
    <tableColumn id="5063" xr3:uid="{FACE1DC4-554E-4421-8E55-D9C976CA9EF5}" name="Column5036"/>
    <tableColumn id="5064" xr3:uid="{6D62D5A9-229F-4AA4-BCB9-02D376E58449}" name="Column5037"/>
    <tableColumn id="5065" xr3:uid="{2A07E59C-209D-46AA-9084-3BA6F5B1D0BE}" name="Column5038"/>
    <tableColumn id="5066" xr3:uid="{58406977-2F41-48C5-B60A-B3EED2992FDC}" name="Column5039"/>
    <tableColumn id="5067" xr3:uid="{343133F6-A163-476A-AA91-C30D22BA94FB}" name="Column5040"/>
    <tableColumn id="5068" xr3:uid="{7D930DC4-47A1-463E-950F-2341A2CCAE4E}" name="Column5041"/>
    <tableColumn id="5069" xr3:uid="{0F3EC702-3216-4E65-9BAD-FD3FA012FF84}" name="Column5042"/>
    <tableColumn id="5070" xr3:uid="{24D10FEB-734E-4F7F-BADA-C662B806498D}" name="Column5043"/>
    <tableColumn id="5071" xr3:uid="{FEF244CF-9A55-458C-A62E-E5BD528A0A93}" name="Column5044"/>
    <tableColumn id="5072" xr3:uid="{55654105-D50A-4DCE-BFB6-FDABDAD78097}" name="Column5045"/>
    <tableColumn id="5073" xr3:uid="{BA25A321-8000-4141-872F-3C8E3BE6AD03}" name="Column5046"/>
    <tableColumn id="5074" xr3:uid="{025EB294-A988-4CC2-BB81-28D9814AD521}" name="Column5047"/>
    <tableColumn id="5075" xr3:uid="{20A552C4-F87D-4A08-BBCF-BC70ABAFD9E3}" name="Column5048"/>
    <tableColumn id="5076" xr3:uid="{B86591D8-6C1A-4293-B188-C75750F6ABF7}" name="Column5049"/>
    <tableColumn id="5077" xr3:uid="{682FADD3-EF34-4088-889B-53F7139F58D5}" name="Column5050"/>
    <tableColumn id="5078" xr3:uid="{BF4F90D3-0531-43D5-8FB5-722702D5DEAE}" name="Column5051"/>
    <tableColumn id="5079" xr3:uid="{6FBC5C89-C86D-4CF5-B95C-CF0A574298F4}" name="Column5052"/>
    <tableColumn id="5080" xr3:uid="{BFC19BDC-F386-499C-A0F7-FAF70ED6E76C}" name="Column5053"/>
    <tableColumn id="5081" xr3:uid="{B4C47E78-DEAF-4970-9028-BC94F15E7F2C}" name="Column5054"/>
    <tableColumn id="5082" xr3:uid="{0AB255FD-4927-4D02-BC34-481DF028B1B3}" name="Column5055"/>
    <tableColumn id="5083" xr3:uid="{4821470B-EE13-43B3-88E0-20743DED93BD}" name="Column5056"/>
    <tableColumn id="5084" xr3:uid="{43584F9B-2D06-439F-BDA9-EBE0418E5C1F}" name="Column5057"/>
    <tableColumn id="5085" xr3:uid="{469AD90C-FF56-4CBB-A0E7-64EB15F79F6A}" name="Column5058"/>
    <tableColumn id="5086" xr3:uid="{6D54A315-8E71-4CD9-B6E2-E8CE9442F028}" name="Column5059"/>
    <tableColumn id="5087" xr3:uid="{AFC258C5-746E-45C4-88F1-983BDFA00E30}" name="Column5060"/>
    <tableColumn id="5088" xr3:uid="{CCC6D723-04E6-4A17-89B0-8F59C2E4DA2F}" name="Column5061"/>
    <tableColumn id="5089" xr3:uid="{21DC1EB2-D64D-4679-9A1B-F8FF720F2054}" name="Column5062"/>
    <tableColumn id="5090" xr3:uid="{D1AE1FE2-33B3-4811-8498-EF71B479BBBF}" name="Column5063"/>
    <tableColumn id="5091" xr3:uid="{53DC9ACC-5FF8-4126-91C0-91C5954AA41E}" name="Column5064"/>
    <tableColumn id="5092" xr3:uid="{670271FA-A8D5-40F1-A1A7-191FC55C1612}" name="Column5065"/>
    <tableColumn id="5093" xr3:uid="{67CD6143-6CD6-4444-BD31-45BF44B68E3D}" name="Column5066"/>
    <tableColumn id="5094" xr3:uid="{3F9E9DD5-5EDA-4A64-A5EB-D6FE18FAF806}" name="Column5067"/>
    <tableColumn id="5095" xr3:uid="{23C76C12-2CB5-4CAA-96C5-B95E282531BC}" name="Column5068"/>
    <tableColumn id="5096" xr3:uid="{42FFF85D-9151-4054-A1A4-2CD8FFC86915}" name="Column5069"/>
    <tableColumn id="5097" xr3:uid="{11E5888A-46AD-45ED-A6E3-D90E7832BBFE}" name="Column5070"/>
    <tableColumn id="5098" xr3:uid="{77D2EAE4-F20F-41A0-B607-184ECC073248}" name="Column5071"/>
    <tableColumn id="5099" xr3:uid="{D58A616D-2B5C-4D99-ADB0-5BD6BF2BE538}" name="Column5072"/>
    <tableColumn id="5100" xr3:uid="{E03104A8-357F-47D9-BDB2-3D242EC553E7}" name="Column5073"/>
    <tableColumn id="5101" xr3:uid="{B929AF63-805E-4106-9BD4-338BE484F860}" name="Column5074"/>
    <tableColumn id="5102" xr3:uid="{468FAEEA-EB39-409A-AE8B-EB335BA4D356}" name="Column5075"/>
    <tableColumn id="5103" xr3:uid="{B13FC7B1-A06D-41F3-8236-AABB2B21ACFC}" name="Column5076"/>
    <tableColumn id="5104" xr3:uid="{8A62D819-8135-46E3-8193-C038B1DA5BFF}" name="Column5077"/>
    <tableColumn id="5105" xr3:uid="{791520D1-149F-4B05-B074-D24FC90A293F}" name="Column5078"/>
    <tableColumn id="5106" xr3:uid="{E1A06097-0D6D-46CE-9398-119D75F2D325}" name="Column5079"/>
    <tableColumn id="5107" xr3:uid="{F6270433-3075-4E66-A6B9-1D18F654E5A7}" name="Column5080"/>
    <tableColumn id="5108" xr3:uid="{73B1910E-E43B-4B67-BDB6-AAC9FDA7E0CD}" name="Column5081"/>
    <tableColumn id="5109" xr3:uid="{3A12A656-78C4-42A7-A664-2DB2E62A1FFE}" name="Column5082"/>
    <tableColumn id="5110" xr3:uid="{7A422CD0-2ABC-4017-B5E3-A6DECBEA5543}" name="Column5083"/>
    <tableColumn id="5111" xr3:uid="{64987368-3B89-4501-8076-9DD252EA51D4}" name="Column5084"/>
    <tableColumn id="5112" xr3:uid="{81075D79-6295-47A3-9850-655B8BB1BE03}" name="Column5085"/>
    <tableColumn id="5113" xr3:uid="{787FFEB6-0C26-41A6-9703-BB9DFF7825BA}" name="Column5086"/>
    <tableColumn id="5114" xr3:uid="{BE0B43DC-A455-4390-8FE0-6507B54F89B4}" name="Column5087"/>
    <tableColumn id="5115" xr3:uid="{DAD9007B-229B-438C-ADEF-9E44711BA6E9}" name="Column5088"/>
    <tableColumn id="5116" xr3:uid="{A96ED7A0-209E-4C5A-AD9E-4E0533D4B5FF}" name="Column5089"/>
    <tableColumn id="5117" xr3:uid="{07A95D0B-B8EF-49B4-ABB2-F9866A1EA217}" name="Column5090"/>
    <tableColumn id="5118" xr3:uid="{C72B7DDF-C4B9-4C03-887A-AD81B61F7036}" name="Column5091"/>
    <tableColumn id="5119" xr3:uid="{81C3AA5B-DBB4-418F-8E2B-FEE075BA124C}" name="Column5092"/>
    <tableColumn id="5120" xr3:uid="{EBE50500-02EC-4907-9CE5-B11DCCEAE52A}" name="Column5093"/>
    <tableColumn id="5121" xr3:uid="{3D6895D8-E62F-4F3B-91F3-BC9450F95564}" name="Column5094"/>
    <tableColumn id="5122" xr3:uid="{A5EAA877-0633-4659-B7F8-C5D4BA670B4F}" name="Column5095"/>
    <tableColumn id="5123" xr3:uid="{3BBDA06E-D149-49AB-A537-E5928783DCEC}" name="Column5096"/>
    <tableColumn id="5124" xr3:uid="{D0E6C2B6-02ED-4A07-9072-1ED3B6D5C3B6}" name="Column5097"/>
    <tableColumn id="5125" xr3:uid="{46ED0925-F005-4E00-8593-C5BE903C329C}" name="Column5098"/>
    <tableColumn id="5126" xr3:uid="{01B15B48-6027-4AF8-B4E6-181E3F5D35AA}" name="Column5099"/>
    <tableColumn id="5127" xr3:uid="{4FEB887A-10EF-4C8D-9791-F18FD4092A82}" name="Column5100"/>
    <tableColumn id="5128" xr3:uid="{52D9E14A-17E2-4B9E-9246-9C6238D713B4}" name="Column5101"/>
    <tableColumn id="5129" xr3:uid="{32015688-45FF-44B8-AFD8-1D8DECDA3038}" name="Column5102"/>
    <tableColumn id="5130" xr3:uid="{E31E05AE-1FCB-44C8-A008-E8614079916A}" name="Column5103"/>
    <tableColumn id="5131" xr3:uid="{FBEE7FA9-E416-4213-B1A9-39948E663C06}" name="Column5104"/>
    <tableColumn id="5132" xr3:uid="{825A84F6-0A56-4839-B41B-BC12095BF13A}" name="Column5105"/>
    <tableColumn id="5133" xr3:uid="{C3956FFA-4EBF-4606-899C-FD64EDEEF198}" name="Column5106"/>
    <tableColumn id="5134" xr3:uid="{005C078A-756E-4033-AF4E-F75FFD37C0A6}" name="Column5107"/>
    <tableColumn id="5135" xr3:uid="{ADE14F7D-9497-4906-9E47-C1E2A1D949F4}" name="Column5108"/>
    <tableColumn id="5136" xr3:uid="{52F7074E-BD82-4A7A-AB86-7221253464F4}" name="Column5109"/>
    <tableColumn id="5137" xr3:uid="{BDACD7F7-6BD7-4F4A-BFBC-9CD66F9F243D}" name="Column5110"/>
    <tableColumn id="5138" xr3:uid="{7224209B-C45A-42EE-BF48-29D1383DC9DB}" name="Column5111"/>
    <tableColumn id="5139" xr3:uid="{41C3909E-08D4-4497-A752-F338E72DB29F}" name="Column5112"/>
    <tableColumn id="5140" xr3:uid="{87BD2AC8-DB87-4152-B96E-2825A4561937}" name="Column5113"/>
    <tableColumn id="5141" xr3:uid="{0E93BF13-5C49-45AD-9C36-12B8207FCA51}" name="Column5114"/>
    <tableColumn id="5142" xr3:uid="{3B66A342-1AFD-41EA-9837-38983DD1A8D7}" name="Column5115"/>
    <tableColumn id="5143" xr3:uid="{38226B6D-F0FC-4AB4-A306-98EC4AB62327}" name="Column5116"/>
    <tableColumn id="5144" xr3:uid="{619DD7AE-4DA0-4BB1-92B1-FA0CA08411FB}" name="Column5117"/>
    <tableColumn id="5145" xr3:uid="{961DD504-35F3-4CCA-914A-BDE66C9B1666}" name="Column5118"/>
    <tableColumn id="5146" xr3:uid="{922932B1-C733-4AA4-8691-0DB8C00F644E}" name="Column5119"/>
    <tableColumn id="5147" xr3:uid="{64618A70-EC58-40F0-A080-2C8A8F1D23E4}" name="Column5120"/>
    <tableColumn id="5148" xr3:uid="{453B4675-5D13-4CC3-A602-E26E7D6FE652}" name="Column5121"/>
    <tableColumn id="5149" xr3:uid="{26CB045B-13DA-4A58-8A6F-1D00AB3B09A6}" name="Column5122"/>
    <tableColumn id="5150" xr3:uid="{6856303D-0091-43EE-B53C-70DD46D9D39C}" name="Column5123"/>
    <tableColumn id="5151" xr3:uid="{416BBAA5-FCF3-4BE6-9B50-60359A3FBD42}" name="Column5124"/>
    <tableColumn id="5152" xr3:uid="{56F5C4EA-7197-4BE8-BADD-F5F1922BD057}" name="Column5125"/>
    <tableColumn id="5153" xr3:uid="{B7B5DCD7-D504-49A1-9A9E-8C21A367F350}" name="Column5126"/>
    <tableColumn id="5154" xr3:uid="{98DE1465-B1B7-4855-8C7F-AA0C241E0033}" name="Column5127"/>
    <tableColumn id="5155" xr3:uid="{85168073-4526-44B1-92F6-D645CE8C4BEB}" name="Column5128"/>
    <tableColumn id="5156" xr3:uid="{771C931D-E1CE-4045-A246-6C9F1FF3E965}" name="Column5129"/>
    <tableColumn id="5157" xr3:uid="{EAF8E66D-F62C-42F9-8D26-745CF123A486}" name="Column5130"/>
    <tableColumn id="5158" xr3:uid="{135D91E7-0309-4602-9546-461D95F5A75C}" name="Column5131"/>
    <tableColumn id="5159" xr3:uid="{AF68FC7F-8FF5-4C23-A48D-59CA8519C274}" name="Column5132"/>
    <tableColumn id="5160" xr3:uid="{271E03B7-BE7D-499E-8C47-D698CF882E75}" name="Column5133"/>
    <tableColumn id="5161" xr3:uid="{BC2CF0E7-AFFA-4C86-9FC4-CC394A0A29B7}" name="Column5134"/>
    <tableColumn id="5162" xr3:uid="{A8B5C299-ABD3-4722-88C2-029ECE73427D}" name="Column5135"/>
    <tableColumn id="5163" xr3:uid="{FD175C7B-9496-4138-86CA-FA4829B84B08}" name="Column5136"/>
    <tableColumn id="5164" xr3:uid="{F5E4900E-2CCF-4F09-8A1F-261955AF123B}" name="Column5137"/>
    <tableColumn id="5165" xr3:uid="{5431749F-4A85-4533-9C6B-124DD8397B28}" name="Column5138"/>
    <tableColumn id="5166" xr3:uid="{BD7BECF1-E952-4A48-8298-D69A05722F20}" name="Column5139"/>
    <tableColumn id="5167" xr3:uid="{E3CD1E28-07AC-4110-968C-CADD3336B4C8}" name="Column5140"/>
    <tableColumn id="5168" xr3:uid="{F41D2A02-0B88-4CAF-88D1-779D563727CB}" name="Column5141"/>
    <tableColumn id="5169" xr3:uid="{2ABDF26E-2440-4AE0-9BD7-FAF3D568A59E}" name="Column5142"/>
    <tableColumn id="5170" xr3:uid="{7C5D399A-6662-40C2-92CD-4DC338D322BD}" name="Column5143"/>
    <tableColumn id="5171" xr3:uid="{5CE1F204-C8BC-4D45-ACDC-F1677DEACCCE}" name="Column5144"/>
    <tableColumn id="5172" xr3:uid="{4A32739E-B8E9-4F96-B280-B5120139BEF7}" name="Column5145"/>
    <tableColumn id="5173" xr3:uid="{DF07D46B-D93D-4830-B29D-CDE269BB0D9F}" name="Column5146"/>
    <tableColumn id="5174" xr3:uid="{AC94E562-63CF-4052-BBAB-16FBD9A2CCC2}" name="Column5147"/>
    <tableColumn id="5175" xr3:uid="{14409A18-C35B-4F1B-863F-B8B77D8BE59C}" name="Column5148"/>
    <tableColumn id="5176" xr3:uid="{ED327062-CE00-41DE-95ED-7B2ECD477F39}" name="Column5149"/>
    <tableColumn id="5177" xr3:uid="{A4748FD9-76BB-4089-BBAB-08608097A42D}" name="Column5150"/>
    <tableColumn id="5178" xr3:uid="{15502DC2-FC7A-4FD6-8200-97887381026C}" name="Column5151"/>
    <tableColumn id="5179" xr3:uid="{4A9CC378-D002-4642-A8D4-604C37BD9F8B}" name="Column5152"/>
    <tableColumn id="5180" xr3:uid="{3D147BBD-848A-41F2-8C81-245FECE1CFCA}" name="Column5153"/>
    <tableColumn id="5181" xr3:uid="{588E2B00-AE3A-4AD6-9A05-5FC2D53837DD}" name="Column5154"/>
    <tableColumn id="5182" xr3:uid="{89AD942E-0761-4082-AD47-9FEE1B18BA85}" name="Column5155"/>
    <tableColumn id="5183" xr3:uid="{71BEA85B-F31B-4F77-BE8D-F005EC13F042}" name="Column5156"/>
    <tableColumn id="5184" xr3:uid="{4F8C2A2D-8484-420D-B0C6-41ED9198503C}" name="Column5157"/>
    <tableColumn id="5185" xr3:uid="{681977FF-D88E-4E17-B6E4-3A20C698FF3B}" name="Column5158"/>
    <tableColumn id="5186" xr3:uid="{6D9F0E61-9A80-4260-9ABA-534957306D59}" name="Column5159"/>
    <tableColumn id="5187" xr3:uid="{C9AE0543-2C7F-4801-9B85-D4CC28E37CA2}" name="Column5160"/>
    <tableColumn id="5188" xr3:uid="{0778E320-5854-489B-B2AE-1D90A02F0065}" name="Column5161"/>
    <tableColumn id="5189" xr3:uid="{83807EF3-1722-4E02-807A-976C83D34188}" name="Column5162"/>
    <tableColumn id="5190" xr3:uid="{F217B7A9-5863-4AB8-BEA9-66B1785B4A1F}" name="Column5163"/>
    <tableColumn id="5191" xr3:uid="{8E32613C-40E0-4803-9CA9-74E964F6007F}" name="Column5164"/>
    <tableColumn id="5192" xr3:uid="{D8653C31-C40A-40B0-9BF5-A129C92E5D55}" name="Column5165"/>
    <tableColumn id="5193" xr3:uid="{DF97DAC0-243F-4589-9B81-13A093DD1B0A}" name="Column5166"/>
    <tableColumn id="5194" xr3:uid="{EA086763-BC98-4C15-9698-8E4876370525}" name="Column5167"/>
    <tableColumn id="5195" xr3:uid="{B30B1721-BE5B-4B3E-A8A7-3634EAB054F1}" name="Column5168"/>
    <tableColumn id="5196" xr3:uid="{5832261A-49EF-4BA2-BD0E-AD4429F5F238}" name="Column5169"/>
    <tableColumn id="5197" xr3:uid="{C4856604-F91F-412B-A352-78D1967A23D3}" name="Column5170"/>
    <tableColumn id="5198" xr3:uid="{2EEAB66F-BD92-44EC-838B-746FDD38C586}" name="Column5171"/>
    <tableColumn id="5199" xr3:uid="{0235C636-28B7-45A7-887D-AA5FC0B28CB0}" name="Column5172"/>
    <tableColumn id="5200" xr3:uid="{81D23C0D-29C1-417B-A683-37977F55CDFF}" name="Column5173"/>
    <tableColumn id="5201" xr3:uid="{C58C09A1-472B-412A-973F-A2EEABAA17CA}" name="Column5174"/>
    <tableColumn id="5202" xr3:uid="{456680A1-FD3C-4617-BCA6-F6D55C936FA2}" name="Column5175"/>
    <tableColumn id="5203" xr3:uid="{184AD4B8-6BBB-438D-B3B6-C1651A629518}" name="Column5176"/>
    <tableColumn id="5204" xr3:uid="{F9A20AEE-213B-42BA-9F60-C9ED9C6922EE}" name="Column5177"/>
    <tableColumn id="5205" xr3:uid="{DFCBD54C-050A-4385-8A07-FCD3DBA57B8C}" name="Column5178"/>
    <tableColumn id="5206" xr3:uid="{483352E0-6AF3-41A1-ABEF-CEC0A83D15A5}" name="Column5179"/>
    <tableColumn id="5207" xr3:uid="{99FA7A0D-9C5E-40D6-9F38-B7787C79006E}" name="Column5180"/>
    <tableColumn id="5208" xr3:uid="{02F1FA7F-C2B3-4D31-A321-1D3F629571CC}" name="Column5181"/>
    <tableColumn id="5209" xr3:uid="{8C60FC3C-D3C7-48EF-AABD-55EF3CFE547F}" name="Column5182"/>
    <tableColumn id="5210" xr3:uid="{6DFDFD6E-049A-488E-9BBA-56A1A04A95CC}" name="Column5183"/>
    <tableColumn id="5211" xr3:uid="{99E3F8E9-342D-4386-BF33-0D65367B9F71}" name="Column5184"/>
    <tableColumn id="5212" xr3:uid="{5DE80BFA-27DC-4C07-B1B1-D517C0CE9FB4}" name="Column5185"/>
    <tableColumn id="5213" xr3:uid="{BEB700AF-D7D4-40E8-A8AF-83DEE9C98534}" name="Column5186"/>
    <tableColumn id="5214" xr3:uid="{87902615-3B99-4851-80E0-551F72DA334B}" name="Column5187"/>
    <tableColumn id="5215" xr3:uid="{D3EA9CED-9F37-48E9-89E5-E7D6BB02E972}" name="Column5188"/>
    <tableColumn id="5216" xr3:uid="{07E866EE-F7E9-4CA7-8905-2DD22205CE29}" name="Column5189"/>
    <tableColumn id="5217" xr3:uid="{85C9DF7F-C8E9-47F0-8F9A-766BC54E48A9}" name="Column5190"/>
    <tableColumn id="5218" xr3:uid="{E3D4EDE7-8782-48A2-8E19-E0CD886A58F5}" name="Column5191"/>
    <tableColumn id="5219" xr3:uid="{6F01FAAF-F046-441A-816F-0ED426748BBB}" name="Column5192"/>
    <tableColumn id="5220" xr3:uid="{21A750E2-F525-4162-85DE-DA07377B3D83}" name="Column5193"/>
    <tableColumn id="5221" xr3:uid="{86ACAD8C-0536-4D6C-9DE2-4F68574FB8AF}" name="Column5194"/>
    <tableColumn id="5222" xr3:uid="{B4CB27C0-E68A-46E0-A328-33C75951E233}" name="Column5195"/>
    <tableColumn id="5223" xr3:uid="{872BBA1E-AC9B-455D-BB8A-1948C7B9D9FD}" name="Column5196"/>
    <tableColumn id="5224" xr3:uid="{C1BB43F1-1CAC-4F22-B131-52A2460A4C50}" name="Column5197"/>
    <tableColumn id="5225" xr3:uid="{B11E76C6-4132-418F-AAC2-7A50B498E63D}" name="Column5198"/>
    <tableColumn id="5226" xr3:uid="{5D07C56C-52DA-4C41-8170-A6BDD05C406A}" name="Column5199"/>
    <tableColumn id="5227" xr3:uid="{E30EB8F0-56A3-4B85-932D-87B3E5357C65}" name="Column5200"/>
    <tableColumn id="5228" xr3:uid="{74059C9C-EEDA-4D1D-B00B-8481FC1B9B86}" name="Column5201"/>
    <tableColumn id="5229" xr3:uid="{C2B88275-E590-481E-8EF4-DE6599404BAA}" name="Column5202"/>
    <tableColumn id="5230" xr3:uid="{A1D16907-E2B7-4291-812B-1583E56AEADB}" name="Column5203"/>
    <tableColumn id="5231" xr3:uid="{BBB33FDC-DABD-423E-9CE6-300F1DB98E8D}" name="Column5204"/>
    <tableColumn id="5232" xr3:uid="{5D785E9C-9496-4F2E-8FB0-C4E26F9DDE49}" name="Column5205"/>
    <tableColumn id="5233" xr3:uid="{594682A9-B5D4-47AD-B92C-CC2F5DAC2D93}" name="Column5206"/>
    <tableColumn id="5234" xr3:uid="{65FD95CA-240B-4960-AFEE-92BEEC6DB434}" name="Column5207"/>
    <tableColumn id="5235" xr3:uid="{3B123CDB-807A-4911-964A-EABC3DB6985E}" name="Column5208"/>
    <tableColumn id="5236" xr3:uid="{819A096F-170C-48FB-B0B8-1DF1109F91B1}" name="Column5209"/>
    <tableColumn id="5237" xr3:uid="{ACC02089-360A-4A6D-9CA7-D97155C29540}" name="Column5210"/>
    <tableColumn id="5238" xr3:uid="{96CE47A2-4EAD-4862-B214-192159625D76}" name="Column5211"/>
    <tableColumn id="5239" xr3:uid="{AD29C6B4-190C-4483-A5A7-31AEAE5D0FC9}" name="Column5212"/>
    <tableColumn id="5240" xr3:uid="{F635AD6A-2D79-4438-8295-479B11F88670}" name="Column5213"/>
    <tableColumn id="5241" xr3:uid="{F4CC918D-796A-49D2-B456-47C3C2EDEBC4}" name="Column5214"/>
    <tableColumn id="5242" xr3:uid="{53D95EF3-D12F-4076-8842-1EA53C0F4499}" name="Column5215"/>
    <tableColumn id="5243" xr3:uid="{12ACFE86-C2E3-412A-B0FE-11E4A21723CD}" name="Column5216"/>
    <tableColumn id="5244" xr3:uid="{5BD63B0A-1875-48D0-8E21-88923243BB79}" name="Column5217"/>
    <tableColumn id="5245" xr3:uid="{98CF2763-B507-479E-84CF-0326649C74B4}" name="Column5218"/>
    <tableColumn id="5246" xr3:uid="{5F0AA8BC-42FE-4F34-B097-8845A2CA43E2}" name="Column5219"/>
    <tableColumn id="5247" xr3:uid="{509EA795-93F2-4C82-9B17-0A6B48E613AE}" name="Column5220"/>
    <tableColumn id="5248" xr3:uid="{1B309D66-A091-4055-B272-59E7A180A476}" name="Column5221"/>
    <tableColumn id="5249" xr3:uid="{4A397970-E044-40FE-A9B5-879246836C12}" name="Column5222"/>
    <tableColumn id="5250" xr3:uid="{0A0BA436-8F52-4EBA-91AE-0035185CF5A1}" name="Column5223"/>
    <tableColumn id="5251" xr3:uid="{4EAC4F53-C26C-474C-B5C4-72D042022F2E}" name="Column5224"/>
    <tableColumn id="5252" xr3:uid="{7AED475A-9EAA-4462-8BAE-0242BD45E28B}" name="Column5225"/>
    <tableColumn id="5253" xr3:uid="{0241C6E7-DC33-4806-9FFA-A2F7A9AA41F4}" name="Column5226"/>
    <tableColumn id="5254" xr3:uid="{8DFF7968-C838-4C74-8F93-59B57BF6075C}" name="Column5227"/>
    <tableColumn id="5255" xr3:uid="{3C3CFD16-D593-4FAF-A75C-A97DE7A648B7}" name="Column5228"/>
    <tableColumn id="5256" xr3:uid="{7244BB33-0235-44F0-9041-421F884C53E2}" name="Column5229"/>
    <tableColumn id="5257" xr3:uid="{F76A62D6-8EE0-40AB-A147-7C5C567BBB0C}" name="Column5230"/>
    <tableColumn id="5258" xr3:uid="{7D9E4F02-B4CA-442D-973C-75D563D464F9}" name="Column5231"/>
    <tableColumn id="5259" xr3:uid="{1309FB0B-E603-4BC4-8302-40980E3C3C2F}" name="Column5232"/>
    <tableColumn id="5260" xr3:uid="{1A9E16D8-A1C1-43B8-99E6-1A584ABF1BD8}" name="Column5233"/>
    <tableColumn id="5261" xr3:uid="{40CB50DF-37E0-4E09-BA07-DBC488B57087}" name="Column5234"/>
    <tableColumn id="5262" xr3:uid="{89929BC2-6E48-49BD-B71F-569E34773915}" name="Column5235"/>
    <tableColumn id="5263" xr3:uid="{08A1DF8A-39E6-4C67-A5A7-FEADE7EF7A9D}" name="Column5236"/>
    <tableColumn id="5264" xr3:uid="{8636D0AB-41C7-48CA-B17E-12BD01C7241B}" name="Column5237"/>
    <tableColumn id="5265" xr3:uid="{C258036D-BFD5-4D8F-B661-22153B813C3C}" name="Column5238"/>
    <tableColumn id="5266" xr3:uid="{5D5DD486-8759-4419-A66A-F4036674CB26}" name="Column5239"/>
    <tableColumn id="5267" xr3:uid="{B78C364E-EF75-4C39-8CF4-6342D311303B}" name="Column5240"/>
    <tableColumn id="5268" xr3:uid="{E8F405DE-746E-4636-99B0-7DEA24531D6B}" name="Column5241"/>
    <tableColumn id="5269" xr3:uid="{E3941B5B-8BB3-4D4D-90F6-38E188E2D1F1}" name="Column5242"/>
    <tableColumn id="5270" xr3:uid="{98B64B46-020E-46BC-A9C7-0B9B0B5F1652}" name="Column5243"/>
    <tableColumn id="5271" xr3:uid="{99D72941-8393-4EB0-8B93-6D3E88EED183}" name="Column5244"/>
    <tableColumn id="5272" xr3:uid="{83A91FA4-7904-479B-A772-14B9D4EFB588}" name="Column5245"/>
    <tableColumn id="5273" xr3:uid="{D7236014-985E-4C10-A829-2A0413777AB3}" name="Column5246"/>
    <tableColumn id="5274" xr3:uid="{BC54533B-C655-420E-9E38-DDD501AD4242}" name="Column5247"/>
    <tableColumn id="5275" xr3:uid="{CB27EB0A-E25C-4188-BAAA-957C049FED2F}" name="Column5248"/>
    <tableColumn id="5276" xr3:uid="{65C4E5AF-7F40-46D8-B528-EED352813868}" name="Column5249"/>
    <tableColumn id="5277" xr3:uid="{CA06D576-30A2-4E9F-B255-AC14163CCB2F}" name="Column5250"/>
    <tableColumn id="5278" xr3:uid="{17FD5AC8-0CD9-49C7-B934-50DBDB71874F}" name="Column5251"/>
    <tableColumn id="5279" xr3:uid="{63E61A5A-A1AD-41CD-B080-5EAA205FF71E}" name="Column5252"/>
    <tableColumn id="5280" xr3:uid="{2B1CDAB3-2A74-4227-BDD5-FEC67584A4E0}" name="Column5253"/>
    <tableColumn id="5281" xr3:uid="{511CE864-EC84-4E18-A003-A48312580A74}" name="Column5254"/>
    <tableColumn id="5282" xr3:uid="{3AB34E6D-BD42-4C4D-B4D4-FA3E85C5D509}" name="Column5255"/>
    <tableColumn id="5283" xr3:uid="{E9D8AB56-FD7D-40C4-B527-19CD5BEE1DE1}" name="Column5256"/>
    <tableColumn id="5284" xr3:uid="{6F02E12E-AAC3-475A-9498-D1F336AD9010}" name="Column5257"/>
    <tableColumn id="5285" xr3:uid="{F71B3E73-8C48-474A-B32F-09EAF015D442}" name="Column5258"/>
    <tableColumn id="5286" xr3:uid="{384B148A-8874-4259-AAF5-4924C2E43B50}" name="Column5259"/>
    <tableColumn id="5287" xr3:uid="{A9E1507D-512A-4BD9-83A1-70857BF2E66C}" name="Column5260"/>
    <tableColumn id="5288" xr3:uid="{49B3D566-61F5-46EC-A03A-54EB75CF394C}" name="Column5261"/>
    <tableColumn id="5289" xr3:uid="{28746E82-7D7A-4462-A8D3-DACBEF0FD1C6}" name="Column5262"/>
    <tableColumn id="5290" xr3:uid="{9A7A5CA1-9E28-4CC7-9CFC-B4D6DCD59024}" name="Column5263"/>
    <tableColumn id="5291" xr3:uid="{E9A926B6-D562-484D-87A6-F51E45815B15}" name="Column5264"/>
    <tableColumn id="5292" xr3:uid="{A8F39B71-3455-4E6C-A977-FD0CE89DA7C0}" name="Column5265"/>
    <tableColumn id="5293" xr3:uid="{9ECC9F3F-7259-4F83-B317-370811A9BF84}" name="Column5266"/>
    <tableColumn id="5294" xr3:uid="{108235C1-B4A2-4104-8FCA-6ADBC929E0FC}" name="Column5267"/>
    <tableColumn id="5295" xr3:uid="{06EFEB7F-A5E5-4D73-B9E5-8BCFC8735CBB}" name="Column5268"/>
    <tableColumn id="5296" xr3:uid="{3FD6AB6A-31E1-402C-B5B2-367385126798}" name="Column5269"/>
    <tableColumn id="5297" xr3:uid="{62523DDB-0A6C-4C59-A660-6B8768D6CA7C}" name="Column5270"/>
    <tableColumn id="5298" xr3:uid="{9C051895-F794-490A-BFAD-7EC91E3D007D}" name="Column5271"/>
    <tableColumn id="5299" xr3:uid="{D8F3E909-975B-4116-BCB7-B38B4A47A1B1}" name="Column5272"/>
    <tableColumn id="5300" xr3:uid="{DECF1D20-D132-4B82-A17E-559F67A319CF}" name="Column5273"/>
    <tableColumn id="5301" xr3:uid="{0682A5B0-53EA-4DCB-94A2-71C4B0845A74}" name="Column5274"/>
    <tableColumn id="5302" xr3:uid="{86C93318-5A85-4083-863E-88AC899B94CB}" name="Column5275"/>
    <tableColumn id="5303" xr3:uid="{B11185BA-E3E9-49C7-9832-EA8A9555E4C4}" name="Column5276"/>
    <tableColumn id="5304" xr3:uid="{F26C3A46-56E3-4BF7-9928-AF8AFBE9F84A}" name="Column5277"/>
    <tableColumn id="5305" xr3:uid="{FA281F38-81B1-4090-868F-757EB0BA0758}" name="Column5278"/>
    <tableColumn id="5306" xr3:uid="{0DB1285B-9403-47F4-8B00-651D988A9ACD}" name="Column5279"/>
    <tableColumn id="5307" xr3:uid="{E440CC2C-3064-4D22-8AFD-C2A35BACC2CF}" name="Column5280"/>
    <tableColumn id="5308" xr3:uid="{CA24DAC7-464A-428F-AB7A-B124592E8D4E}" name="Column5281"/>
    <tableColumn id="5309" xr3:uid="{FB66280B-B978-491E-A431-714699B2B798}" name="Column5282"/>
    <tableColumn id="5310" xr3:uid="{F634F65E-B08F-4B61-B03D-44D17ED76BB0}" name="Column5283"/>
    <tableColumn id="5311" xr3:uid="{A20C77D4-BDFE-4204-95B2-63F475A027CE}" name="Column5284"/>
    <tableColumn id="5312" xr3:uid="{E0F084DF-ABE0-4A78-8DD4-B95554703AA6}" name="Column5285"/>
    <tableColumn id="5313" xr3:uid="{126AD660-5DD2-47A3-BB05-A56B5140EE1B}" name="Column5286"/>
    <tableColumn id="5314" xr3:uid="{1A205A32-6624-4620-9891-CF50293670E4}" name="Column5287"/>
    <tableColumn id="5315" xr3:uid="{A465F33A-C404-4892-B2D6-80A330A5E5F3}" name="Column5288"/>
    <tableColumn id="5316" xr3:uid="{8AF6D5EF-3B90-4066-8F13-13EB8F2DFB4C}" name="Column5289"/>
    <tableColumn id="5317" xr3:uid="{4CE32A85-465C-45E0-9489-C7DDF8B40EA8}" name="Column5290"/>
    <tableColumn id="5318" xr3:uid="{620550F1-1082-4FA0-8A69-95DEA91D5934}" name="Column5291"/>
    <tableColumn id="5319" xr3:uid="{2983F36F-F763-498A-BF7E-70413C133669}" name="Column5292"/>
    <tableColumn id="5320" xr3:uid="{06C6F1BC-6A28-486E-B0AD-4648ECDCE3B3}" name="Column5293"/>
    <tableColumn id="5321" xr3:uid="{F01E6A85-55FA-42BA-A83D-6113197BA4F5}" name="Column5294"/>
    <tableColumn id="5322" xr3:uid="{48E0BA03-FB50-4A74-B316-05750AF242DC}" name="Column5295"/>
    <tableColumn id="5323" xr3:uid="{7287BC3D-AD10-476A-B0A8-90432E9EF241}" name="Column5296"/>
    <tableColumn id="5324" xr3:uid="{CA8F0D26-679E-4956-922F-EA13B1D3C0DA}" name="Column5297"/>
    <tableColumn id="5325" xr3:uid="{72DE161B-65A0-491A-9A90-5BEB6F2194B3}" name="Column5298"/>
    <tableColumn id="5326" xr3:uid="{B8AC4CEE-D016-4382-BE9A-DE79F71CA1D7}" name="Column5299"/>
    <tableColumn id="5327" xr3:uid="{B5D73932-DC4C-499B-9129-1C9C9826DCB6}" name="Column5300"/>
    <tableColumn id="5328" xr3:uid="{F11DD5B1-6518-4C84-B938-7B44050225FE}" name="Column5301"/>
    <tableColumn id="5329" xr3:uid="{A2DF23E8-9C80-49EE-BB71-26FED161B7AB}" name="Column5302"/>
    <tableColumn id="5330" xr3:uid="{C577FD05-E245-40E5-A6A7-ED249FF7DA21}" name="Column5303"/>
    <tableColumn id="5331" xr3:uid="{21852106-C185-4208-B2B2-89B9766AB1FA}" name="Column5304"/>
    <tableColumn id="5332" xr3:uid="{61C321AB-19AE-4E98-9519-0F3489A0F58B}" name="Column5305"/>
    <tableColumn id="5333" xr3:uid="{D834D829-4CB5-40EB-A33E-E5D80A1931BE}" name="Column5306"/>
    <tableColumn id="5334" xr3:uid="{44D55842-D56B-471F-B9E7-A12143A63DC0}" name="Column5307"/>
    <tableColumn id="5335" xr3:uid="{859ED0FA-97D9-41A7-9801-F1E17696F6BD}" name="Column5308"/>
    <tableColumn id="5336" xr3:uid="{DB13DB6D-A624-4D54-9D9B-788506A2C3A6}" name="Column5309"/>
    <tableColumn id="5337" xr3:uid="{4B33BB6D-68C7-478D-9EF2-C9D78CEB1771}" name="Column5310"/>
    <tableColumn id="5338" xr3:uid="{EE6B989B-A0F6-4A6C-97D3-EDEDE36A0D47}" name="Column5311"/>
    <tableColumn id="5339" xr3:uid="{37F96C08-C892-4323-B5C8-4B2735389966}" name="Column5312"/>
    <tableColumn id="5340" xr3:uid="{7AFBB403-68F1-4EAC-9573-34F2B405F422}" name="Column5313"/>
    <tableColumn id="5341" xr3:uid="{B5EB9EB6-26E2-430B-91D7-0C070B3AA655}" name="Column5314"/>
    <tableColumn id="5342" xr3:uid="{2C43AA3F-27D5-40DB-A93B-B0FF261B837A}" name="Column5315"/>
    <tableColumn id="5343" xr3:uid="{F544D586-6E51-4342-AE22-445969C9EF72}" name="Column5316"/>
    <tableColumn id="5344" xr3:uid="{208C956C-8A79-4636-B7C8-4986AE715702}" name="Column5317"/>
    <tableColumn id="5345" xr3:uid="{9CA80556-4242-4639-8F0D-F5FFD5171949}" name="Column5318"/>
    <tableColumn id="5346" xr3:uid="{472F539A-4977-44AD-8F38-595FD3DEA1A2}" name="Column5319"/>
    <tableColumn id="5347" xr3:uid="{7A724982-A961-4B99-AF01-82FC7D777F8A}" name="Column5320"/>
    <tableColumn id="5348" xr3:uid="{194D62FF-1A08-4438-9B30-952A9C86D7DE}" name="Column5321"/>
    <tableColumn id="5349" xr3:uid="{47BCC1B6-13D6-4F33-B9F7-92168760F12D}" name="Column5322"/>
    <tableColumn id="5350" xr3:uid="{CE33555F-FF9F-4BC0-9E72-AB55F724C79C}" name="Column5323"/>
    <tableColumn id="5351" xr3:uid="{BDA33F91-64F9-4486-A1E9-C706C2EDE2A6}" name="Column5324"/>
    <tableColumn id="5352" xr3:uid="{2AB70859-8EAE-4E80-B8F0-8AFA049F977D}" name="Column5325"/>
    <tableColumn id="5353" xr3:uid="{5E50C5FD-FA0D-4936-8E16-1B6D9DB57E2C}" name="Column5326"/>
    <tableColumn id="5354" xr3:uid="{64A3DB49-F35D-4872-AA58-642EC5151E48}" name="Column5327"/>
    <tableColumn id="5355" xr3:uid="{0D1FE88D-72D9-42B9-9208-6F9C7E917C7D}" name="Column5328"/>
    <tableColumn id="5356" xr3:uid="{84067C4D-ECD7-4B6E-A440-9E7104594C5A}" name="Column5329"/>
    <tableColumn id="5357" xr3:uid="{5C9DC779-843C-4654-898D-B237F019D8B0}" name="Column5330"/>
    <tableColumn id="5358" xr3:uid="{335FB337-11FB-4354-AF89-A8DFA1E18470}" name="Column5331"/>
    <tableColumn id="5359" xr3:uid="{2D4251FA-A497-4CCA-A6F9-736C589D0496}" name="Column5332"/>
    <tableColumn id="5360" xr3:uid="{CF20C59B-9306-4DDC-BFAA-C3E35A683636}" name="Column5333"/>
    <tableColumn id="5361" xr3:uid="{182847A5-419B-47E4-8A4E-5580527BD8A6}" name="Column5334"/>
    <tableColumn id="5362" xr3:uid="{DB118C34-4C4B-460D-A5EA-80AD96AA0135}" name="Column5335"/>
    <tableColumn id="5363" xr3:uid="{F635E145-3C73-430B-B1E3-1DC7C562FC63}" name="Column5336"/>
    <tableColumn id="5364" xr3:uid="{03836088-6693-4E99-9CC4-0E921198ABED}" name="Column5337"/>
    <tableColumn id="5365" xr3:uid="{6E48DB23-F650-4580-A790-FF8370DAD4F7}" name="Column5338"/>
    <tableColumn id="5366" xr3:uid="{A5E7B1EE-D50A-474F-9B9A-D667BDB860EF}" name="Column5339"/>
    <tableColumn id="5367" xr3:uid="{ABD998EB-3BF7-4459-B09A-92E0C531987D}" name="Column5340"/>
    <tableColumn id="5368" xr3:uid="{30D39B38-2167-4AE6-8360-B71177CBDDC4}" name="Column5341"/>
    <tableColumn id="5369" xr3:uid="{E7C0DED5-3FEA-4459-8055-978109AB528C}" name="Column5342"/>
    <tableColumn id="5370" xr3:uid="{B42F0944-EE15-4FED-972C-8CE51B14FA80}" name="Column5343"/>
    <tableColumn id="5371" xr3:uid="{B3FDDE01-D48F-44BD-A252-660E6967632E}" name="Column5344"/>
    <tableColumn id="5372" xr3:uid="{26298A51-D0D2-4FAB-895B-8EFE8F918278}" name="Column5345"/>
    <tableColumn id="5373" xr3:uid="{EA6BCC67-5E51-4B1C-A073-84D0D503FF12}" name="Column5346"/>
    <tableColumn id="5374" xr3:uid="{6854CF7C-0F00-4BCB-854E-CB587E4D44A7}" name="Column5347"/>
    <tableColumn id="5375" xr3:uid="{81AB8F70-E459-4A70-A90E-87CE3F5257E8}" name="Column5348"/>
    <tableColumn id="5376" xr3:uid="{797320CB-7DC1-46FB-9273-980704C398C5}" name="Column5349"/>
    <tableColumn id="5377" xr3:uid="{CDBDED29-23A7-4E49-A3D0-25D92A1F06C3}" name="Column5350"/>
    <tableColumn id="5378" xr3:uid="{93275F94-D9B2-4AF8-8B1E-D90B049501AC}" name="Column5351"/>
    <tableColumn id="5379" xr3:uid="{278C0167-9E63-4D19-8CC9-48B6B0A67913}" name="Column5352"/>
    <tableColumn id="5380" xr3:uid="{A920A2E7-5324-4358-87E0-416E1E140704}" name="Column5353"/>
    <tableColumn id="5381" xr3:uid="{CA4CF3F6-C225-4864-B9EC-BBF44557A053}" name="Column5354"/>
    <tableColumn id="5382" xr3:uid="{9FF86373-5DE4-4AEE-B250-50B7240B205F}" name="Column5355"/>
    <tableColumn id="5383" xr3:uid="{8A69226F-B718-4E6D-8B6E-8DA7672304CF}" name="Column5356"/>
    <tableColumn id="5384" xr3:uid="{DF16FC28-9BD6-4ECC-B080-1D45C31A0A37}" name="Column5357"/>
    <tableColumn id="5385" xr3:uid="{1C4DD2CB-E8F6-44CF-9109-D032D2D82110}" name="Column5358"/>
    <tableColumn id="5386" xr3:uid="{9F02F119-47C9-44EB-995E-F8C6942D5BC4}" name="Column5359"/>
    <tableColumn id="5387" xr3:uid="{39F07F8C-00FC-4415-B298-A921446DF1AA}" name="Column5360"/>
    <tableColumn id="5388" xr3:uid="{B960BA59-0DF9-4F81-8310-B647DDF2F4DF}" name="Column5361"/>
    <tableColumn id="5389" xr3:uid="{DE10A45B-0B2A-4362-8EFA-0B5075C0DE80}" name="Column5362"/>
    <tableColumn id="5390" xr3:uid="{70789260-8278-497B-9A39-02D4A3F8017D}" name="Column5363"/>
    <tableColumn id="5391" xr3:uid="{D546BD3E-0CB4-4E33-BC3C-34722D1FCEEB}" name="Column5364"/>
    <tableColumn id="5392" xr3:uid="{B9142CCA-EC20-460E-93CA-116206CEAE0B}" name="Column5365"/>
    <tableColumn id="5393" xr3:uid="{481065AF-BC8D-4FF6-BCA2-26CD6E27B12A}" name="Column5366"/>
    <tableColumn id="5394" xr3:uid="{1A818AF9-0AE8-4D34-A7A0-02E5989A383B}" name="Column5367"/>
    <tableColumn id="5395" xr3:uid="{3FF5558D-BC29-40BB-B6B9-40617FA85E38}" name="Column5368"/>
    <tableColumn id="5396" xr3:uid="{4AF68481-FA6A-4C2D-B7BA-3C8933C8C1FF}" name="Column5369"/>
    <tableColumn id="5397" xr3:uid="{688D6AF5-7F1D-4DF0-B816-ED2DCCB39C74}" name="Column5370"/>
    <tableColumn id="5398" xr3:uid="{9DA72EF8-93F7-4F18-B20A-A338CDE50368}" name="Column5371"/>
    <tableColumn id="5399" xr3:uid="{5D9C5BC8-C0CF-4CAF-8EED-01560955573F}" name="Column5372"/>
    <tableColumn id="5400" xr3:uid="{20947723-58AB-4A7F-BA4B-1FFF61BBC742}" name="Column5373"/>
    <tableColumn id="5401" xr3:uid="{A435B699-BE89-426D-9BFE-FBEE0FEAB516}" name="Column5374"/>
    <tableColumn id="5402" xr3:uid="{B7A80E2B-4639-4039-97C0-F22B8A646959}" name="Column5375"/>
    <tableColumn id="5403" xr3:uid="{F4145D1A-28C8-4F95-94E0-E0CD4D401603}" name="Column5376"/>
    <tableColumn id="5404" xr3:uid="{422FC910-45C8-4BB0-8789-A176A14B9B44}" name="Column5377"/>
    <tableColumn id="5405" xr3:uid="{CCD9062F-0D42-4981-AB9C-FA1217231783}" name="Column5378"/>
    <tableColumn id="5406" xr3:uid="{05003631-FC36-4A49-8789-148B352D0BF5}" name="Column5379"/>
    <tableColumn id="5407" xr3:uid="{AD9AE113-9701-4AC1-BB20-862B4D0E9B6C}" name="Column5380"/>
    <tableColumn id="5408" xr3:uid="{B3A743CC-04FE-4F5B-811D-641FF73F7F53}" name="Column5381"/>
    <tableColumn id="5409" xr3:uid="{88E12AA5-0001-485D-9544-F8326986C929}" name="Column5382"/>
    <tableColumn id="5410" xr3:uid="{992AF3DE-3FE0-40DC-A0D2-117FE0F19665}" name="Column5383"/>
    <tableColumn id="5411" xr3:uid="{7493A550-9488-4BF8-BF04-619613D7E11C}" name="Column5384"/>
    <tableColumn id="5412" xr3:uid="{0CCBDC68-69BF-4E0B-A8C0-C42934358363}" name="Column5385"/>
    <tableColumn id="5413" xr3:uid="{46DE32E4-69D6-4C7E-9F2B-46DBA03A9735}" name="Column5386"/>
    <tableColumn id="5414" xr3:uid="{2F15AA6E-47FE-405B-BCC1-DE47FF07A7ED}" name="Column5387"/>
    <tableColumn id="5415" xr3:uid="{871906C7-F769-44CB-A93D-7A219ADC8EF6}" name="Column5388"/>
    <tableColumn id="5416" xr3:uid="{0EC87927-F8BA-4963-BE7F-3376C6698C3F}" name="Column5389"/>
    <tableColumn id="5417" xr3:uid="{4607F5F3-430F-4842-AF2E-0C1BA0EB0F73}" name="Column5390"/>
    <tableColumn id="5418" xr3:uid="{7273CB33-792F-41D6-BC47-011E03735392}" name="Column5391"/>
    <tableColumn id="5419" xr3:uid="{9AE756BC-3058-472D-BFE1-3293DA7427CC}" name="Column5392"/>
    <tableColumn id="5420" xr3:uid="{A396F1CD-5A39-48B7-871B-1D6389D12725}" name="Column5393"/>
    <tableColumn id="5421" xr3:uid="{5BC48F91-30D8-44E5-8381-3B06E3598336}" name="Column5394"/>
    <tableColumn id="5422" xr3:uid="{E72B7B57-6BD1-4784-AB60-820BF616A258}" name="Column5395"/>
    <tableColumn id="5423" xr3:uid="{54B8109D-7B87-4861-B558-1C42F83574CB}" name="Column5396"/>
    <tableColumn id="5424" xr3:uid="{1D398C73-B4BA-4D51-8A62-8644D590B344}" name="Column5397"/>
    <tableColumn id="5425" xr3:uid="{3C56862C-FDE4-4954-BE7A-8A49FF7B39C9}" name="Column5398"/>
    <tableColumn id="5426" xr3:uid="{721B3063-D548-4167-80A4-DF81A37D2FE9}" name="Column5399"/>
    <tableColumn id="5427" xr3:uid="{6891B795-BC99-4A89-BC55-ABC8FD93816B}" name="Column5400"/>
    <tableColumn id="5428" xr3:uid="{A2128E40-0B7D-495F-BF9F-E251D0032178}" name="Column5401"/>
    <tableColumn id="5429" xr3:uid="{B7842423-7A34-42E8-B5CF-4F7FE8DB5E72}" name="Column5402"/>
    <tableColumn id="5430" xr3:uid="{D9A2C786-725A-45B4-A50B-874490F9D8E0}" name="Column5403"/>
    <tableColumn id="5431" xr3:uid="{C2E02251-EBAB-4BA6-9D67-A4C10C6B2FD0}" name="Column5404"/>
    <tableColumn id="5432" xr3:uid="{A8DC9B9C-4184-4080-B1D7-FA3B4F981A73}" name="Column5405"/>
    <tableColumn id="5433" xr3:uid="{179F4DDA-F678-4BCD-AA26-AD0D88378BC0}" name="Column5406"/>
    <tableColumn id="5434" xr3:uid="{136387CE-6686-444B-8C8F-CD3CCDEAE89C}" name="Column5407"/>
    <tableColumn id="5435" xr3:uid="{0A9E1B37-693F-40D8-992B-07878B768FC6}" name="Column5408"/>
    <tableColumn id="5436" xr3:uid="{D96B0E05-5A46-498D-BF8F-A843EBE57E2F}" name="Column5409"/>
    <tableColumn id="5437" xr3:uid="{FEE3C10A-C47C-4C51-9EE3-C37984BF4CA4}" name="Column5410"/>
    <tableColumn id="5438" xr3:uid="{C064E16F-EF42-4962-98C8-780A9C4BDBC6}" name="Column5411"/>
    <tableColumn id="5439" xr3:uid="{B2AB52B4-9DC0-4302-AA82-4CD05C62221D}" name="Column5412"/>
    <tableColumn id="5440" xr3:uid="{0A421616-6BD8-492B-9F3D-39F382159458}" name="Column5413"/>
    <tableColumn id="5441" xr3:uid="{8B1D6443-90EE-4790-97A2-4EB52A5F91DA}" name="Column5414"/>
    <tableColumn id="5442" xr3:uid="{1FA65948-14AB-4311-A804-A192AEA42222}" name="Column5415"/>
    <tableColumn id="5443" xr3:uid="{97E3B00E-CEE9-4C96-96C2-7E365D9EC50B}" name="Column5416"/>
    <tableColumn id="5444" xr3:uid="{E85661AF-20B1-4A73-A279-4B30AE900658}" name="Column5417"/>
    <tableColumn id="5445" xr3:uid="{3372AD23-4900-48FE-82B8-0C2E0FE4FE51}" name="Column5418"/>
    <tableColumn id="5446" xr3:uid="{A08BBCA2-D541-4814-9E8E-7AADCD375A94}" name="Column5419"/>
    <tableColumn id="5447" xr3:uid="{42B789BA-417B-4695-A4C0-A0AB1A4248F9}" name="Column5420"/>
    <tableColumn id="5448" xr3:uid="{7AFC9D71-945B-484C-A589-C3890B47D9A9}" name="Column5421"/>
    <tableColumn id="5449" xr3:uid="{C7594E3F-B565-451C-A4C6-157E5597D5C3}" name="Column5422"/>
    <tableColumn id="5450" xr3:uid="{422E566A-A53D-423F-BC68-3EC233198D15}" name="Column5423"/>
    <tableColumn id="5451" xr3:uid="{9D5BBF76-F631-4E47-93FA-F71004B9C55F}" name="Column5424"/>
    <tableColumn id="5452" xr3:uid="{CC144F6E-F640-4171-A53B-E48D8A3198B0}" name="Column5425"/>
    <tableColumn id="5453" xr3:uid="{EFA2AACE-FAB3-4B7B-9C82-4478928B72F6}" name="Column5426"/>
    <tableColumn id="5454" xr3:uid="{729F9617-5923-4887-A4FB-4A45F707CBC3}" name="Column5427"/>
    <tableColumn id="5455" xr3:uid="{0FC6F4C4-5972-4F7F-83AA-55EC0E4F0E79}" name="Column5428"/>
    <tableColumn id="5456" xr3:uid="{C87007CF-EF61-47BF-B2CA-E508CB5003D5}" name="Column5429"/>
    <tableColumn id="5457" xr3:uid="{73F24E82-A31E-480D-A1CB-20316DCC7389}" name="Column5430"/>
    <tableColumn id="5458" xr3:uid="{7D043B69-F122-4E1D-A44A-8183E598BA18}" name="Column5431"/>
    <tableColumn id="5459" xr3:uid="{3C79C56D-34CA-4B0A-897C-CEEC19B9A24B}" name="Column5432"/>
    <tableColumn id="5460" xr3:uid="{FC80150C-B047-454D-A164-B9161E5740F7}" name="Column5433"/>
    <tableColumn id="5461" xr3:uid="{0B0268CC-BDDD-45D4-83E7-61F45C390AC5}" name="Column5434"/>
    <tableColumn id="5462" xr3:uid="{E2659CCF-B120-468A-BB31-3DFFC748FDE2}" name="Column5435"/>
    <tableColumn id="5463" xr3:uid="{D1D52018-1D0D-4492-8D49-927E8B090EA3}" name="Column5436"/>
    <tableColumn id="5464" xr3:uid="{7A46F972-3DE7-403E-841F-9EB6863BE228}" name="Column5437"/>
    <tableColumn id="5465" xr3:uid="{C7F4C556-B6C4-42B7-9C0B-C896D8D4305F}" name="Column5438"/>
    <tableColumn id="5466" xr3:uid="{E423B1F0-C474-4D8E-9C84-D8B4ACC9521D}" name="Column5439"/>
    <tableColumn id="5467" xr3:uid="{D286670B-9892-4AA9-A88E-EDF1E00452AA}" name="Column5440"/>
    <tableColumn id="5468" xr3:uid="{CCFEE891-AFB7-40E2-A96C-994675CDA995}" name="Column5441"/>
    <tableColumn id="5469" xr3:uid="{2A636866-FF85-4F5E-A520-7B7D8125874D}" name="Column5442"/>
    <tableColumn id="5470" xr3:uid="{EE0C663F-80A5-4B32-9625-1158EF5CBF48}" name="Column5443"/>
    <tableColumn id="5471" xr3:uid="{8DF1E35C-29E5-4992-B310-59F1663C6F19}" name="Column5444"/>
    <tableColumn id="5472" xr3:uid="{D5673715-6B79-499D-B3AC-55ED71E74618}" name="Column5445"/>
    <tableColumn id="5473" xr3:uid="{13450159-7499-46E7-9896-C6656C465DE2}" name="Column5446"/>
    <tableColumn id="5474" xr3:uid="{370A3C93-7C02-4B42-B74D-789239459EF5}" name="Column5447"/>
    <tableColumn id="5475" xr3:uid="{B59654FB-8760-4F9B-A4B5-B24CF75A99D3}" name="Column5448"/>
    <tableColumn id="5476" xr3:uid="{81AF39E3-6192-4692-AFA5-1FCFD3C1B608}" name="Column5449"/>
    <tableColumn id="5477" xr3:uid="{AF4D23B9-D160-42F9-9795-8CAB76820F83}" name="Column5450"/>
    <tableColumn id="5478" xr3:uid="{B17F3482-9DC8-4B56-961D-3FBD85B6D8CC}" name="Column5451"/>
    <tableColumn id="5479" xr3:uid="{20BAC6C2-17C2-439B-BBCD-DCCE32453914}" name="Column5452"/>
    <tableColumn id="5480" xr3:uid="{8398C0AB-0A04-47FE-90E5-0182C0B2178B}" name="Column5453"/>
    <tableColumn id="5481" xr3:uid="{D1B8CB65-2D8C-446C-8563-8576F0A3DE9F}" name="Column5454"/>
    <tableColumn id="5482" xr3:uid="{363C35DB-9664-439E-B737-50F633E525A8}" name="Column5455"/>
    <tableColumn id="5483" xr3:uid="{CDFE49D8-3281-44A3-9DCE-38449D0B2C46}" name="Column5456"/>
    <tableColumn id="5484" xr3:uid="{C8B93D9C-A63D-478D-B850-4834FA7BDBC5}" name="Column5457"/>
    <tableColumn id="5485" xr3:uid="{BDBBDFD8-D370-4FB6-B004-B02FDE23C1AD}" name="Column5458"/>
    <tableColumn id="5486" xr3:uid="{1F8DAA13-B890-4B79-97D3-5FA5ADCA2671}" name="Column5459"/>
    <tableColumn id="5487" xr3:uid="{72CD3ACC-00A3-4A46-87AA-296ED414EA5E}" name="Column5460"/>
    <tableColumn id="5488" xr3:uid="{22149152-89AB-43B5-946E-158461C39A5E}" name="Column5461"/>
    <tableColumn id="5489" xr3:uid="{D54A7192-5D1F-490C-ADCD-48EBAD475F7B}" name="Column5462"/>
    <tableColumn id="5490" xr3:uid="{0222D32D-5C72-4977-BEBA-BEFF4158558F}" name="Column5463"/>
    <tableColumn id="5491" xr3:uid="{D00713A9-AD02-40EA-8B2D-2BFC644CA44A}" name="Column5464"/>
    <tableColumn id="5492" xr3:uid="{D5959D0D-6759-438D-8D9C-C36109387A78}" name="Column5465"/>
    <tableColumn id="5493" xr3:uid="{20C3FD08-F4A0-4A4A-8D37-D5CC42D4F796}" name="Column5466"/>
    <tableColumn id="5494" xr3:uid="{36C0A7EC-B29B-4CED-A8FB-682EFED076FB}" name="Column5467"/>
    <tableColumn id="5495" xr3:uid="{49476296-A107-48AC-B3F7-E547D10A0A31}" name="Column5468"/>
    <tableColumn id="5496" xr3:uid="{11AE4B65-6FDD-4AAC-A511-EEDFF63AEA42}" name="Column5469"/>
    <tableColumn id="5497" xr3:uid="{81965AE1-FAF7-4E3F-9128-FF1F2394D25E}" name="Column5470"/>
    <tableColumn id="5498" xr3:uid="{7C2659FC-B50D-494C-9226-69085119E521}" name="Column5471"/>
    <tableColumn id="5499" xr3:uid="{6F59FC0F-E9B0-4740-8099-1003376452D7}" name="Column5472"/>
    <tableColumn id="5500" xr3:uid="{5646D581-5214-4148-BAF7-D3ECC0F86B5F}" name="Column5473"/>
    <tableColumn id="5501" xr3:uid="{9495EA5A-D9F8-4FA1-B2CE-4A7BDA7BBDFF}" name="Column5474"/>
    <tableColumn id="5502" xr3:uid="{26A84D48-5086-4D81-AE8E-CFB1B643717A}" name="Column5475"/>
    <tableColumn id="5503" xr3:uid="{60B1289F-58A7-418F-B34A-46F75A909150}" name="Column5476"/>
    <tableColumn id="5504" xr3:uid="{BC63F851-BB7A-46FB-A89B-0B3BF2D1A979}" name="Column5477"/>
    <tableColumn id="5505" xr3:uid="{D855E8BC-98A5-4993-BAEA-9B272B47FEE2}" name="Column5478"/>
    <tableColumn id="5506" xr3:uid="{74B11C5D-6EE4-4AF2-BA0F-0EB9987F7DA5}" name="Column5479"/>
    <tableColumn id="5507" xr3:uid="{61209650-13C5-495B-908E-44022A0C70A5}" name="Column5480"/>
    <tableColumn id="5508" xr3:uid="{B5D9A007-D72B-4854-95CE-B03561B8E38E}" name="Column5481"/>
    <tableColumn id="5509" xr3:uid="{C3FE1A67-FFA2-4873-8564-162904F2293F}" name="Column5482"/>
    <tableColumn id="5510" xr3:uid="{AB086841-DAFB-451F-AF29-FB6682F61AD2}" name="Column5483"/>
    <tableColumn id="5511" xr3:uid="{AC5A7700-4B08-4938-836B-E8D9B01B5D34}" name="Column5484"/>
    <tableColumn id="5512" xr3:uid="{9651C34B-EA18-4D1B-911F-573ABE5D029E}" name="Column5485"/>
    <tableColumn id="5513" xr3:uid="{CB939492-6C5F-4173-AAEE-5B8D923B56E2}" name="Column5486"/>
    <tableColumn id="5514" xr3:uid="{DCB0716D-DB56-40EC-8B82-83798315BD64}" name="Column5487"/>
    <tableColumn id="5515" xr3:uid="{46803272-6BAF-45B5-A73F-B8CF9FD96F7D}" name="Column5488"/>
    <tableColumn id="5516" xr3:uid="{098E3594-ACD7-4652-BCBE-C7434898655E}" name="Column5489"/>
    <tableColumn id="5517" xr3:uid="{2041F700-CBAC-4713-A454-04C346BD5A9A}" name="Column5490"/>
    <tableColumn id="5518" xr3:uid="{D5D6BE40-BEC5-43F1-8ECF-CE5EA3E44888}" name="Column5491"/>
    <tableColumn id="5519" xr3:uid="{3987DDD3-825F-4770-9BB2-0BA4B87248C9}" name="Column5492"/>
    <tableColumn id="5520" xr3:uid="{CC0960B9-B34E-44B5-907D-307AAB183741}" name="Column5493"/>
    <tableColumn id="5521" xr3:uid="{FCF08FEC-E176-420B-BDF8-06467498DE1F}" name="Column5494"/>
    <tableColumn id="5522" xr3:uid="{FDBAB5E1-788D-4D6E-BE1F-405A7BB47B59}" name="Column5495"/>
    <tableColumn id="5523" xr3:uid="{FBD9AA12-79E0-4571-B3BE-98DB3F48398E}" name="Column5496"/>
    <tableColumn id="5524" xr3:uid="{815FF460-B1D9-4FD0-BDFF-AA42761747C0}" name="Column5497"/>
    <tableColumn id="5525" xr3:uid="{3D5C49E4-7720-4DA8-8F75-03096ED1AB18}" name="Column5498"/>
    <tableColumn id="5526" xr3:uid="{489EEFB3-9AE8-4ACA-A221-3C2B04B0185B}" name="Column5499"/>
    <tableColumn id="5527" xr3:uid="{7041D178-EA9A-4259-B02B-403C01513104}" name="Column5500"/>
    <tableColumn id="5528" xr3:uid="{074C618B-882C-475B-9A0A-C4BFFEF25AB0}" name="Column5501"/>
    <tableColumn id="5529" xr3:uid="{E33798D3-06F4-4808-9D59-7D276C039351}" name="Column5502"/>
    <tableColumn id="5530" xr3:uid="{48FBD917-F926-41A2-8516-FC3EB7142334}" name="Column5503"/>
    <tableColumn id="5531" xr3:uid="{3C09279F-A417-4D6B-B5EC-F2056CCBCC52}" name="Column5504"/>
    <tableColumn id="5532" xr3:uid="{96ADD932-3CED-4F6E-A4AD-5CFB21788B9D}" name="Column5505"/>
    <tableColumn id="5533" xr3:uid="{78A904C3-0E63-45ED-888B-988318DA6CB5}" name="Column5506"/>
    <tableColumn id="5534" xr3:uid="{58A7C381-61A3-4014-A7E9-9883E4EE5207}" name="Column5507"/>
    <tableColumn id="5535" xr3:uid="{BD81243E-79EF-4B27-9106-72992426C98D}" name="Column5508"/>
    <tableColumn id="5536" xr3:uid="{E096D841-0211-4E59-9276-6E66CD3677EE}" name="Column5509"/>
    <tableColumn id="5537" xr3:uid="{E6679ED3-8126-459D-8553-1E876045D09C}" name="Column5510"/>
    <tableColumn id="5538" xr3:uid="{A986C847-D55B-4BFA-BEA0-1BE4A7A4FB6F}" name="Column5511"/>
    <tableColumn id="5539" xr3:uid="{E2507E5D-24BB-4724-B813-1542A9ECEF36}" name="Column5512"/>
    <tableColumn id="5540" xr3:uid="{497D3EBF-B7D0-498A-B9BF-DE7147DB6888}" name="Column5513"/>
    <tableColumn id="5541" xr3:uid="{FF693E76-7E44-4140-A7B9-21BC82B954D5}" name="Column5514"/>
    <tableColumn id="5542" xr3:uid="{BE482BB7-8481-44F2-AEAD-581B4873F644}" name="Column5515"/>
    <tableColumn id="5543" xr3:uid="{5993C352-AB90-4AD5-B570-8F9AF311144B}" name="Column5516"/>
    <tableColumn id="5544" xr3:uid="{EAC8AABB-E36C-426E-B115-5ABE85AAD7DA}" name="Column5517"/>
    <tableColumn id="5545" xr3:uid="{DEE9E450-FA4A-4A89-9213-399C2EBE045D}" name="Column5518"/>
    <tableColumn id="5546" xr3:uid="{A46E84F3-94D1-47EE-8629-4E83E4F60ACA}" name="Column5519"/>
    <tableColumn id="5547" xr3:uid="{F7345CBF-45E5-4B21-8703-DEA23C35A4AD}" name="Column5520"/>
    <tableColumn id="5548" xr3:uid="{5D6838BD-5626-4448-82EC-ED3E9BFB1B39}" name="Column5521"/>
    <tableColumn id="5549" xr3:uid="{3215FA2F-D650-49D1-B5C4-1971450E1AB4}" name="Column5522"/>
    <tableColumn id="5550" xr3:uid="{08062759-8D34-4ED9-8BC4-2343E79A14C1}" name="Column5523"/>
    <tableColumn id="5551" xr3:uid="{8E29D0F2-7DB8-4A2E-84BD-EEAB82D16CFC}" name="Column5524"/>
    <tableColumn id="5552" xr3:uid="{11A8332C-BC19-48BD-9FD2-BD35A5463DA4}" name="Column5525"/>
    <tableColumn id="5553" xr3:uid="{3F0B71BB-99EF-4C51-BB61-54AAFBE5D34F}" name="Column5526"/>
    <tableColumn id="5554" xr3:uid="{85285895-019E-413E-B3FB-C4FCF0D1B0E7}" name="Column5527"/>
    <tableColumn id="5555" xr3:uid="{463A7160-E0DB-4C74-8367-39EE7405674F}" name="Column5528"/>
    <tableColumn id="5556" xr3:uid="{84E8F81B-BF12-4181-AE4C-8B08222DC0AE}" name="Column5529"/>
    <tableColumn id="5557" xr3:uid="{C7FE6FBE-47BC-4791-85F0-47FE60BF4AB5}" name="Column5530"/>
    <tableColumn id="5558" xr3:uid="{3BF86925-5898-4C48-B47D-02DDAEE28BD3}" name="Column5531"/>
    <tableColumn id="5559" xr3:uid="{2A899040-55BB-4572-B386-9035671CBD8A}" name="Column5532"/>
    <tableColumn id="5560" xr3:uid="{FF858CFA-16A1-438A-A3F7-C4FE60E5D534}" name="Column5533"/>
    <tableColumn id="5561" xr3:uid="{C3D3E705-8A86-47B1-9D8A-52E852EC68A0}" name="Column5534"/>
    <tableColumn id="5562" xr3:uid="{1A4B461A-C531-48F7-A35F-C1AB2BB0E254}" name="Column5535"/>
    <tableColumn id="5563" xr3:uid="{488EBEAB-10F5-42F9-8A71-9BCC1AB03B9F}" name="Column5536"/>
    <tableColumn id="5564" xr3:uid="{085DB46A-D579-4EC2-9E08-49A5497D1A9F}" name="Column5537"/>
    <tableColumn id="5565" xr3:uid="{4E56275B-80DF-4B39-A9D2-66BEFD5560EF}" name="Column5538"/>
    <tableColumn id="5566" xr3:uid="{BB3121B7-75D3-477D-8B3C-7D18E220268C}" name="Column5539"/>
    <tableColumn id="5567" xr3:uid="{C411029B-9B36-4217-AD52-85474EA56F7E}" name="Column5540"/>
    <tableColumn id="5568" xr3:uid="{27DEC064-EE9C-4E94-AE4D-4B66095AC978}" name="Column5541"/>
    <tableColumn id="5569" xr3:uid="{2834FB8F-015C-44FE-BA59-D463B4715376}" name="Column5542"/>
    <tableColumn id="5570" xr3:uid="{381FF284-4230-4E07-A266-BFA80763B43C}" name="Column5543"/>
    <tableColumn id="5571" xr3:uid="{5C84CA62-F56E-4E27-8847-5827E75C981E}" name="Column5544"/>
    <tableColumn id="5572" xr3:uid="{83C588B0-ECD0-4E8A-A244-9CADBE46ECDC}" name="Column5545"/>
    <tableColumn id="5573" xr3:uid="{31B96387-D5A1-4584-A0DD-45CF131A0631}" name="Column5546"/>
    <tableColumn id="5574" xr3:uid="{0B5E3411-813C-4718-B2D2-EA556C2BB29D}" name="Column5547"/>
    <tableColumn id="5575" xr3:uid="{21A0DBBB-CBD4-49B4-A51C-AE7E20384C45}" name="Column5548"/>
    <tableColumn id="5576" xr3:uid="{1BA927CA-832F-423E-9E17-224555C8159F}" name="Column5549"/>
    <tableColumn id="5577" xr3:uid="{C326E253-43DC-4DBE-AA22-3DE783B16210}" name="Column5550"/>
    <tableColumn id="5578" xr3:uid="{89759CC4-E3D6-4DFB-A01F-65CC2A8EDA8C}" name="Column5551"/>
    <tableColumn id="5579" xr3:uid="{933A6B75-7583-4C4D-ACF8-16AC9A995ABF}" name="Column5552"/>
    <tableColumn id="5580" xr3:uid="{94D82667-3812-4BE6-8A41-57E17BD442B2}" name="Column5553"/>
    <tableColumn id="5581" xr3:uid="{5F37039F-E722-4074-AB32-B40523AF3EB9}" name="Column5554"/>
    <tableColumn id="5582" xr3:uid="{E35CD6F1-0826-452E-8D74-2A15B5C86317}" name="Column5555"/>
    <tableColumn id="5583" xr3:uid="{49339986-87C5-4329-A2CE-AE0DBA82E6EE}" name="Column5556"/>
    <tableColumn id="5584" xr3:uid="{9400433C-CB1A-4AC7-8EC4-C32F62FB17DE}" name="Column5557"/>
    <tableColumn id="5585" xr3:uid="{FAFF0548-A478-492F-86AE-90216EA777B9}" name="Column5558"/>
    <tableColumn id="5586" xr3:uid="{0BB94C5B-1564-43D9-9832-A25423C46283}" name="Column5559"/>
    <tableColumn id="5587" xr3:uid="{4D55D7E6-73A5-49CB-8BCA-76E98939721E}" name="Column5560"/>
    <tableColumn id="5588" xr3:uid="{67BFE443-4D8E-4981-B222-C7DD37C8015C}" name="Column5561"/>
    <tableColumn id="5589" xr3:uid="{8AFF4535-EB77-4592-AA5B-1E20B343A6C0}" name="Column5562"/>
    <tableColumn id="5590" xr3:uid="{27471FF8-8CBF-4C72-9C78-15FBD465D6E1}" name="Column5563"/>
    <tableColumn id="5591" xr3:uid="{BA5FD95B-43AA-44FA-B9B8-C848077CF9D9}" name="Column5564"/>
    <tableColumn id="5592" xr3:uid="{C06996AA-C94E-49D5-BC34-24E2F4FD45AB}" name="Column5565"/>
    <tableColumn id="5593" xr3:uid="{D2B94031-0D8E-440C-BB3C-8DDDAD2EFDD7}" name="Column5566"/>
    <tableColumn id="5594" xr3:uid="{05243B53-805A-4F4B-A7CD-C03E152BCD74}" name="Column5567"/>
    <tableColumn id="5595" xr3:uid="{FB2F05BC-2A11-4236-ABA8-9021310C38B3}" name="Column5568"/>
    <tableColumn id="5596" xr3:uid="{6059E588-D534-4AC2-A50A-DBFABDB5A1CE}" name="Column5569"/>
    <tableColumn id="5597" xr3:uid="{236BF9BC-1997-48F3-ADF6-A2CA49445C74}" name="Column5570"/>
    <tableColumn id="5598" xr3:uid="{D8C5BD1B-B900-493F-A9ED-C3E407ACB2AC}" name="Column5571"/>
    <tableColumn id="5599" xr3:uid="{B4B2813C-2199-4644-9897-B043604C988B}" name="Column5572"/>
    <tableColumn id="5600" xr3:uid="{FE0B6097-D0B5-4792-AD41-A4EF6598C740}" name="Column5573"/>
    <tableColumn id="5601" xr3:uid="{7FABECFB-A8D4-4C78-818B-B994AE1EB18D}" name="Column5574"/>
    <tableColumn id="5602" xr3:uid="{F6962A73-1A48-4AC6-905D-7728264AAE9E}" name="Column5575"/>
    <tableColumn id="5603" xr3:uid="{5299A3B5-0D54-4BF8-B29E-EE310CC5ABD9}" name="Column5576"/>
    <tableColumn id="5604" xr3:uid="{5F679A24-D42E-4570-B670-F3DBE9E1AD54}" name="Column5577"/>
    <tableColumn id="5605" xr3:uid="{6D89ED35-5322-42EC-9B76-39B4DFD4C1E6}" name="Column5578"/>
    <tableColumn id="5606" xr3:uid="{DA6F1486-D4A2-43E0-9BEF-F9E29ACB0283}" name="Column5579"/>
    <tableColumn id="5607" xr3:uid="{8F27F64C-9068-482D-9794-FDE05C2A3EB0}" name="Column5580"/>
    <tableColumn id="5608" xr3:uid="{EE6CA747-FCD3-4255-9E1D-FFEAA2E177DE}" name="Column5581"/>
    <tableColumn id="5609" xr3:uid="{75163C15-461C-4C9A-9756-6FBD286A11FB}" name="Column5582"/>
    <tableColumn id="5610" xr3:uid="{DCE3A317-F2EB-4E9A-A27B-9BBD6AA8846D}" name="Column5583"/>
    <tableColumn id="5611" xr3:uid="{2DABED3E-4F19-4A1B-849A-83D28D8A8AFD}" name="Column5584"/>
    <tableColumn id="5612" xr3:uid="{D54F9C92-29ED-423F-B164-203DDE4DD83A}" name="Column5585"/>
    <tableColumn id="5613" xr3:uid="{9A2F7805-FAD0-4616-AAF0-6EA916EA63D3}" name="Column5586"/>
    <tableColumn id="5614" xr3:uid="{622A0467-98B9-4951-8280-5C7CB522E650}" name="Column5587"/>
    <tableColumn id="5615" xr3:uid="{5E7DF709-590D-448C-9F54-D682FA50BE46}" name="Column5588"/>
    <tableColumn id="5616" xr3:uid="{BAB28B85-341E-4EA4-A931-BC4E948C7FD0}" name="Column5589"/>
    <tableColumn id="5617" xr3:uid="{F234ABBC-24B2-4924-BC93-08980221E394}" name="Column5590"/>
    <tableColumn id="5618" xr3:uid="{5F88CDE9-199A-4044-BB86-8D9859659574}" name="Column5591"/>
    <tableColumn id="5619" xr3:uid="{C082C8AC-0D9A-4E36-8026-B05A1AB64F1E}" name="Column5592"/>
    <tableColumn id="5620" xr3:uid="{4384045C-A3EB-46EE-B06D-607B3925258F}" name="Column5593"/>
    <tableColumn id="5621" xr3:uid="{DC054E22-3E1F-4DB2-BD2E-45501FF6F5EA}" name="Column5594"/>
    <tableColumn id="5622" xr3:uid="{A5DB645B-9346-4DA2-8B98-DFD048455BD1}" name="Column5595"/>
    <tableColumn id="5623" xr3:uid="{A6259580-3B59-473D-B386-B7F04C281633}" name="Column5596"/>
    <tableColumn id="5624" xr3:uid="{1267883A-1B0B-4C41-B6E4-4B8126DE5B0E}" name="Column5597"/>
    <tableColumn id="5625" xr3:uid="{6080F63C-9600-4B25-A76F-D99438C7B147}" name="Column5598"/>
    <tableColumn id="5626" xr3:uid="{AC83958D-A984-46AA-8289-42542E7BBBF8}" name="Column5599"/>
    <tableColumn id="5627" xr3:uid="{F7A3CBC4-75A0-4893-B99C-7E74A74EAEA7}" name="Column5600"/>
    <tableColumn id="5628" xr3:uid="{665BEE08-EA09-4CB6-802C-CEA3D066EB8B}" name="Column5601"/>
    <tableColumn id="5629" xr3:uid="{16315F67-5B89-4384-9287-8FB3EE75C0D5}" name="Column5602"/>
    <tableColumn id="5630" xr3:uid="{98A15B1A-FAF5-4033-915B-89B8B44483C5}" name="Column5603"/>
    <tableColumn id="5631" xr3:uid="{83F6123F-3245-4FFC-88AA-06BBCF62DC16}" name="Column5604"/>
    <tableColumn id="5632" xr3:uid="{9719AF86-7115-4976-B927-862B68A513E8}" name="Column5605"/>
    <tableColumn id="5633" xr3:uid="{A9C29EFC-6CD1-4A7D-81FF-717B245A7EFA}" name="Column5606"/>
    <tableColumn id="5634" xr3:uid="{015B8ABD-2D79-450C-8B64-D97E0860043C}" name="Column5607"/>
    <tableColumn id="5635" xr3:uid="{484B056B-EA0C-4983-BE4A-9F89F3FBA36F}" name="Column5608"/>
    <tableColumn id="5636" xr3:uid="{53B85BAC-A30E-4587-87DC-B00F74E370D2}" name="Column5609"/>
    <tableColumn id="5637" xr3:uid="{5FCF3DB6-B17C-42D5-BBF2-B2A3371CE289}" name="Column5610"/>
    <tableColumn id="5638" xr3:uid="{3E06D20D-A5C2-4A2B-99D6-6D212C03D8B8}" name="Column5611"/>
    <tableColumn id="5639" xr3:uid="{38BFA05F-51C8-4AF3-9AB5-C3A9457CA1CD}" name="Column5612"/>
    <tableColumn id="5640" xr3:uid="{A94970E1-524A-4FF6-BA86-637E91DF397F}" name="Column5613"/>
    <tableColumn id="5641" xr3:uid="{7CB09C84-0A2A-4399-BEDE-1D93DF41A98E}" name="Column5614"/>
    <tableColumn id="5642" xr3:uid="{46947B8E-C1AA-4B9F-BDB4-CA2FDAA0277D}" name="Column5615"/>
    <tableColumn id="5643" xr3:uid="{AAEBDA91-3771-477D-9782-EE82BD181327}" name="Column5616"/>
    <tableColumn id="5644" xr3:uid="{45F0465E-5D2D-4029-9438-ED2777E4D146}" name="Column5617"/>
    <tableColumn id="5645" xr3:uid="{A91CB57F-04B0-499D-8573-F8CB59564C90}" name="Column5618"/>
    <tableColumn id="5646" xr3:uid="{DAF20215-B547-426C-A763-364F69EF20E8}" name="Column5619"/>
    <tableColumn id="5647" xr3:uid="{E3E51E51-7DB8-4233-A27B-00E928A39B09}" name="Column5620"/>
    <tableColumn id="5648" xr3:uid="{EE71FC46-360A-4009-8270-F020E216A24D}" name="Column5621"/>
    <tableColumn id="5649" xr3:uid="{42C421FD-A23B-46BC-9FF6-A11E76C95E65}" name="Column5622"/>
    <tableColumn id="5650" xr3:uid="{57F9FD94-E803-4F4B-A3E7-4B094A2E3420}" name="Column5623"/>
    <tableColumn id="5651" xr3:uid="{4E1F71DA-E865-49A5-B25E-E8523E8949B2}" name="Column5624"/>
    <tableColumn id="5652" xr3:uid="{738A65F1-C512-4AFE-B35D-0ACA08A7DD5A}" name="Column5625"/>
    <tableColumn id="5653" xr3:uid="{C89EFE80-5603-4F17-BE10-A4DC7837C553}" name="Column5626"/>
    <tableColumn id="5654" xr3:uid="{A6F72D4D-8378-408A-A935-C619C1042688}" name="Column5627"/>
    <tableColumn id="5655" xr3:uid="{47F8B65F-C8FC-468D-B9D8-CF296BDAFCA2}" name="Column5628"/>
    <tableColumn id="5656" xr3:uid="{15608D7B-8274-4F70-995D-9D86DD3DC63A}" name="Column5629"/>
    <tableColumn id="5657" xr3:uid="{96B8F531-E64C-479F-A7A9-CC3987E989BF}" name="Column5630"/>
    <tableColumn id="5658" xr3:uid="{11EDBAD3-E192-4037-B980-B0E78BB2F329}" name="Column5631"/>
    <tableColumn id="5659" xr3:uid="{D6B54F01-E38A-4C93-8127-343FF6E6C9CE}" name="Column5632"/>
    <tableColumn id="5660" xr3:uid="{106BA711-FCA8-4621-9656-68A0ACA461E3}" name="Column5633"/>
    <tableColumn id="5661" xr3:uid="{31304AD0-FA5F-411D-B1A0-D5A5C30BBCA1}" name="Column5634"/>
    <tableColumn id="5662" xr3:uid="{3BD8A6C1-5677-409F-9208-53684817FABB}" name="Column5635"/>
    <tableColumn id="5663" xr3:uid="{F0B809E8-7220-47FB-B9FA-5CB6669477FB}" name="Column5636"/>
    <tableColumn id="5664" xr3:uid="{DB359101-B6F0-4CA6-A3E6-E43C7B71BB70}" name="Column5637"/>
    <tableColumn id="5665" xr3:uid="{494FA4BE-88BD-4691-B4DC-7992186760C1}" name="Column5638"/>
    <tableColumn id="5666" xr3:uid="{FF1AA86A-3146-4C45-979A-EB38F92747A8}" name="Column5639"/>
    <tableColumn id="5667" xr3:uid="{5AB47099-E96D-43EC-BFEF-E4C6D14672C0}" name="Column5640"/>
    <tableColumn id="5668" xr3:uid="{FBCBBCF8-C9ED-47BB-9225-D6BB0D8B35F7}" name="Column5641"/>
    <tableColumn id="5669" xr3:uid="{0DF9A85A-BE11-4ED8-AADA-0E05D0ABE29F}" name="Column5642"/>
    <tableColumn id="5670" xr3:uid="{AE307253-2FE0-4D84-B097-6540D80F353D}" name="Column5643"/>
    <tableColumn id="5671" xr3:uid="{7E038663-54D2-47EB-9506-86266C97BA30}" name="Column5644"/>
    <tableColumn id="5672" xr3:uid="{AEF2119C-024D-417B-8729-29679F9BE7A0}" name="Column5645"/>
    <tableColumn id="5673" xr3:uid="{DABBE560-31C4-4252-90B1-51FCD766E7FB}" name="Column5646"/>
    <tableColumn id="5674" xr3:uid="{A22D10C3-F9FA-4341-A0B9-79250BCFA513}" name="Column5647"/>
    <tableColumn id="5675" xr3:uid="{86FA51EF-48CD-40D0-9725-CD87468489DD}" name="Column5648"/>
    <tableColumn id="5676" xr3:uid="{3429A714-F6C0-411E-9301-C46DA2F02585}" name="Column5649"/>
    <tableColumn id="5677" xr3:uid="{DDBD6709-1D26-4F80-9B32-FFCA7F409CE0}" name="Column5650"/>
    <tableColumn id="5678" xr3:uid="{84F989C8-0A0E-4559-9A54-2BC46EBD1998}" name="Column5651"/>
    <tableColumn id="5679" xr3:uid="{4C892F6F-79D8-4153-9320-0093287B3BF4}" name="Column5652"/>
    <tableColumn id="5680" xr3:uid="{1EC87BE3-F919-4EC9-9E63-B4350E028621}" name="Column5653"/>
    <tableColumn id="5681" xr3:uid="{708EDA9C-5538-45E9-978B-06D37FA79BB4}" name="Column5654"/>
    <tableColumn id="5682" xr3:uid="{A99179C9-EB1D-4743-878A-DE6D933192DD}" name="Column5655"/>
    <tableColumn id="5683" xr3:uid="{27E415B6-3F75-40CE-859B-ECE4009B2C4C}" name="Column5656"/>
    <tableColumn id="5684" xr3:uid="{F586405D-1410-407D-88BA-BD9B9D8E00DE}" name="Column5657"/>
    <tableColumn id="5685" xr3:uid="{5D335E90-94F0-4A9A-A07B-4F8EA1D55A74}" name="Column5658"/>
    <tableColumn id="5686" xr3:uid="{F519EE71-C3CE-4980-8F2C-46A3B22FD36A}" name="Column5659"/>
    <tableColumn id="5687" xr3:uid="{54135EE1-3141-4D98-B5CF-5555B52C2171}" name="Column5660"/>
    <tableColumn id="5688" xr3:uid="{67DB6601-A372-4676-A67A-7212A3DE4870}" name="Column5661"/>
    <tableColumn id="5689" xr3:uid="{D483DDD5-BD36-4B89-8530-5938378744FE}" name="Column5662"/>
    <tableColumn id="5690" xr3:uid="{70BCE13B-4B28-4BAD-9D91-F440DF195B18}" name="Column5663"/>
    <tableColumn id="5691" xr3:uid="{C340C975-067F-45A2-BA7F-CD0BC38F9042}" name="Column5664"/>
    <tableColumn id="5692" xr3:uid="{EC1A1CB4-FDAB-4D9F-BC15-010D6AF9EF5B}" name="Column5665"/>
    <tableColumn id="5693" xr3:uid="{A96A48B8-D219-47B7-B66D-AAAFCCC34BB7}" name="Column5666"/>
    <tableColumn id="5694" xr3:uid="{FC796D01-A5E7-4037-8E8E-97DF7780CECB}" name="Column5667"/>
    <tableColumn id="5695" xr3:uid="{23CE84FA-BDB4-4CF8-801D-EFC188D1EA6D}" name="Column5668"/>
    <tableColumn id="5696" xr3:uid="{5A0BDBEB-D8DF-49DB-8F40-09FA96CF3138}" name="Column5669"/>
    <tableColumn id="5697" xr3:uid="{841B1BE5-5A59-42B6-8D98-A9753DA5CD29}" name="Column5670"/>
    <tableColumn id="5698" xr3:uid="{51A1F50E-5769-4E6E-96F3-6B59945A4791}" name="Column5671"/>
    <tableColumn id="5699" xr3:uid="{9964076C-3371-439C-8CFD-38D139E1910C}" name="Column5672"/>
    <tableColumn id="5700" xr3:uid="{185F62B1-F767-4EE3-A5B5-43D752DFE850}" name="Column5673"/>
    <tableColumn id="5701" xr3:uid="{A26AB8EE-E836-4A33-8B3B-9D9A2D296053}" name="Column5674"/>
    <tableColumn id="5702" xr3:uid="{1F4BEEAB-DBF7-4490-8679-357E9D3710F0}" name="Column5675"/>
    <tableColumn id="5703" xr3:uid="{8311FC1C-EA45-445F-8A75-FB090D9B5A11}" name="Column5676"/>
    <tableColumn id="5704" xr3:uid="{E0C7DF64-8B88-4A16-B6BE-FB534A5E9F71}" name="Column5677"/>
    <tableColumn id="5705" xr3:uid="{1DFDFE73-A357-4A06-871F-A5FB72D47484}" name="Column5678"/>
    <tableColumn id="5706" xr3:uid="{89489299-A441-42E1-8587-CB0E99E7DEFD}" name="Column5679"/>
    <tableColumn id="5707" xr3:uid="{E360A072-F357-4840-86C1-EFBEAAED09E0}" name="Column5680"/>
    <tableColumn id="5708" xr3:uid="{DAED82C2-8A71-4BF6-A12D-246CAEFDC314}" name="Column5681"/>
    <tableColumn id="5709" xr3:uid="{FAE93447-F731-4521-921A-13620BE62DE4}" name="Column5682"/>
    <tableColumn id="5710" xr3:uid="{F4456B24-ACC4-47F6-AF6B-4EB50C629A85}" name="Column5683"/>
    <tableColumn id="5711" xr3:uid="{078E2069-AEA1-42B1-9C94-5686FE085581}" name="Column5684"/>
    <tableColumn id="5712" xr3:uid="{57EED65B-9044-4E80-8F34-E502820E71E5}" name="Column5685"/>
    <tableColumn id="5713" xr3:uid="{6FF88CB2-9B62-4211-A7E7-ADA479B11FEC}" name="Column5686"/>
    <tableColumn id="5714" xr3:uid="{5A15BEE1-2796-417E-AD08-A8F68D73CE8C}" name="Column5687"/>
    <tableColumn id="5715" xr3:uid="{AE5E37C7-BCB5-4B52-9450-39164A6091E3}" name="Column5688"/>
    <tableColumn id="5716" xr3:uid="{6A6614E8-C911-426E-BD6F-D977CB497CB2}" name="Column5689"/>
    <tableColumn id="5717" xr3:uid="{4AD9E445-AED9-4C17-9C5E-1251AC73B9F5}" name="Column5690"/>
    <tableColumn id="5718" xr3:uid="{9EFE43A2-CA92-4235-A7E7-102922CA3588}" name="Column5691"/>
    <tableColumn id="5719" xr3:uid="{1435F5D5-B04B-477B-A3F7-44CF63EFF777}" name="Column5692"/>
    <tableColumn id="5720" xr3:uid="{B891F0D9-3C4C-4CB5-9B62-E9BB52B46B60}" name="Column5693"/>
    <tableColumn id="5721" xr3:uid="{B915865D-E61D-4363-B04C-97DD660E0325}" name="Column5694"/>
    <tableColumn id="5722" xr3:uid="{F4943CC1-D6D1-415E-90E9-A90D7768FAD7}" name="Column5695"/>
    <tableColumn id="5723" xr3:uid="{9E409817-67B8-4806-BE05-EA6A5C3EF8D7}" name="Column5696"/>
    <tableColumn id="5724" xr3:uid="{FFC6B7C4-A0B4-48C5-8CCC-41886BB3C7AD}" name="Column5697"/>
    <tableColumn id="5725" xr3:uid="{34D4C711-3006-494E-AC45-0F71CD62FF2B}" name="Column5698"/>
    <tableColumn id="5726" xr3:uid="{791ED407-0808-49E4-AA22-600145CC125D}" name="Column5699"/>
    <tableColumn id="5727" xr3:uid="{6786B092-3A0F-4E4E-AB58-BA5C5387E6A0}" name="Column5700"/>
    <tableColumn id="5728" xr3:uid="{0F9B101A-ACBC-4BDE-AED6-DD4667B888A3}" name="Column5701"/>
    <tableColumn id="5729" xr3:uid="{DCDE0539-9759-4E8A-BB54-4C3D73A762A3}" name="Column5702"/>
    <tableColumn id="5730" xr3:uid="{16CD5458-B517-460E-B878-BFCB1E08C144}" name="Column5703"/>
    <tableColumn id="5731" xr3:uid="{22B82225-B2F3-458F-A16C-D05EEE9F068E}" name="Column5704"/>
    <tableColumn id="5732" xr3:uid="{C233CD08-D85E-4234-BAD8-EFACC3E4BA76}" name="Column5705"/>
    <tableColumn id="5733" xr3:uid="{1FE54518-0991-4C2B-98E7-E6B8A5AB0139}" name="Column5706"/>
    <tableColumn id="5734" xr3:uid="{2972909F-C621-4B4B-8A67-88ADB3454F41}" name="Column5707"/>
    <tableColumn id="5735" xr3:uid="{DAB3E437-EB9F-4DC5-A960-DB5D50DCC33C}" name="Column5708"/>
    <tableColumn id="5736" xr3:uid="{8A89119B-DF85-4B99-960C-0483501170D3}" name="Column5709"/>
    <tableColumn id="5737" xr3:uid="{A365129C-363D-4653-AC02-B03EA3AE27A5}" name="Column5710"/>
    <tableColumn id="5738" xr3:uid="{4AF4CAA8-48AB-4FDC-96B4-AB18831B44B8}" name="Column5711"/>
    <tableColumn id="5739" xr3:uid="{7B6A70A7-EC19-4F2A-B1F2-A26FC54FB86F}" name="Column5712"/>
    <tableColumn id="5740" xr3:uid="{09B533DA-33D3-42F9-B8CA-9E777A740D41}" name="Column5713"/>
    <tableColumn id="5741" xr3:uid="{4CC34FC5-B433-4608-B8AF-5FDF2B3672F2}" name="Column5714"/>
    <tableColumn id="5742" xr3:uid="{D340FC51-82DE-410A-B437-F02A5A6448AE}" name="Column5715"/>
    <tableColumn id="5743" xr3:uid="{454B3109-D399-455B-BFD5-D35C8D799F89}" name="Column5716"/>
    <tableColumn id="5744" xr3:uid="{4CBF5B9B-7F39-4740-8538-3D8EB47AEAB7}" name="Column5717"/>
    <tableColumn id="5745" xr3:uid="{0A46B7C6-025F-4EC2-A83F-89CEB872C59E}" name="Column5718"/>
    <tableColumn id="5746" xr3:uid="{E32AD801-2432-4B5D-B2A9-0CDA6DDC186C}" name="Column5719"/>
    <tableColumn id="5747" xr3:uid="{BC8E3644-077D-4F2A-A897-9AEBF2822253}" name="Column5720"/>
    <tableColumn id="5748" xr3:uid="{BE4C1761-49D2-47B7-8AB4-5C03D4DF0A1A}" name="Column5721"/>
    <tableColumn id="5749" xr3:uid="{978B4ED4-2214-4AAB-A639-D97CECC326A7}" name="Column5722"/>
    <tableColumn id="5750" xr3:uid="{4A1AE0B5-C50B-4498-B4BF-E8CCE6354835}" name="Column5723"/>
    <tableColumn id="5751" xr3:uid="{1CAD2ABC-DA4A-415E-98D4-454A36A76A44}" name="Column5724"/>
    <tableColumn id="5752" xr3:uid="{662A56E0-46B0-46CE-86F5-2DCB3DF1224D}" name="Column5725"/>
    <tableColumn id="5753" xr3:uid="{C3A7CC0B-8A9B-488A-A02E-9219059E5A5A}" name="Column5726"/>
    <tableColumn id="5754" xr3:uid="{95B16F1A-BFA1-4A33-A9F7-F1CCEE4BF9D2}" name="Column5727"/>
    <tableColumn id="5755" xr3:uid="{FFC380E9-18B0-4480-8A74-059FFCAB9C9E}" name="Column5728"/>
    <tableColumn id="5756" xr3:uid="{47F93B26-1A5E-416F-993B-E87A5F31AA88}" name="Column5729"/>
    <tableColumn id="5757" xr3:uid="{49BDD267-4D8B-444E-9432-722A1D1B9A6D}" name="Column5730"/>
    <tableColumn id="5758" xr3:uid="{587D6E11-2E03-4BBA-A4EB-BAE9EDDAA3F5}" name="Column5731"/>
    <tableColumn id="5759" xr3:uid="{A3E9F16A-4F7B-41E1-9DBA-0995D0B3F732}" name="Column5732"/>
    <tableColumn id="5760" xr3:uid="{037A3E07-5D5E-45CD-BB8E-6D68BFF1A266}" name="Column5733"/>
    <tableColumn id="5761" xr3:uid="{79A9F05C-A091-451B-87E4-D0653B0BB02B}" name="Column5734"/>
    <tableColumn id="5762" xr3:uid="{F098E8BA-E907-40DE-9B6A-B710805B1D4C}" name="Column5735"/>
    <tableColumn id="5763" xr3:uid="{9785FEEA-1EA2-4137-B160-618C4FED21EA}" name="Column5736"/>
    <tableColumn id="5764" xr3:uid="{24587B36-D830-4D77-B899-C91E4057C2DC}" name="Column5737"/>
    <tableColumn id="5765" xr3:uid="{3B565A88-3321-46BA-9774-A092F0175416}" name="Column5738"/>
    <tableColumn id="5766" xr3:uid="{4DBC01C7-64E4-4A9E-9CE0-4EFF272CE79A}" name="Column5739"/>
    <tableColumn id="5767" xr3:uid="{0FBE00C2-5629-411D-B82A-A0A523176DB1}" name="Column5740"/>
    <tableColumn id="5768" xr3:uid="{96153B3B-2E52-4A91-A194-9D6227618D82}" name="Column5741"/>
    <tableColumn id="5769" xr3:uid="{EA6CBD21-8664-4850-B03A-2BF2372A6BDB}" name="Column5742"/>
    <tableColumn id="5770" xr3:uid="{900C0F98-6193-4D64-9A64-0E44825D6AF6}" name="Column5743"/>
    <tableColumn id="5771" xr3:uid="{4028F141-40C4-405D-8380-90CE3374DC50}" name="Column5744"/>
    <tableColumn id="5772" xr3:uid="{DF7CFC13-C724-4653-819D-6F9A9664959E}" name="Column5745"/>
    <tableColumn id="5773" xr3:uid="{241A4788-D26D-4959-B21F-57EA9DE5DF49}" name="Column5746"/>
    <tableColumn id="5774" xr3:uid="{C1811B5E-AED1-4E24-ADAC-D8828CDA2ADB}" name="Column5747"/>
    <tableColumn id="5775" xr3:uid="{9A89D772-C5FB-466C-AEF1-9E691A7AC32A}" name="Column5748"/>
    <tableColumn id="5776" xr3:uid="{719EC8FA-D587-4256-85AA-BEA52DC1B3A5}" name="Column5749"/>
    <tableColumn id="5777" xr3:uid="{127C3AE0-43FA-41CA-B558-34A597DA68C6}" name="Column5750"/>
    <tableColumn id="5778" xr3:uid="{4F63A2D8-8475-4602-897D-71AD5530B246}" name="Column5751"/>
    <tableColumn id="5779" xr3:uid="{4DDDF10B-F87F-4845-B914-0A5646101C6C}" name="Column5752"/>
    <tableColumn id="5780" xr3:uid="{D5958889-A3CE-4C32-B28B-B3DF74E0863B}" name="Column5753"/>
    <tableColumn id="5781" xr3:uid="{F88FCA32-EF7D-49D5-8AD8-7FBCEF2ABEC7}" name="Column5754"/>
    <tableColumn id="5782" xr3:uid="{EE8D0862-5470-4621-830F-1F6D47D9252D}" name="Column5755"/>
    <tableColumn id="5783" xr3:uid="{E2936615-B4A0-4621-8EEE-66E6DDF661F7}" name="Column5756"/>
    <tableColumn id="5784" xr3:uid="{5BC19C2F-1E86-43F7-BABA-1518E249CB16}" name="Column5757"/>
    <tableColumn id="5785" xr3:uid="{58A7F07F-2602-411A-8477-9DB1C9487743}" name="Column5758"/>
    <tableColumn id="5786" xr3:uid="{3B003D76-3448-410E-85BB-FBAAC5266363}" name="Column5759"/>
    <tableColumn id="5787" xr3:uid="{8D81049A-02C6-449B-82D6-164790165628}" name="Column5760"/>
    <tableColumn id="5788" xr3:uid="{D46C780E-53A5-4731-9511-45BFC5304171}" name="Column5761"/>
    <tableColumn id="5789" xr3:uid="{C9824859-6C1D-447A-AD49-1A325E616F6D}" name="Column5762"/>
    <tableColumn id="5790" xr3:uid="{5F392C8E-E6AD-4CC9-A945-5B323E5BDB83}" name="Column5763"/>
    <tableColumn id="5791" xr3:uid="{DA824A3D-4786-456C-AD42-EC0F3F9818F2}" name="Column5764"/>
    <tableColumn id="5792" xr3:uid="{7B61CF15-CE71-401F-89B4-20C9E4768DAA}" name="Column5765"/>
    <tableColumn id="5793" xr3:uid="{12482969-3B56-481E-859F-1BEBA6119494}" name="Column5766"/>
    <tableColumn id="5794" xr3:uid="{B3EEED09-6D6F-4C84-98BB-8AC853B54A5B}" name="Column5767"/>
    <tableColumn id="5795" xr3:uid="{B4EA678F-7283-4471-9D8A-F95D63F765EC}" name="Column5768"/>
    <tableColumn id="5796" xr3:uid="{A8ABA72C-58CB-4B51-BF6A-16690BA9B1C5}" name="Column5769"/>
    <tableColumn id="5797" xr3:uid="{A27E14AD-8C34-4CDE-8CD5-3CD6DE90343A}" name="Column5770"/>
    <tableColumn id="5798" xr3:uid="{53CD3E8E-7D74-45D8-BC97-FDE47F522C82}" name="Column5771"/>
    <tableColumn id="5799" xr3:uid="{271755E4-C21C-4C15-88F0-EEE45A3E7A54}" name="Column5772"/>
    <tableColumn id="5800" xr3:uid="{018CC18E-A502-4E17-861D-675408F6C9F0}" name="Column5773"/>
    <tableColumn id="5801" xr3:uid="{5097B942-EBD9-411B-81AB-78E402835646}" name="Column5774"/>
    <tableColumn id="5802" xr3:uid="{E21638C6-243F-490A-880A-520EE4F9EBFF}" name="Column5775"/>
    <tableColumn id="5803" xr3:uid="{1E957BD5-8AE9-452B-A5FB-7F782392621E}" name="Column5776"/>
    <tableColumn id="5804" xr3:uid="{2F3A62B7-8FF4-41CD-A3C3-1706224A9B4F}" name="Column5777"/>
    <tableColumn id="5805" xr3:uid="{8281506E-F0D9-47B3-8067-CBD531D5B7D4}" name="Column5778"/>
    <tableColumn id="5806" xr3:uid="{C210B849-D619-4A85-81F4-785A93964A1C}" name="Column5779"/>
    <tableColumn id="5807" xr3:uid="{47B60B27-DAF6-4B5E-8ABE-9B95DEED9C58}" name="Column5780"/>
    <tableColumn id="5808" xr3:uid="{F6D0AF27-6D22-4080-A795-255DB8BF0102}" name="Column5781"/>
    <tableColumn id="5809" xr3:uid="{D79A181B-FB22-4776-BEF6-D2B9B69DD017}" name="Column5782"/>
    <tableColumn id="5810" xr3:uid="{CEAD3B93-D167-472D-9F1C-F907304B7904}" name="Column5783"/>
    <tableColumn id="5811" xr3:uid="{ED56DCB7-DC62-4C5D-AA48-01EB6E08A976}" name="Column5784"/>
    <tableColumn id="5812" xr3:uid="{346C816A-56D8-42DD-AEC3-35879EA10652}" name="Column5785"/>
    <tableColumn id="5813" xr3:uid="{8F27FED2-9408-4E33-ABF5-C2085E027FF5}" name="Column5786"/>
    <tableColumn id="5814" xr3:uid="{1A91E482-1193-41AF-A42F-13EBC83DACE6}" name="Column5787"/>
    <tableColumn id="5815" xr3:uid="{1C665F00-D550-4913-BAB5-62E8B533F529}" name="Column5788"/>
    <tableColumn id="5816" xr3:uid="{ED324273-3063-43AC-BBC5-BBEBC420CE6F}" name="Column5789"/>
    <tableColumn id="5817" xr3:uid="{3BF60E13-A6AE-4572-8289-445E8925127F}" name="Column5790"/>
    <tableColumn id="5818" xr3:uid="{476A5172-1575-4A4E-AFC4-58483F71DA9A}" name="Column5791"/>
    <tableColumn id="5819" xr3:uid="{9A629D8A-43D4-49F5-964E-AD44B0FCB37D}" name="Column5792"/>
    <tableColumn id="5820" xr3:uid="{D6320B93-C12B-4B81-A193-E10473D5FA6A}" name="Column5793"/>
    <tableColumn id="5821" xr3:uid="{4E3F3B45-E904-4954-B64E-75161E8F173B}" name="Column5794"/>
    <tableColumn id="5822" xr3:uid="{E2877EF5-3690-4989-B2DD-D9ED73EDC6A7}" name="Column5795"/>
    <tableColumn id="5823" xr3:uid="{39096FAE-FA3B-420A-B7CB-3CB973D78808}" name="Column5796"/>
    <tableColumn id="5824" xr3:uid="{1F9CEFA4-CAD2-4F49-A2F7-E7F277CB9077}" name="Column5797"/>
    <tableColumn id="5825" xr3:uid="{FB07F2E1-967F-4D45-8CED-E8EA904B49A5}" name="Column5798"/>
    <tableColumn id="5826" xr3:uid="{9C729AEB-D743-4953-80EC-9C2850C0D7C9}" name="Column5799"/>
    <tableColumn id="5827" xr3:uid="{EC1266D4-7856-405F-AA91-C04BC6A75FF2}" name="Column5800"/>
    <tableColumn id="5828" xr3:uid="{88FA8C26-B968-485E-9FD9-F0056B27C971}" name="Column5801"/>
    <tableColumn id="5829" xr3:uid="{5CE1E74B-1C36-427B-8EF0-BCCB5FBCC812}" name="Column5802"/>
    <tableColumn id="5830" xr3:uid="{99D0CFD2-CB89-4731-8EFB-CB86FFB96690}" name="Column5803"/>
    <tableColumn id="5831" xr3:uid="{AE8583F5-ED8F-4F34-A62E-25BE84947468}" name="Column5804"/>
    <tableColumn id="5832" xr3:uid="{88423D6B-F4B1-472B-A1E5-78CF0B4CA7E5}" name="Column5805"/>
    <tableColumn id="5833" xr3:uid="{3B3B1C71-5A20-40A9-9A7D-1ED53696837B}" name="Column5806"/>
    <tableColumn id="5834" xr3:uid="{207F1CC2-0989-4522-99F2-D6B324E6E6DA}" name="Column5807"/>
    <tableColumn id="5835" xr3:uid="{B09D310F-BDCE-404E-A164-EA330FE05024}" name="Column5808"/>
    <tableColumn id="5836" xr3:uid="{74C24D17-47C7-4831-BA7D-E38D95B20955}" name="Column5809"/>
    <tableColumn id="5837" xr3:uid="{2577AEB6-4ACA-4538-B0AC-A038702B3EB5}" name="Column5810"/>
    <tableColumn id="5838" xr3:uid="{782AAA38-6CB9-4AFA-BA3E-304AC61AEDD6}" name="Column5811"/>
    <tableColumn id="5839" xr3:uid="{63D301F9-3009-44D9-84EC-243AAFFC286F}" name="Column5812"/>
    <tableColumn id="5840" xr3:uid="{A8F5069A-B53A-4376-AC1A-309719DD3B93}" name="Column5813"/>
    <tableColumn id="5841" xr3:uid="{3678483D-9A31-4DFA-B063-8E912CB18286}" name="Column5814"/>
    <tableColumn id="5842" xr3:uid="{1C10A91C-20C0-44DA-9B8F-60335ED67E92}" name="Column5815"/>
    <tableColumn id="5843" xr3:uid="{26934761-853B-4935-B7D9-AB4E8672D897}" name="Column5816"/>
    <tableColumn id="5844" xr3:uid="{A1BEA39A-B134-454C-9CF6-1BAC032A6EBB}" name="Column5817"/>
    <tableColumn id="5845" xr3:uid="{01747504-F728-41A4-9FCD-B15D2F6015C0}" name="Column5818"/>
    <tableColumn id="5846" xr3:uid="{54F707CF-5825-44F2-BA5A-C2F69E9E8FAD}" name="Column5819"/>
    <tableColumn id="5847" xr3:uid="{5BEA0CAF-28FD-4D7F-85F6-6B6B9949653F}" name="Column5820"/>
    <tableColumn id="5848" xr3:uid="{69EA8CDC-69BC-45B6-BE85-45319A6C8A99}" name="Column5821"/>
    <tableColumn id="5849" xr3:uid="{6FC7B8E6-8C91-4CCE-AC33-645119BB3E05}" name="Column5822"/>
    <tableColumn id="5850" xr3:uid="{2492930B-0BE0-4A66-AB51-27A212F0D4E9}" name="Column5823"/>
    <tableColumn id="5851" xr3:uid="{FBD4CBCA-D171-4665-BE32-D9A0F93E4B94}" name="Column5824"/>
    <tableColumn id="5852" xr3:uid="{554B21AC-4581-4F7C-BD2B-22C9CF0C92CB}" name="Column5825"/>
    <tableColumn id="5853" xr3:uid="{96922194-7E0B-433B-9D25-0D4DB945F32D}" name="Column5826"/>
    <tableColumn id="5854" xr3:uid="{1320056E-9BC9-4C4D-8C36-4A4DE2277A1F}" name="Column5827"/>
    <tableColumn id="5855" xr3:uid="{82C4BBD2-33FC-4C3E-B180-72D59EDC7424}" name="Column5828"/>
    <tableColumn id="5856" xr3:uid="{AF63C9D5-0A73-413D-9832-EC2F6F695950}" name="Column5829"/>
    <tableColumn id="5857" xr3:uid="{BACDDF75-C4CF-4474-9E30-57C14A477E36}" name="Column5830"/>
    <tableColumn id="5858" xr3:uid="{14EEA40A-3BF5-41B0-BA49-0645CFE658F9}" name="Column5831"/>
    <tableColumn id="5859" xr3:uid="{884D64A2-7152-4DE2-934D-7A822EA2B9E3}" name="Column5832"/>
    <tableColumn id="5860" xr3:uid="{5DB294A6-07CD-451F-90A7-2DEB29D0A10D}" name="Column5833"/>
    <tableColumn id="5861" xr3:uid="{9A63907F-1E16-4874-AA2F-76ED2FD14521}" name="Column5834"/>
    <tableColumn id="5862" xr3:uid="{F89871D3-BA8C-470D-907C-7E7B9F332A51}" name="Column5835"/>
    <tableColumn id="5863" xr3:uid="{56CDF817-4FBE-4F60-AD7D-05D16E33099F}" name="Column5836"/>
    <tableColumn id="5864" xr3:uid="{8116FA50-EEED-4D08-8977-507F1BF77239}" name="Column5837"/>
    <tableColumn id="5865" xr3:uid="{A7CEF856-6303-4AF3-AD46-9E49FF4EF3C4}" name="Column5838"/>
    <tableColumn id="5866" xr3:uid="{132B17A4-B77B-4F43-9AF5-32242013A906}" name="Column5839"/>
    <tableColumn id="5867" xr3:uid="{CB832E63-4546-419B-ACC4-B73E46838A33}" name="Column5840"/>
    <tableColumn id="5868" xr3:uid="{E458C1EF-B9D9-49D6-8A06-307D6B1D102C}" name="Column5841"/>
    <tableColumn id="5869" xr3:uid="{CE1C4024-A3BD-4658-A0C5-E52176DA1933}" name="Column5842"/>
    <tableColumn id="5870" xr3:uid="{B4EBAEE9-4CE3-4036-802C-2489E731C3BE}" name="Column5843"/>
    <tableColumn id="5871" xr3:uid="{2CFF1205-D497-40E1-945B-4980D25E5C38}" name="Column5844"/>
    <tableColumn id="5872" xr3:uid="{505510B3-CFCF-407F-BA91-D650EC8F6E88}" name="Column5845"/>
    <tableColumn id="5873" xr3:uid="{96E59022-440E-4F9E-92F2-DA1892BE0646}" name="Column5846"/>
    <tableColumn id="5874" xr3:uid="{A6086D47-6A84-41AF-BE9A-B3EAC5F23E4A}" name="Column5847"/>
    <tableColumn id="5875" xr3:uid="{606DD69A-F497-4E71-90E6-6A49985633FA}" name="Column5848"/>
    <tableColumn id="5876" xr3:uid="{30BB33A0-DB7C-4770-8D16-7D250A8558EA}" name="Column5849"/>
    <tableColumn id="5877" xr3:uid="{B601C988-3BD2-4BB4-9807-2FCB25BFA6A6}" name="Column5850"/>
    <tableColumn id="5878" xr3:uid="{B55D7EA8-BDD1-415B-B216-45A08F475938}" name="Column5851"/>
    <tableColumn id="5879" xr3:uid="{943D8197-15F2-42D6-91E4-CC54E245FDAA}" name="Column5852"/>
    <tableColumn id="5880" xr3:uid="{121232E4-C537-42F3-B6E6-E5763041B2C6}" name="Column5853"/>
    <tableColumn id="5881" xr3:uid="{202529C9-4396-4394-A923-CEEF60554511}" name="Column5854"/>
    <tableColumn id="5882" xr3:uid="{1814ED18-210A-4C41-9E7F-B5A7B79CF6E3}" name="Column5855"/>
    <tableColumn id="5883" xr3:uid="{14466409-6FD1-4B95-9A2F-563B37D8E91C}" name="Column5856"/>
    <tableColumn id="5884" xr3:uid="{8AC79CDA-0AD6-4742-A22A-32E78C8B5CC6}" name="Column5857"/>
    <tableColumn id="5885" xr3:uid="{4D94DA8A-B89A-4ADA-A305-6D3810ED0356}" name="Column5858"/>
    <tableColumn id="5886" xr3:uid="{A04EE168-AA13-46DD-A4E5-D7036B9D8728}" name="Column5859"/>
    <tableColumn id="5887" xr3:uid="{1822F5DF-C3C4-4DD9-8D30-01A676F222D4}" name="Column5860"/>
    <tableColumn id="5888" xr3:uid="{7E993FF3-E1C2-4269-9379-EC0818EB9C37}" name="Column5861"/>
    <tableColumn id="5889" xr3:uid="{C88EF1BD-5613-4FDD-84FB-37A971E0841F}" name="Column5862"/>
    <tableColumn id="5890" xr3:uid="{5F4F4527-6300-4473-BC06-3D523576809B}" name="Column5863"/>
    <tableColumn id="5891" xr3:uid="{CD7C6BE9-A2DA-46D4-9971-B57E04491339}" name="Column5864"/>
    <tableColumn id="5892" xr3:uid="{11F0ED10-9251-441A-AD08-87B341ABCFCC}" name="Column5865"/>
    <tableColumn id="5893" xr3:uid="{7BA9CEFF-39EE-42BE-899B-EC48DFBDF8E5}" name="Column5866"/>
    <tableColumn id="5894" xr3:uid="{B5A792B8-8401-4198-BDBA-8FFAC3ECD36F}" name="Column5867"/>
    <tableColumn id="5895" xr3:uid="{47838E11-D616-4247-A0A5-6D46ACACAC94}" name="Column5868"/>
    <tableColumn id="5896" xr3:uid="{5E03AAD4-E97C-4BDD-A6C5-8C1978B6D028}" name="Column5869"/>
    <tableColumn id="5897" xr3:uid="{7FCE9E59-0C52-4B41-8B29-B6B31354EDE6}" name="Column5870"/>
    <tableColumn id="5898" xr3:uid="{6063FCA3-22BD-4E61-981D-2FBEBA6563D1}" name="Column5871"/>
    <tableColumn id="5899" xr3:uid="{CD76A91D-3A43-4B49-A1F2-0462AF3B6E84}" name="Column5872"/>
    <tableColumn id="5900" xr3:uid="{5D4E8E0F-3656-4D5B-87DA-C87385C6B0BC}" name="Column5873"/>
    <tableColumn id="5901" xr3:uid="{81B4A577-4EB1-4673-AF89-1F6DD26A935E}" name="Column5874"/>
    <tableColumn id="5902" xr3:uid="{5400A992-5472-407B-BA4A-3DE2ED94A117}" name="Column5875"/>
    <tableColumn id="5903" xr3:uid="{E593E401-DABA-4F8C-9005-8ABB93D0737C}" name="Column5876"/>
    <tableColumn id="5904" xr3:uid="{1ACF8678-E653-4809-A2A1-8EE317519832}" name="Column5877"/>
    <tableColumn id="5905" xr3:uid="{379FCE05-A810-4502-9192-31A3B7557273}" name="Column5878"/>
    <tableColumn id="5906" xr3:uid="{A02731C7-42CF-4EB2-A03C-AC674D2C6C1C}" name="Column5879"/>
    <tableColumn id="5907" xr3:uid="{F79BB251-C19E-4A6C-9A3E-E87DA040CCB6}" name="Column5880"/>
    <tableColumn id="5908" xr3:uid="{113FDC70-6191-4992-AEDE-5F011EFB387A}" name="Column5881"/>
    <tableColumn id="5909" xr3:uid="{027F8D00-1162-466A-B897-4C4AC273B4A9}" name="Column5882"/>
    <tableColumn id="5910" xr3:uid="{6FD5EAA0-B66E-49E2-B5A5-71A352BB154D}" name="Column5883"/>
    <tableColumn id="5911" xr3:uid="{814D2270-5B3F-4B34-B1BD-5137DB656F11}" name="Column5884"/>
    <tableColumn id="5912" xr3:uid="{B1AFCB94-00E3-44BE-AC5A-9BF8A386E01A}" name="Column5885"/>
    <tableColumn id="5913" xr3:uid="{F9289457-8E3C-454C-B827-36BADA32561B}" name="Column5886"/>
    <tableColumn id="5914" xr3:uid="{3ABB4345-83A4-41ED-9F61-0D7A88D76DDA}" name="Column5887"/>
    <tableColumn id="5915" xr3:uid="{13B19737-7A7C-431A-813A-5783304ED640}" name="Column5888"/>
    <tableColumn id="5916" xr3:uid="{89F7FF07-19B3-46C0-904C-2B4496E9E988}" name="Column5889"/>
    <tableColumn id="5917" xr3:uid="{86969219-3484-435A-8719-B68A8B3DDD23}" name="Column5890"/>
    <tableColumn id="5918" xr3:uid="{0CDE50A0-714F-4751-9110-296C22D2F40E}" name="Column5891"/>
    <tableColumn id="5919" xr3:uid="{2D14F112-91F3-4ABA-B6F2-8BB01E343611}" name="Column5892"/>
    <tableColumn id="5920" xr3:uid="{A552E466-2E39-4944-9CBA-9CF74B9564D7}" name="Column5893"/>
    <tableColumn id="5921" xr3:uid="{26B55AD9-F261-4648-B0A4-1B3DF4407355}" name="Column5894"/>
    <tableColumn id="5922" xr3:uid="{8420A3B5-425E-4C0F-A688-92B86B23EF58}" name="Column5895"/>
    <tableColumn id="5923" xr3:uid="{7D477AA6-0B9C-4FE9-893D-E041E2C47B2B}" name="Column5896"/>
    <tableColumn id="5924" xr3:uid="{0367DB5E-ED17-4CBE-90B5-223DB5257723}" name="Column5897"/>
    <tableColumn id="5925" xr3:uid="{1FEAF5DF-57EB-480A-B9AB-7CE303DF4A13}" name="Column5898"/>
    <tableColumn id="5926" xr3:uid="{C677EA0C-C7C8-4907-BBA8-D11791C2DA58}" name="Column5899"/>
    <tableColumn id="5927" xr3:uid="{D53174D4-4DCC-46C2-9D0F-E2877EC7C007}" name="Column5900"/>
    <tableColumn id="5928" xr3:uid="{0FBF824C-D361-46BC-8ABA-93CE03C5E301}" name="Column5901"/>
    <tableColumn id="5929" xr3:uid="{292D91F6-DF88-47E8-8BCF-4B625E1D338E}" name="Column5902"/>
    <tableColumn id="5930" xr3:uid="{C6C3CE67-2E48-4C95-9B53-6DBFAF43F8C2}" name="Column5903"/>
    <tableColumn id="5931" xr3:uid="{9670A6F2-7B70-4A14-8B07-92CEBE5C2892}" name="Column5904"/>
    <tableColumn id="5932" xr3:uid="{50DF0B30-E73E-40A5-9ED6-620F82E686E9}" name="Column5905"/>
    <tableColumn id="5933" xr3:uid="{7CA67FB2-6F67-4BBF-84F4-3226ED9A89EC}" name="Column5906"/>
    <tableColumn id="5934" xr3:uid="{78274DD5-B8DD-4E39-A071-5D24C10CAA68}" name="Column5907"/>
    <tableColumn id="5935" xr3:uid="{7E625968-62E7-4DD3-A82D-E5EA9887E44E}" name="Column5908"/>
    <tableColumn id="5936" xr3:uid="{BDBBBC7C-EAA8-4522-93A2-AD476D3BA677}" name="Column5909"/>
    <tableColumn id="5937" xr3:uid="{F5ACE73B-18FA-4DC7-B34F-54AF600626CB}" name="Column5910"/>
    <tableColumn id="5938" xr3:uid="{037428B6-A7B2-4363-8CE0-00DB9A87738C}" name="Column5911"/>
    <tableColumn id="5939" xr3:uid="{6D29B40B-877C-4901-B79D-21830B6EC8CE}" name="Column5912"/>
    <tableColumn id="5940" xr3:uid="{D9498FAF-00A9-4789-BA16-8F3E9ABF332E}" name="Column5913"/>
    <tableColumn id="5941" xr3:uid="{E1104577-88D8-4B1D-A045-507EB462870E}" name="Column5914"/>
    <tableColumn id="5942" xr3:uid="{DD1F2E8A-26F4-4C24-9A05-D86182C88D33}" name="Column5915"/>
    <tableColumn id="5943" xr3:uid="{D68B390D-870A-48AA-9092-446FAEFC1E2C}" name="Column5916"/>
    <tableColumn id="5944" xr3:uid="{5168B501-D83A-4F00-B625-3FCC74FFBC95}" name="Column5917"/>
    <tableColumn id="5945" xr3:uid="{0EC735FF-208D-4EFC-ACE8-1924EB4D312E}" name="Column5918"/>
    <tableColumn id="5946" xr3:uid="{38F01D9E-DA95-49AD-91F0-00637CA82EB0}" name="Column5919"/>
    <tableColumn id="5947" xr3:uid="{7AFA7599-89CD-48DE-A155-7717883E60B4}" name="Column5920"/>
    <tableColumn id="5948" xr3:uid="{514D8384-BE0B-4F3E-AFA5-437FED47644C}" name="Column5921"/>
    <tableColumn id="5949" xr3:uid="{39C426E0-9DC5-4035-9946-AF1ABAE0ADB3}" name="Column5922"/>
    <tableColumn id="5950" xr3:uid="{0DE0128C-A6E6-458B-B648-629F725B39A2}" name="Column5923"/>
    <tableColumn id="5951" xr3:uid="{A5FB47F3-6846-4B32-96B8-86CB5E941930}" name="Column5924"/>
    <tableColumn id="5952" xr3:uid="{C6507619-FE27-4F1C-82FC-19C6EC14C9F8}" name="Column5925"/>
    <tableColumn id="5953" xr3:uid="{DC5209E0-8C45-4385-8030-774621D55F5B}" name="Column5926"/>
    <tableColumn id="5954" xr3:uid="{C2326336-E65E-4C80-88D2-4D8C0D12E500}" name="Column5927"/>
    <tableColumn id="5955" xr3:uid="{2EEE4740-E593-4440-B7CA-881F9017AADB}" name="Column5928"/>
    <tableColumn id="5956" xr3:uid="{43CDE378-252F-4041-8A7C-85AA94D985A3}" name="Column5929"/>
    <tableColumn id="5957" xr3:uid="{D36BCAB4-4BB8-4DD6-9897-B78F711E20B5}" name="Column5930"/>
    <tableColumn id="5958" xr3:uid="{AD0BED7A-5FA7-4DF7-BD92-95BE83F5B70C}" name="Column5931"/>
    <tableColumn id="5959" xr3:uid="{80C97DB6-7B40-455A-AD32-0020BA10AE12}" name="Column5932"/>
    <tableColumn id="5960" xr3:uid="{EA2A59CF-8735-47F2-A223-3060417EAD70}" name="Column5933"/>
    <tableColumn id="5961" xr3:uid="{D6DBBF13-4161-401B-A7A0-1E64B3390088}" name="Column5934"/>
    <tableColumn id="5962" xr3:uid="{79D34F16-35B8-4FD9-9884-37FB89915AB9}" name="Column5935"/>
    <tableColumn id="5963" xr3:uid="{6F792C7E-99B7-4DD3-A754-FB5BED510E3A}" name="Column5936"/>
    <tableColumn id="5964" xr3:uid="{3C261653-2CC1-4AC9-BC77-28123D5EF962}" name="Column5937"/>
    <tableColumn id="5965" xr3:uid="{D9338215-5A92-4BC3-9872-8DB15ACE7905}" name="Column5938"/>
    <tableColumn id="5966" xr3:uid="{4984599A-9D1A-42D7-90B2-994F54ED9B47}" name="Column5939"/>
    <tableColumn id="5967" xr3:uid="{737E563C-9DAA-4C4A-9831-35270860E32F}" name="Column5940"/>
    <tableColumn id="5968" xr3:uid="{E7D19953-BC53-451B-AEA4-EACA40C1F26F}" name="Column5941"/>
    <tableColumn id="5969" xr3:uid="{7EE17B43-FEC4-4180-9E0F-CAF220577C2E}" name="Column5942"/>
    <tableColumn id="5970" xr3:uid="{69B8A3DD-2374-4295-93E8-B4176B75E223}" name="Column5943"/>
    <tableColumn id="5971" xr3:uid="{E1D951F9-313F-4FD7-B054-9068476921B8}" name="Column5944"/>
    <tableColumn id="5972" xr3:uid="{191555EB-2455-42EC-9B1D-7A9AC1CD9FB0}" name="Column5945"/>
    <tableColumn id="5973" xr3:uid="{93228FB2-3C47-4D34-98FE-E92BEEFE5ECA}" name="Column5946"/>
    <tableColumn id="5974" xr3:uid="{FFB4103D-F9CF-45F9-B92C-5CC678157630}" name="Column5947"/>
    <tableColumn id="5975" xr3:uid="{D91FA1A0-1B5D-490B-8652-9FD67A6B3AD4}" name="Column5948"/>
    <tableColumn id="5976" xr3:uid="{8335D0D3-B6DE-46C0-93CA-A42881395D19}" name="Column5949"/>
    <tableColumn id="5977" xr3:uid="{AC47645C-02CB-4C81-AF03-84C4AB2EAEB1}" name="Column5950"/>
    <tableColumn id="5978" xr3:uid="{4BC9B971-0A6C-4943-AB05-BCAD7A71119E}" name="Column5951"/>
    <tableColumn id="5979" xr3:uid="{8A0EE57B-1C92-43AD-9DCE-EE06A5E2227D}" name="Column5952"/>
    <tableColumn id="5980" xr3:uid="{5ACCE37E-EEC4-469D-BA00-CBE5AAA33D09}" name="Column5953"/>
    <tableColumn id="5981" xr3:uid="{04149C9A-C236-49BD-96DF-A2BF4D710BB0}" name="Column5954"/>
    <tableColumn id="5982" xr3:uid="{1219316A-8A1D-4887-A4F1-3E5BE1354171}" name="Column5955"/>
    <tableColumn id="5983" xr3:uid="{9C1DD945-3871-4701-8A38-820AE49977CC}" name="Column5956"/>
    <tableColumn id="5984" xr3:uid="{84C6487D-A5C7-481C-8DF2-937546154738}" name="Column5957"/>
    <tableColumn id="5985" xr3:uid="{49E68DF6-75F0-4A48-A15C-F86BA0B1FDBE}" name="Column5958"/>
    <tableColumn id="5986" xr3:uid="{60E7D282-1D6E-49E2-B0DC-73D8F94B3F52}" name="Column5959"/>
    <tableColumn id="5987" xr3:uid="{EEE32ED8-F10E-4144-81BA-545595800564}" name="Column5960"/>
    <tableColumn id="5988" xr3:uid="{00C3CEF2-7333-47DE-8DFB-9765699FAAE1}" name="Column5961"/>
    <tableColumn id="5989" xr3:uid="{4ED71639-9ABE-45C6-A72E-501BEDF75F63}" name="Column5962"/>
    <tableColumn id="5990" xr3:uid="{8862D30E-5154-4700-9021-35B0FB73A83C}" name="Column5963"/>
    <tableColumn id="5991" xr3:uid="{6A7C2D59-661F-4C5B-BF54-3C825866CD19}" name="Column5964"/>
    <tableColumn id="5992" xr3:uid="{6FA3B200-8A02-4077-B1A1-FD6C46392179}" name="Column5965"/>
    <tableColumn id="5993" xr3:uid="{A27B154C-6079-4FC9-95EB-5ABE4D8D24D1}" name="Column5966"/>
    <tableColumn id="5994" xr3:uid="{DEAD7CA0-3D02-4F51-83EA-FCD5F8680661}" name="Column5967"/>
    <tableColumn id="5995" xr3:uid="{5B974AB7-6DC5-413D-8D05-B66D1DFA13A3}" name="Column5968"/>
    <tableColumn id="5996" xr3:uid="{26F38B42-CC6A-4D6E-879F-D7711E60BC1D}" name="Column5969"/>
    <tableColumn id="5997" xr3:uid="{5ABCC518-999C-4234-9E3E-73B1F73944E9}" name="Column5970"/>
    <tableColumn id="5998" xr3:uid="{D5643BB4-BE00-4FDA-8F4E-A7ACE86BBC5C}" name="Column5971"/>
    <tableColumn id="5999" xr3:uid="{094E2117-25A9-432D-BF72-9D9C2E848A10}" name="Column5972"/>
    <tableColumn id="6000" xr3:uid="{5FEE19AF-13EC-4D83-8351-BBA6B22DB70B}" name="Column5973"/>
    <tableColumn id="6001" xr3:uid="{45BC6FA6-6FB8-436D-84C5-D7E39A707AC5}" name="Column5974"/>
    <tableColumn id="6002" xr3:uid="{618FB85E-07B0-4FC3-AEEC-8F1B6DF10983}" name="Column5975"/>
    <tableColumn id="6003" xr3:uid="{6481AC56-E9B1-46F2-9751-0BE9D376AC97}" name="Column5976"/>
    <tableColumn id="6004" xr3:uid="{52FC7657-E27B-4158-B9A0-999B71EA7856}" name="Column5977"/>
    <tableColumn id="6005" xr3:uid="{1AC8D2EA-1857-47F2-BC1D-95F71BD67F30}" name="Column5978"/>
    <tableColumn id="6006" xr3:uid="{31E97FF8-47F9-4799-A56D-1F7CC706C930}" name="Column5979"/>
    <tableColumn id="6007" xr3:uid="{706AF827-46F2-4DEC-9678-C2A5BCAD6501}" name="Column5980"/>
    <tableColumn id="6008" xr3:uid="{355D56B0-2783-4343-8875-43BB91600C92}" name="Column5981"/>
    <tableColumn id="6009" xr3:uid="{C359FDD6-B61F-4C36-A929-4CD8E15CE06B}" name="Column5982"/>
    <tableColumn id="6010" xr3:uid="{E9AA155A-C3AE-4143-A826-068D690ED7D6}" name="Column5983"/>
    <tableColumn id="6011" xr3:uid="{785DA523-A5FC-450C-9D28-2C418EDF6C43}" name="Column5984"/>
    <tableColumn id="6012" xr3:uid="{FAB32C4E-C24D-4F32-B791-5910867E8BB6}" name="Column5985"/>
    <tableColumn id="6013" xr3:uid="{53BD9CBF-99E7-4A28-9DC6-F8CD3FF226F4}" name="Column5986"/>
    <tableColumn id="6014" xr3:uid="{C369757E-DB66-48CC-AB2F-BF8120145F53}" name="Column5987"/>
    <tableColumn id="6015" xr3:uid="{60EC5B32-2B62-4743-BEF2-AE01F0982B0E}" name="Column5988"/>
    <tableColumn id="6016" xr3:uid="{FF7F03ED-CE7A-45E8-8E42-F9BAFA6504C4}" name="Column5989"/>
    <tableColumn id="6017" xr3:uid="{70A834F7-0B22-4C8A-94A6-8389D91CB992}" name="Column5990"/>
    <tableColumn id="6018" xr3:uid="{123BE203-2F49-4D45-A74E-2A08D3D5D394}" name="Column5991"/>
    <tableColumn id="6019" xr3:uid="{AA13EF47-8D74-4530-BF86-A8D80C458272}" name="Column5992"/>
    <tableColumn id="6020" xr3:uid="{31ECCDEF-0D66-4FE7-8B9D-67192C0F1BB7}" name="Column5993"/>
    <tableColumn id="6021" xr3:uid="{9A4C2FD8-EE07-462A-A4BF-DD4E313574C1}" name="Column5994"/>
    <tableColumn id="6022" xr3:uid="{3FD1B8A0-66F7-488C-A7DB-5D0ACDC2A6D3}" name="Column5995"/>
    <tableColumn id="6023" xr3:uid="{F290F3E7-2778-48BB-A3F8-8837294A7D96}" name="Column5996"/>
    <tableColumn id="6024" xr3:uid="{8C45B647-23E3-4EDA-8916-04BC29018F79}" name="Column5997"/>
    <tableColumn id="6025" xr3:uid="{852AB5D2-BC44-48F0-8B67-04E5CFA2910C}" name="Column5998"/>
    <tableColumn id="6026" xr3:uid="{1A5EAED9-EA4B-4AA1-AEB4-FB78C7E52FA7}" name="Column5999"/>
    <tableColumn id="6027" xr3:uid="{0D7EA9E2-9305-49EF-9404-4CAF7AC8A70E}" name="Column6000"/>
    <tableColumn id="6028" xr3:uid="{CCFCF517-2051-4942-ACD9-74BB3C2F98A6}" name="Column6001"/>
    <tableColumn id="6029" xr3:uid="{F1E44B7A-75F9-41FB-9F68-3996714D2AFA}" name="Column6002"/>
    <tableColumn id="6030" xr3:uid="{3C415C77-4FD0-429E-B023-DD9114BA917C}" name="Column6003"/>
    <tableColumn id="6031" xr3:uid="{34CA4B4D-D5D6-460E-83EF-8852F650D9C9}" name="Column6004"/>
    <tableColumn id="6032" xr3:uid="{C7E01075-4598-4071-9E6D-8405FA5E4DDC}" name="Column6005"/>
    <tableColumn id="6033" xr3:uid="{BD303CAA-F237-4B3F-80DB-11BCFB41E691}" name="Column6006"/>
    <tableColumn id="6034" xr3:uid="{6BA98518-1B83-469A-AF04-1326A635DE90}" name="Column6007"/>
    <tableColumn id="6035" xr3:uid="{FEE6755E-C2A8-428B-838C-22FFF4EBF890}" name="Column6008"/>
    <tableColumn id="6036" xr3:uid="{A364F1C9-DD32-4739-BC75-966EA8F0252E}" name="Column6009"/>
    <tableColumn id="6037" xr3:uid="{AE492944-2C3C-4039-81A9-AA385CB90ED3}" name="Column6010"/>
    <tableColumn id="6038" xr3:uid="{5EE10012-4684-433B-931C-E154DF3BECE1}" name="Column6011"/>
    <tableColumn id="6039" xr3:uid="{CEDC56BC-51AB-4FAA-8197-5C5653E86AC5}" name="Column6012"/>
    <tableColumn id="6040" xr3:uid="{6252A45C-7E39-4201-8F88-8E181752A900}" name="Column6013"/>
    <tableColumn id="6041" xr3:uid="{DDF37DE4-1037-4FB8-9A4C-DA946E394A24}" name="Column6014"/>
    <tableColumn id="6042" xr3:uid="{91E2EEE0-68FA-4409-9958-A6821F16F7F8}" name="Column6015"/>
    <tableColumn id="6043" xr3:uid="{C254AAF0-8E09-410C-AE87-22AB8B724656}" name="Column6016"/>
    <tableColumn id="6044" xr3:uid="{347F00CE-AF32-470D-9CDB-355E592CEEA7}" name="Column6017"/>
    <tableColumn id="6045" xr3:uid="{C6FB21D8-1974-44C4-B1E1-A81C1B84829E}" name="Column6018"/>
    <tableColumn id="6046" xr3:uid="{C3AB0754-09B9-44FB-B902-E47078CF16BC}" name="Column6019"/>
    <tableColumn id="6047" xr3:uid="{6D9A6C38-D08D-4A2C-8BE0-BE78B0046F87}" name="Column6020"/>
    <tableColumn id="6048" xr3:uid="{10527681-2B66-4AAF-A17B-70F01A3AB40F}" name="Column6021"/>
    <tableColumn id="6049" xr3:uid="{85BCDCBE-5C10-4370-945D-CB7DB77099F5}" name="Column6022"/>
    <tableColumn id="6050" xr3:uid="{B99A6864-9178-484E-AEDD-8224EC9DBEC1}" name="Column6023"/>
    <tableColumn id="6051" xr3:uid="{C6975E4A-8386-4EFD-9B03-B0EB65659866}" name="Column6024"/>
    <tableColumn id="6052" xr3:uid="{7129D465-7F9C-406B-9CA3-6FF6EBA7CDFC}" name="Column6025"/>
    <tableColumn id="6053" xr3:uid="{0CFEDC53-AEE7-46F4-94D1-F72251A2E456}" name="Column6026"/>
    <tableColumn id="6054" xr3:uid="{B5746EF9-D375-4E5B-A3AE-8CF650EDFCEB}" name="Column6027"/>
    <tableColumn id="6055" xr3:uid="{C7CEB0EE-C296-4755-9994-CB73674D0E49}" name="Column6028"/>
    <tableColumn id="6056" xr3:uid="{B152C932-AA8B-4594-A0D0-8B059FD9FCBC}" name="Column6029"/>
    <tableColumn id="6057" xr3:uid="{4D448078-834C-4486-8098-41B80AA36680}" name="Column6030"/>
    <tableColumn id="6058" xr3:uid="{B340103F-7D6F-4D9F-AD3F-03A54AA965F7}" name="Column6031"/>
    <tableColumn id="6059" xr3:uid="{2B7FE605-FECA-4400-AC6A-639ED60F1A08}" name="Column6032"/>
    <tableColumn id="6060" xr3:uid="{15B556F6-ED7A-4384-B253-4950E050092E}" name="Column6033"/>
    <tableColumn id="6061" xr3:uid="{FF21CA26-C8CF-4198-B708-DC313464F641}" name="Column6034"/>
    <tableColumn id="6062" xr3:uid="{03359EBE-D6B1-4F9F-B6EA-001002AD51FB}" name="Column6035"/>
    <tableColumn id="6063" xr3:uid="{7A5F0809-13FD-41AE-946D-D5858452F4D1}" name="Column6036"/>
    <tableColumn id="6064" xr3:uid="{2E262827-0FF5-43BA-926D-572E26953212}" name="Column6037"/>
    <tableColumn id="6065" xr3:uid="{6A72228B-3636-405A-A8CC-2A3E28E40B42}" name="Column6038"/>
    <tableColumn id="6066" xr3:uid="{F6ECEEB2-0830-449C-B9E9-F37A6C73CCAA}" name="Column6039"/>
    <tableColumn id="6067" xr3:uid="{A2015F74-49A8-450A-AB3D-7F136193160A}" name="Column6040"/>
    <tableColumn id="6068" xr3:uid="{C42A80B9-A414-4179-9651-CBDB7388AACE}" name="Column6041"/>
    <tableColumn id="6069" xr3:uid="{2E18CA6A-06F8-4EB3-9BAB-0A9CDB4BA3AB}" name="Column6042"/>
    <tableColumn id="6070" xr3:uid="{E45A29F4-9169-4813-9898-75990BE3A499}" name="Column6043"/>
    <tableColumn id="6071" xr3:uid="{1021964E-8DC7-4552-AA37-9897A62D00A0}" name="Column6044"/>
    <tableColumn id="6072" xr3:uid="{99A43075-50BC-40AC-8EA5-634F5C407CA6}" name="Column6045"/>
    <tableColumn id="6073" xr3:uid="{37AE17F2-1EAB-4872-984A-7AFEFD40A697}" name="Column6046"/>
    <tableColumn id="6074" xr3:uid="{17659306-674C-45AA-91ED-AB80B7FAD984}" name="Column6047"/>
    <tableColumn id="6075" xr3:uid="{F743703C-1FC4-4A36-96EF-FA359036F8B5}" name="Column6048"/>
    <tableColumn id="6076" xr3:uid="{21EC2851-41A0-411E-AC23-B49427708784}" name="Column6049"/>
    <tableColumn id="6077" xr3:uid="{601BAC2F-47FE-4C47-B384-5C61ADC568B2}" name="Column6050"/>
    <tableColumn id="6078" xr3:uid="{D3B24095-6759-4EC4-B92A-BB9E01690DBD}" name="Column6051"/>
    <tableColumn id="6079" xr3:uid="{A66631C8-2E38-46CC-BE5E-7C6FB485C316}" name="Column6052"/>
    <tableColumn id="6080" xr3:uid="{89D6A8B2-6CF1-426E-B4E2-862B95F4F1BC}" name="Column6053"/>
    <tableColumn id="6081" xr3:uid="{55B512FC-4377-4F90-AB02-A6102BE38451}" name="Column6054"/>
    <tableColumn id="6082" xr3:uid="{43DAC9A4-EB4C-4396-827C-4B83B2FB4611}" name="Column6055"/>
    <tableColumn id="6083" xr3:uid="{B124ADEF-32E7-4CC8-A198-99787974A57C}" name="Column6056"/>
    <tableColumn id="6084" xr3:uid="{AE70EF61-A15A-4170-B729-F9696FD714C4}" name="Column6057"/>
    <tableColumn id="6085" xr3:uid="{F644535B-5BDC-42EA-849D-7D58BED8FFAB}" name="Column6058"/>
    <tableColumn id="6086" xr3:uid="{73B9A7EB-6C2A-4FB5-829E-4845CA6FDB70}" name="Column6059"/>
    <tableColumn id="6087" xr3:uid="{FA971227-96FE-4110-8A4C-4ADB2BC8212B}" name="Column6060"/>
    <tableColumn id="6088" xr3:uid="{A2DDE29F-29F3-47D1-B9E9-4ADC7B194894}" name="Column6061"/>
    <tableColumn id="6089" xr3:uid="{899A08D7-8D49-4C20-9897-221BC9402247}" name="Column6062"/>
    <tableColumn id="6090" xr3:uid="{EFFC7572-7BB6-4EBB-8EE5-570AD27C1822}" name="Column6063"/>
    <tableColumn id="6091" xr3:uid="{85DA54B2-D767-41FD-BD14-2CB9F015E4DE}" name="Column6064"/>
    <tableColumn id="6092" xr3:uid="{1CAA3E60-9C14-47DE-9D85-8337B84C6CD8}" name="Column6065"/>
    <tableColumn id="6093" xr3:uid="{50BF4124-C85E-485D-B252-0661ABA11B22}" name="Column6066"/>
    <tableColumn id="6094" xr3:uid="{F01B9255-E528-4459-95E2-4B93EE164514}" name="Column6067"/>
    <tableColumn id="6095" xr3:uid="{A799DF77-3E21-4792-A52D-3DE404B07C97}" name="Column6068"/>
    <tableColumn id="6096" xr3:uid="{D176B760-B87B-49CD-97BE-1A5A93CD7D18}" name="Column6069"/>
    <tableColumn id="6097" xr3:uid="{9E852DED-117A-402F-AF4C-84BF6A0E6474}" name="Column6070"/>
    <tableColumn id="6098" xr3:uid="{49AA6BC3-953A-474A-B5EE-0B1E46F533A8}" name="Column6071"/>
    <tableColumn id="6099" xr3:uid="{602A79C3-2F34-4FA1-9D97-A6267EC88B04}" name="Column6072"/>
    <tableColumn id="6100" xr3:uid="{57083C97-8E6E-4075-BEE9-9BAF3C7C4E08}" name="Column6073"/>
    <tableColumn id="6101" xr3:uid="{8397D0CB-2889-4404-8B2B-87CCE21FCF2A}" name="Column6074"/>
    <tableColumn id="6102" xr3:uid="{9603A9E9-B3A7-4FFD-B65E-009C952AEF90}" name="Column6075"/>
    <tableColumn id="6103" xr3:uid="{9C821E21-763E-42EB-B195-29603F39FF6C}" name="Column6076"/>
    <tableColumn id="6104" xr3:uid="{E03B2067-84DF-4A7F-B931-E635E1923DDE}" name="Column6077"/>
    <tableColumn id="6105" xr3:uid="{535FC29E-AB9B-45E3-B8D3-A9064DC2FC2F}" name="Column6078"/>
    <tableColumn id="6106" xr3:uid="{95E75213-8EE0-431F-80D1-3B1BD004DB52}" name="Column6079"/>
    <tableColumn id="6107" xr3:uid="{D2C5A472-005E-4356-BE73-E53D361102F9}" name="Column6080"/>
    <tableColumn id="6108" xr3:uid="{D66B2931-6FB0-4FCC-9FD9-566BEFE7A9D0}" name="Column6081"/>
    <tableColumn id="6109" xr3:uid="{C1451310-5EF9-4589-AC70-D0E8C7652910}" name="Column6082"/>
    <tableColumn id="6110" xr3:uid="{37595809-5C08-453B-B7A8-1348705109B5}" name="Column6083"/>
    <tableColumn id="6111" xr3:uid="{398A9F29-788F-45EA-B918-A4FB885BDBBB}" name="Column6084"/>
    <tableColumn id="6112" xr3:uid="{A21AA664-7463-4EAC-A111-E790C4B6D42A}" name="Column6085"/>
    <tableColumn id="6113" xr3:uid="{8B7A8379-8AEA-4947-98B7-BC79FE1DD286}" name="Column6086"/>
    <tableColumn id="6114" xr3:uid="{F3297AA8-26F5-40E6-98E1-CACADDE5726A}" name="Column6087"/>
    <tableColumn id="6115" xr3:uid="{A035C3ED-569C-4C23-AFBE-B279C28C3FAE}" name="Column6088"/>
    <tableColumn id="6116" xr3:uid="{A9C1A8DC-2C46-447D-8D48-3CB0896097D6}" name="Column6089"/>
    <tableColumn id="6117" xr3:uid="{7288D41D-D27B-4EBB-84B5-F059895F0928}" name="Column6090"/>
    <tableColumn id="6118" xr3:uid="{E67FC77E-A19C-49E4-9F9C-E4A8B07C051A}" name="Column6091"/>
    <tableColumn id="6119" xr3:uid="{2CA6A809-27EE-4E32-A390-6E6D5B05C2FE}" name="Column6092"/>
    <tableColumn id="6120" xr3:uid="{12A3B787-516B-4A60-BF2E-10E578EE535D}" name="Column6093"/>
    <tableColumn id="6121" xr3:uid="{E0DC3F39-16C5-4D2C-8EC2-B4164770890B}" name="Column6094"/>
    <tableColumn id="6122" xr3:uid="{4C973BC1-A731-4C0A-BE76-ED4F346EFFFD}" name="Column6095"/>
    <tableColumn id="6123" xr3:uid="{36EB6666-D45A-4C9A-98F9-8B0FE68683D1}" name="Column6096"/>
    <tableColumn id="6124" xr3:uid="{32177B6C-4361-43E4-A7EE-58F6CFFBB9AC}" name="Column6097"/>
    <tableColumn id="6125" xr3:uid="{7A0C29B3-4386-4251-99E2-5E03AEB64383}" name="Column6098"/>
    <tableColumn id="6126" xr3:uid="{3BBAC42B-C11A-44C4-94E3-7CBCD12DA8F7}" name="Column6099"/>
    <tableColumn id="6127" xr3:uid="{05304FDA-3F08-415F-92DA-F97F5408FD8A}" name="Column6100"/>
    <tableColumn id="6128" xr3:uid="{A18A944E-8B18-4E43-886F-3AD3C6808FB0}" name="Column6101"/>
    <tableColumn id="6129" xr3:uid="{1BE130A3-691B-4479-8E06-F744B13AA595}" name="Column6102"/>
    <tableColumn id="6130" xr3:uid="{FFD7C12A-74EE-4110-820C-B30A251EC32A}" name="Column6103"/>
    <tableColumn id="6131" xr3:uid="{6BA1EDA0-537C-401E-A3B7-015E20DDF4CD}" name="Column6104"/>
    <tableColumn id="6132" xr3:uid="{3B01C11D-47B8-48EB-B61A-AE724E4D6CB1}" name="Column6105"/>
    <tableColumn id="6133" xr3:uid="{A070F689-B12A-4FC1-A1A0-958115DF040F}" name="Column6106"/>
    <tableColumn id="6134" xr3:uid="{4AABDEE7-E0EF-46AC-9E0B-0D0E0E4E1339}" name="Column6107"/>
    <tableColumn id="6135" xr3:uid="{FDCEEB14-B7E5-488C-8FCD-A6458C75F792}" name="Column6108"/>
    <tableColumn id="6136" xr3:uid="{74D54B46-654F-42F7-9D5F-61DD10985FB0}" name="Column6109"/>
    <tableColumn id="6137" xr3:uid="{1B5BB5BD-2BF7-4891-934C-EA35B1E478C6}" name="Column6110"/>
    <tableColumn id="6138" xr3:uid="{84899A69-7843-4AF9-A1BE-F3F721390C17}" name="Column6111"/>
    <tableColumn id="6139" xr3:uid="{F8C84A2C-72CF-498D-A6DB-175CB96331F8}" name="Column6112"/>
    <tableColumn id="6140" xr3:uid="{6C35A20E-6C59-456D-B460-DB3EEC4B5401}" name="Column6113"/>
    <tableColumn id="6141" xr3:uid="{EB4B250D-211D-48D8-AECB-5505336E3F05}" name="Column6114"/>
    <tableColumn id="6142" xr3:uid="{860ED6BC-3F0B-4350-9B91-48B02F122B44}" name="Column6115"/>
    <tableColumn id="6143" xr3:uid="{DFD54840-4D13-44F6-9990-11676AAF3EA8}" name="Column6116"/>
    <tableColumn id="6144" xr3:uid="{7CA0DA26-22D7-49C9-8D6B-B3DCD2DC8540}" name="Column6117"/>
    <tableColumn id="6145" xr3:uid="{AB6BA49B-7FED-4F80-B4BC-B2FE1B1E8D45}" name="Column6118"/>
    <tableColumn id="6146" xr3:uid="{FD5C36E5-DE3F-4883-80B0-5EF82B8ADB5B}" name="Column6119"/>
    <tableColumn id="6147" xr3:uid="{775C895F-1FF2-47B7-821B-EAA4F8BE0112}" name="Column6120"/>
    <tableColumn id="6148" xr3:uid="{9CEA6010-7C17-4FFB-984B-1D492086517E}" name="Column6121"/>
    <tableColumn id="6149" xr3:uid="{9E4EC124-D768-478B-A29C-364C694C46C7}" name="Column6122"/>
    <tableColumn id="6150" xr3:uid="{7AE0D54B-5CC0-4F3C-8D13-AA79A119B7A2}" name="Column6123"/>
    <tableColumn id="6151" xr3:uid="{5CFF0449-4024-4954-9B5E-46BD26FBD51C}" name="Column6124"/>
    <tableColumn id="6152" xr3:uid="{637B1EDA-AA37-4173-8B02-2A282CD49AEF}" name="Column6125"/>
    <tableColumn id="6153" xr3:uid="{A805FEB8-5043-422F-B36F-C1F519F5A119}" name="Column6126"/>
    <tableColumn id="6154" xr3:uid="{EC47FA83-12A2-4889-A2AA-59CC7C302A2B}" name="Column6127"/>
    <tableColumn id="6155" xr3:uid="{1EBD92E0-9725-42AD-B885-0210C3CF9B46}" name="Column6128"/>
    <tableColumn id="6156" xr3:uid="{505FFC64-1BEC-43A0-A0C6-002EB754728B}" name="Column6129"/>
    <tableColumn id="6157" xr3:uid="{AE4EC3AB-5F5B-4482-ACF3-B31E1FE3CC05}" name="Column6130"/>
    <tableColumn id="6158" xr3:uid="{1D964AFB-8A93-49B2-95EE-30D73080B0F5}" name="Column6131"/>
    <tableColumn id="6159" xr3:uid="{E2D13F0A-1991-45DE-8B85-6FCE0D479BC8}" name="Column6132"/>
    <tableColumn id="6160" xr3:uid="{E7840D26-196F-49A7-976C-E251DEA7E8A7}" name="Column6133"/>
    <tableColumn id="6161" xr3:uid="{575B855E-718F-409A-91E3-2CE9F58BC300}" name="Column6134"/>
    <tableColumn id="6162" xr3:uid="{C0F6108E-C92D-46C4-A5CF-B5C20A524F76}" name="Column6135"/>
    <tableColumn id="6163" xr3:uid="{F87AFF3E-85A9-4760-B50C-E4B8E376CAB3}" name="Column6136"/>
    <tableColumn id="6164" xr3:uid="{75EE889D-6619-4349-B9A9-37750874F05B}" name="Column6137"/>
    <tableColumn id="6165" xr3:uid="{AF29856F-671C-4D90-B1D1-851BE9DC043B}" name="Column6138"/>
    <tableColumn id="6166" xr3:uid="{50E8EABB-97D5-406B-9220-7C8A084ED23D}" name="Column6139"/>
    <tableColumn id="6167" xr3:uid="{1D75A261-7FC0-4E4A-A47B-FC60E59E58DA}" name="Column6140"/>
    <tableColumn id="6168" xr3:uid="{DEE0E839-F0AD-416E-88A9-214D800B2FEF}" name="Column6141"/>
    <tableColumn id="6169" xr3:uid="{7C023712-6E62-4167-8A11-A6297329D971}" name="Column6142"/>
    <tableColumn id="6170" xr3:uid="{8AD70D92-937C-4AF2-8B44-69E03680B155}" name="Column6143"/>
    <tableColumn id="6171" xr3:uid="{0A21C637-B0CF-422B-869B-9A75D7C3881D}" name="Column6144"/>
    <tableColumn id="6172" xr3:uid="{26E46D9C-8A0B-4EF9-B648-BEDF1DEAE89D}" name="Column6145"/>
    <tableColumn id="6173" xr3:uid="{92ED75A1-D443-4BCF-9200-5F7279509DDD}" name="Column6146"/>
    <tableColumn id="6174" xr3:uid="{E570CA4F-6AC8-4346-8204-A5488EF29856}" name="Column6147"/>
    <tableColumn id="6175" xr3:uid="{583D11AE-6317-444A-8217-6548333CAED7}" name="Column6148"/>
    <tableColumn id="6176" xr3:uid="{69ECD0AD-E294-4210-BBF2-80C96406A776}" name="Column6149"/>
    <tableColumn id="6177" xr3:uid="{E773A0AB-EAE6-4B4B-AFCA-698ED08FEFA6}" name="Column6150"/>
    <tableColumn id="6178" xr3:uid="{D0BCFB0D-D81B-4096-A7FF-6A1503DAD494}" name="Column6151"/>
    <tableColumn id="6179" xr3:uid="{7FC0E5D6-EC87-4AA5-AC68-0E7D2A6B9D2D}" name="Column6152"/>
    <tableColumn id="6180" xr3:uid="{7F3ED2C8-1C78-483C-A219-7E09E9D6C5E5}" name="Column6153"/>
    <tableColumn id="6181" xr3:uid="{31B49BB0-A039-43B8-9138-55A06D3B2F73}" name="Column6154"/>
    <tableColumn id="6182" xr3:uid="{838D8B05-2250-402A-AD45-EE74A8385118}" name="Column6155"/>
    <tableColumn id="6183" xr3:uid="{60B84CCF-E38B-48BC-9642-084EA10A7734}" name="Column6156"/>
    <tableColumn id="6184" xr3:uid="{9A4A4DF4-AAFD-45E3-8954-127F9394D365}" name="Column6157"/>
    <tableColumn id="6185" xr3:uid="{9A5C02CD-3AC0-425B-BAF3-4887557A03E2}" name="Column6158"/>
    <tableColumn id="6186" xr3:uid="{0F8BCC23-AC82-4A72-B0C6-0A9F23A98CDE}" name="Column6159"/>
    <tableColumn id="6187" xr3:uid="{4EE809A2-E673-4F8A-A525-9DA5FEB7D23D}" name="Column6160"/>
    <tableColumn id="6188" xr3:uid="{226EB72E-8D3D-4842-97A1-EE8EA5DEBEB1}" name="Column6161"/>
    <tableColumn id="6189" xr3:uid="{299353E3-9D6B-4CFB-9FC9-C7A3008481F8}" name="Column6162"/>
    <tableColumn id="6190" xr3:uid="{EA37CCCD-C32D-4DD8-8AF9-87C3B58A6DC9}" name="Column6163"/>
    <tableColumn id="6191" xr3:uid="{7E58FFF5-C94D-4D23-AD91-9CE1B3E1C4EC}" name="Column6164"/>
    <tableColumn id="6192" xr3:uid="{70836BC8-0BE5-4B22-913C-A73DD3B66C7E}" name="Column6165"/>
    <tableColumn id="6193" xr3:uid="{7C41CE50-03A7-4459-AC21-4B61B176CBEE}" name="Column6166"/>
    <tableColumn id="6194" xr3:uid="{9EC48E1F-96B5-420B-BFDF-85BB3B523196}" name="Column6167"/>
    <tableColumn id="6195" xr3:uid="{E731C657-C6FF-4992-BA95-2FC092D84813}" name="Column6168"/>
    <tableColumn id="6196" xr3:uid="{881CBDE9-41F3-4B6F-A267-D0E9761A5C58}" name="Column6169"/>
    <tableColumn id="6197" xr3:uid="{A3126B3F-A8E8-4DDF-B557-12ACF34D4DD3}" name="Column6170"/>
    <tableColumn id="6198" xr3:uid="{27968BDF-7B95-4B9B-9F55-BD41FEF76C60}" name="Column6171"/>
    <tableColumn id="6199" xr3:uid="{6A49A37A-6CB6-4C3B-AB4F-BED7FB7CD784}" name="Column6172"/>
    <tableColumn id="6200" xr3:uid="{3B2B7E06-4699-45AB-BE65-4CE8768E5D2D}" name="Column6173"/>
    <tableColumn id="6201" xr3:uid="{0F34FFC5-FB1C-4CA7-8E66-65E05BE03156}" name="Column6174"/>
    <tableColumn id="6202" xr3:uid="{F06BCAC6-7803-4CA4-9750-52E59EBD202A}" name="Column6175"/>
    <tableColumn id="6203" xr3:uid="{69D0ECAE-81FF-4D7A-9FA6-7843E5768144}" name="Column6176"/>
    <tableColumn id="6204" xr3:uid="{72DB0F8B-C26E-4D72-99E4-B2A4952E516D}" name="Column6177"/>
    <tableColumn id="6205" xr3:uid="{536CA26A-3755-45BE-B39D-2E4DC4901F2D}" name="Column6178"/>
    <tableColumn id="6206" xr3:uid="{2D1FAA4F-A1B3-4AC7-9606-A65F63FB7E2C}" name="Column6179"/>
    <tableColumn id="6207" xr3:uid="{431AAF53-1A03-4FB5-AF5E-6B3F49320A15}" name="Column6180"/>
    <tableColumn id="6208" xr3:uid="{7E51A181-9442-46E6-9EE2-8124FBA81895}" name="Column6181"/>
    <tableColumn id="6209" xr3:uid="{87222CE1-9123-4555-8D8E-B216341F7E89}" name="Column6182"/>
    <tableColumn id="6210" xr3:uid="{063F6E0A-A4E9-4F5B-B8E6-89F9C5F40C4E}" name="Column6183"/>
    <tableColumn id="6211" xr3:uid="{1C556326-E270-425B-9380-70E2C4E42C1A}" name="Column6184"/>
    <tableColumn id="6212" xr3:uid="{840C55DB-8E11-4A47-BF53-326EC1968B63}" name="Column6185"/>
    <tableColumn id="6213" xr3:uid="{7A370B95-6F01-4A83-A4FC-E886A2D04671}" name="Column6186"/>
    <tableColumn id="6214" xr3:uid="{686F985F-3D57-4295-A211-DD500EC9D1CA}" name="Column6187"/>
    <tableColumn id="6215" xr3:uid="{79B07BF9-380E-4F10-AFEA-B2C04EEF36DE}" name="Column6188"/>
    <tableColumn id="6216" xr3:uid="{3E95440F-2175-46EA-BA2B-C1EA6D6794A8}" name="Column6189"/>
    <tableColumn id="6217" xr3:uid="{D175A04C-35AC-437C-86B4-41AB53430759}" name="Column6190"/>
    <tableColumn id="6218" xr3:uid="{FB2E2B5A-1BF0-448E-9626-DCF9C2C31A9F}" name="Column6191"/>
    <tableColumn id="6219" xr3:uid="{5A397579-0814-4D62-BE87-085A7ACA702F}" name="Column6192"/>
    <tableColumn id="6220" xr3:uid="{5A8E3C8F-1F85-4BA8-A250-92350B315CFE}" name="Column6193"/>
    <tableColumn id="6221" xr3:uid="{7DB35156-5B6D-409E-A07D-2A62946F6892}" name="Column6194"/>
    <tableColumn id="6222" xr3:uid="{C8B09E90-396B-4AB0-9737-FF41BCCCE718}" name="Column6195"/>
    <tableColumn id="6223" xr3:uid="{83A332FD-E657-418F-9D83-FE2ED3C65929}" name="Column6196"/>
    <tableColumn id="6224" xr3:uid="{8400058B-764A-4DAA-AC9B-744F39E2CB0A}" name="Column6197"/>
    <tableColumn id="6225" xr3:uid="{21DEC73C-2821-43F0-98E0-E30649EB1A30}" name="Column6198"/>
    <tableColumn id="6226" xr3:uid="{072617F2-8CBE-4CCB-9BFE-D2BFD0CAD50C}" name="Column6199"/>
    <tableColumn id="6227" xr3:uid="{317097E4-DBBB-4D63-AFEA-25EF6E709074}" name="Column6200"/>
    <tableColumn id="6228" xr3:uid="{95E85995-95EC-4504-84C6-00015A68EBCB}" name="Column6201"/>
    <tableColumn id="6229" xr3:uid="{E3CF70FA-F986-4086-93AB-9206BC8E277F}" name="Column6202"/>
    <tableColumn id="6230" xr3:uid="{AD4ACA44-F764-47D1-8407-9BB76635979C}" name="Column6203"/>
    <tableColumn id="6231" xr3:uid="{F33266B9-903E-45FA-9FA6-3DD0AA6865DB}" name="Column6204"/>
    <tableColumn id="6232" xr3:uid="{C3C4AD18-C414-4CA0-9354-11B33C829657}" name="Column6205"/>
    <tableColumn id="6233" xr3:uid="{3B7A6FAB-6E4C-4F52-9AB7-0F96106E5E5F}" name="Column6206"/>
    <tableColumn id="6234" xr3:uid="{531CA65D-EACA-41A1-9B75-42C7C4FABEAD}" name="Column6207"/>
    <tableColumn id="6235" xr3:uid="{95BBEB08-13BC-47A6-9272-DDEC075732F7}" name="Column6208"/>
    <tableColumn id="6236" xr3:uid="{8A6A7181-6DEA-41B4-99B0-DBE8EEE50AE8}" name="Column6209"/>
    <tableColumn id="6237" xr3:uid="{3E046980-1C28-494B-BA59-E82B4C9213EE}" name="Column6210"/>
    <tableColumn id="6238" xr3:uid="{2A338DAD-B69B-47A0-A743-774912572171}" name="Column6211"/>
    <tableColumn id="6239" xr3:uid="{AAD47F22-92E2-4CB6-A15E-17BDA333DEF9}" name="Column6212"/>
    <tableColumn id="6240" xr3:uid="{820E52E5-B6C9-4782-88AB-002070F4D8B0}" name="Column6213"/>
    <tableColumn id="6241" xr3:uid="{32165A72-3DF4-40A6-849E-3A7227B3D2D0}" name="Column6214"/>
    <tableColumn id="6242" xr3:uid="{0EABBD62-AF4B-4941-95C4-A80304E6AF01}" name="Column6215"/>
    <tableColumn id="6243" xr3:uid="{76389DD2-7685-4B2E-BD67-E71328F92F49}" name="Column6216"/>
    <tableColumn id="6244" xr3:uid="{131B37CF-812C-48F2-80B1-D8C4BF7ED317}" name="Column6217"/>
    <tableColumn id="6245" xr3:uid="{AD4BDB63-3C9F-454D-AB65-2589B2A6C44C}" name="Column6218"/>
    <tableColumn id="6246" xr3:uid="{CA1B9290-3301-4D39-9D2B-413FC790E75E}" name="Column6219"/>
    <tableColumn id="6247" xr3:uid="{8B388B07-C602-464B-A0B6-A61C4B2ED939}" name="Column6220"/>
    <tableColumn id="6248" xr3:uid="{398ECC2F-8854-476E-B91E-98CFF41A207F}" name="Column6221"/>
    <tableColumn id="6249" xr3:uid="{21429678-F660-4434-B84F-CD0D9564209F}" name="Column6222"/>
    <tableColumn id="6250" xr3:uid="{B6931879-B50D-4F74-B363-917B7E28B91D}" name="Column6223"/>
    <tableColumn id="6251" xr3:uid="{C0658B4B-1C23-4BA1-9BEB-9E1A72EC7E42}" name="Column6224"/>
    <tableColumn id="6252" xr3:uid="{7D37BCD7-6357-41B4-A52C-E8C784D7BECE}" name="Column6225"/>
    <tableColumn id="6253" xr3:uid="{53F49B72-6D72-4BD6-9296-02E9EA6B1CDC}" name="Column6226"/>
    <tableColumn id="6254" xr3:uid="{A6626A5C-488E-4616-8BA1-50A31456C3FB}" name="Column6227"/>
    <tableColumn id="6255" xr3:uid="{C389320F-C5A0-4DBD-849F-A70F86869DC2}" name="Column6228"/>
    <tableColumn id="6256" xr3:uid="{5737310F-BD27-4453-BC8B-B900392BACEC}" name="Column6229"/>
    <tableColumn id="6257" xr3:uid="{E9624E75-47B4-46E9-BF08-BF9A171C79A8}" name="Column6230"/>
    <tableColumn id="6258" xr3:uid="{52B9EA33-7EF7-4BF8-920C-010E73BCD0C6}" name="Column6231"/>
    <tableColumn id="6259" xr3:uid="{17921E8C-7FBA-4C11-B905-974F3E98D39D}" name="Column6232"/>
    <tableColumn id="6260" xr3:uid="{A3B5AE90-D8CD-4A8B-ACAE-381490273AAE}" name="Column6233"/>
    <tableColumn id="6261" xr3:uid="{3AD2941F-0595-4D47-9F39-B7A125BD743D}" name="Column6234"/>
    <tableColumn id="6262" xr3:uid="{73B8A668-D578-48E2-9A98-72BEDDA96152}" name="Column6235"/>
    <tableColumn id="6263" xr3:uid="{CC844637-4BB5-4466-B11A-939AC5E7493A}" name="Column6236"/>
    <tableColumn id="6264" xr3:uid="{8E651721-7A25-4835-83D2-DF2EF762C03B}" name="Column6237"/>
    <tableColumn id="6265" xr3:uid="{377B538B-291C-42B2-922D-67B459184B12}" name="Column6238"/>
    <tableColumn id="6266" xr3:uid="{7AA34328-EB01-41E4-9C16-918832BB4A70}" name="Column6239"/>
    <tableColumn id="6267" xr3:uid="{5C44DC46-39B9-40ED-8CEB-A960697AD502}" name="Column6240"/>
    <tableColumn id="6268" xr3:uid="{67B3CE5E-106C-4CA0-875C-BB0A9704522D}" name="Column6241"/>
    <tableColumn id="6269" xr3:uid="{66C1B086-8F1A-428A-94BA-0219D4721F79}" name="Column6242"/>
    <tableColumn id="6270" xr3:uid="{A5632374-900D-478A-A156-A30A2C92F427}" name="Column6243"/>
    <tableColumn id="6271" xr3:uid="{35B927BB-166D-446E-A432-A0282420B912}" name="Column6244"/>
    <tableColumn id="6272" xr3:uid="{F15BFB83-9365-4EE7-8DAF-2CCAECB87ACD}" name="Column6245"/>
    <tableColumn id="6273" xr3:uid="{A8F66C9B-A9AB-48E4-9805-B445790E2266}" name="Column6246"/>
    <tableColumn id="6274" xr3:uid="{3E5615E1-9DF6-4448-8AE0-D57D83EE53DD}" name="Column6247"/>
    <tableColumn id="6275" xr3:uid="{A7576261-28FC-4FB2-8D98-5D3487192614}" name="Column6248"/>
    <tableColumn id="6276" xr3:uid="{031FA9C1-24D8-42FC-A93C-F6073514D9CD}" name="Column6249"/>
    <tableColumn id="6277" xr3:uid="{21852C99-ABCF-4728-8C42-7A47A6F77C79}" name="Column6250"/>
    <tableColumn id="6278" xr3:uid="{4BB49E66-414A-44B6-B963-DFECA2935A2B}" name="Column6251"/>
    <tableColumn id="6279" xr3:uid="{9297E4BC-14D1-4BE4-948E-C47E23895F4B}" name="Column6252"/>
    <tableColumn id="6280" xr3:uid="{FFF2AC96-8EFC-40D9-B321-70CE90B2083F}" name="Column6253"/>
    <tableColumn id="6281" xr3:uid="{E4E69679-6A2D-485A-9B23-B346C4A3CEC3}" name="Column6254"/>
    <tableColumn id="6282" xr3:uid="{5A76B352-2094-4CE8-9446-40B090E6A331}" name="Column6255"/>
    <tableColumn id="6283" xr3:uid="{87B9823D-81B0-4F45-A6CB-74C2BC12056B}" name="Column6256"/>
    <tableColumn id="6284" xr3:uid="{9A0B1AE1-75B0-40EB-AF5C-0597D519778F}" name="Column6257"/>
    <tableColumn id="6285" xr3:uid="{B860FBD8-268D-462F-91A5-A0A24B0825FE}" name="Column6258"/>
    <tableColumn id="6286" xr3:uid="{BA474682-E7A7-4B56-86EB-AB41AB7C1524}" name="Column6259"/>
    <tableColumn id="6287" xr3:uid="{50D2B705-3603-4268-8AD7-9F5D24578012}" name="Column6260"/>
    <tableColumn id="6288" xr3:uid="{0BEBEB93-2E4A-4BBE-B322-6AA9E91A3419}" name="Column6261"/>
    <tableColumn id="6289" xr3:uid="{BF3D5FA5-AB34-4AAA-A395-C6EF92502C70}" name="Column6262"/>
    <tableColumn id="6290" xr3:uid="{1E0350A7-6EF9-4874-8995-405E47C29834}" name="Column6263"/>
    <tableColumn id="6291" xr3:uid="{90A37208-B97A-48EF-8452-E8A79DF5BF6B}" name="Column6264"/>
    <tableColumn id="6292" xr3:uid="{0F2D579E-F88E-456C-A8B3-0A1F4EFEB7CC}" name="Column6265"/>
    <tableColumn id="6293" xr3:uid="{2BFE4D04-37BB-4193-82FF-48250EB246BD}" name="Column6266"/>
    <tableColumn id="6294" xr3:uid="{F81EEFE8-65A9-4379-8BA1-18A9873D54CF}" name="Column6267"/>
    <tableColumn id="6295" xr3:uid="{B4DFA490-5AE5-4FC6-9790-7A284EF4492A}" name="Column6268"/>
    <tableColumn id="6296" xr3:uid="{63278E40-02A1-4FB8-AE37-9D455FD6A9C1}" name="Column6269"/>
    <tableColumn id="6297" xr3:uid="{60C72CDB-EF5E-45C8-A45D-52F67B0E2156}" name="Column6270"/>
    <tableColumn id="6298" xr3:uid="{DCC07081-87E5-433A-BE7E-A55D06212CB7}" name="Column6271"/>
    <tableColumn id="6299" xr3:uid="{5AA83A7F-2F69-47AF-B460-8A6C31AF8055}" name="Column6272"/>
    <tableColumn id="6300" xr3:uid="{4E446ABA-3836-4440-8782-23A14221E450}" name="Column6273"/>
    <tableColumn id="6301" xr3:uid="{6FA67FA8-3CD8-4310-98AA-E5CC0AE0AE6D}" name="Column6274"/>
    <tableColumn id="6302" xr3:uid="{502AA4A9-1346-4EEF-9C26-CE76B31A7876}" name="Column6275"/>
    <tableColumn id="6303" xr3:uid="{0F22A71C-D368-48AF-91E7-75B8A813A584}" name="Column6276"/>
    <tableColumn id="6304" xr3:uid="{8CBE93BD-58AE-49E9-B3C1-B602BB816E06}" name="Column6277"/>
    <tableColumn id="6305" xr3:uid="{DF62046E-FE28-4F15-AF47-5AB8895A83DF}" name="Column6278"/>
    <tableColumn id="6306" xr3:uid="{19B3CCB3-9BB0-434B-ACD8-54FD035C94E0}" name="Column6279"/>
    <tableColumn id="6307" xr3:uid="{AA9DBAB0-61A8-46AE-84A6-0EC51592A5C6}" name="Column6280"/>
    <tableColumn id="6308" xr3:uid="{6057B6F3-E6EA-48AD-9A77-96D78EC1434F}" name="Column6281"/>
    <tableColumn id="6309" xr3:uid="{01CD062D-678E-48C5-BCAF-622E1C825675}" name="Column6282"/>
    <tableColumn id="6310" xr3:uid="{4FC42621-4F4C-4E98-989E-E162635992F7}" name="Column6283"/>
    <tableColumn id="6311" xr3:uid="{B4C5D041-3ABF-4D8B-8477-3290DBBA26A6}" name="Column6284"/>
    <tableColumn id="6312" xr3:uid="{62C45A56-BF80-498F-9CF2-C6F65EAF74F3}" name="Column6285"/>
    <tableColumn id="6313" xr3:uid="{80635A11-60E0-4A53-B175-7EFA8E31E96E}" name="Column6286"/>
    <tableColumn id="6314" xr3:uid="{5B65E473-E828-4B4C-ADB5-4B2F69A87AE2}" name="Column6287"/>
    <tableColumn id="6315" xr3:uid="{BDB31939-ECCC-479F-913D-6284FAFC9815}" name="Column6288"/>
    <tableColumn id="6316" xr3:uid="{7CBACF1F-A9B4-4517-ADE1-608A85FCDEAD}" name="Column6289"/>
    <tableColumn id="6317" xr3:uid="{EA341C2F-4E04-4CBB-AE35-0A4EADD8C8E6}" name="Column6290"/>
    <tableColumn id="6318" xr3:uid="{158C0BB3-DAC7-4CC3-9379-3F7E27E67173}" name="Column6291"/>
    <tableColumn id="6319" xr3:uid="{FC091B1F-40AD-45C5-B41D-F20F0E4F4240}" name="Column6292"/>
    <tableColumn id="6320" xr3:uid="{642A7F4B-904B-485F-B610-D50A05005AED}" name="Column6293"/>
    <tableColumn id="6321" xr3:uid="{A1E89F2B-6186-4359-BA42-0357F6BCF29F}" name="Column6294"/>
    <tableColumn id="6322" xr3:uid="{4606F3C7-ADED-45E2-A7E5-9F3BA1B02DBB}" name="Column6295"/>
    <tableColumn id="6323" xr3:uid="{63FE61B5-FE8E-460D-9D5C-323B29E16F2C}" name="Column6296"/>
    <tableColumn id="6324" xr3:uid="{432CB287-C7C7-4429-8D0E-430B441A624E}" name="Column6297"/>
    <tableColumn id="6325" xr3:uid="{2263AB79-05C6-4C43-9014-AA76F3AAF315}" name="Column6298"/>
    <tableColumn id="6326" xr3:uid="{96F18388-5D8C-4EAD-84DE-BC95F4100293}" name="Column6299"/>
    <tableColumn id="6327" xr3:uid="{EC1EB85C-7130-4682-A207-F8FE266AD20E}" name="Column6300"/>
    <tableColumn id="6328" xr3:uid="{7A9E2543-F9C3-4B98-B6E7-962E22872D73}" name="Column6301"/>
    <tableColumn id="6329" xr3:uid="{0FF7577B-352E-4D1B-A079-B0E0DD4994B0}" name="Column6302"/>
    <tableColumn id="6330" xr3:uid="{C7446A66-D761-4A34-9ECE-455B5D5F6A4A}" name="Column6303"/>
    <tableColumn id="6331" xr3:uid="{BACF95B0-A826-4204-994B-8F33CE9780F5}" name="Column6304"/>
    <tableColumn id="6332" xr3:uid="{48DC90F1-29AB-4D13-8A58-6EDBDAD3D253}" name="Column6305"/>
    <tableColumn id="6333" xr3:uid="{97E98462-B1DC-425F-8BC8-BBAA67D090BC}" name="Column6306"/>
    <tableColumn id="6334" xr3:uid="{9826A188-DCE2-4AE9-85D7-3187E39F844E}" name="Column6307"/>
    <tableColumn id="6335" xr3:uid="{CC4634D1-5D64-42B7-B2E1-21989D011874}" name="Column6308"/>
    <tableColumn id="6336" xr3:uid="{E8369CAA-E010-4936-BAC8-4B2BE69A6894}" name="Column6309"/>
    <tableColumn id="6337" xr3:uid="{514873CA-52D3-4A33-82B5-8F4C9C4B38A2}" name="Column6310"/>
    <tableColumn id="6338" xr3:uid="{07254772-F716-4F70-B935-C24614C55211}" name="Column6311"/>
    <tableColumn id="6339" xr3:uid="{3B8C0E04-CE5C-4E35-B7F0-BB27FEA278BC}" name="Column6312"/>
    <tableColumn id="6340" xr3:uid="{08CE8D0F-FC72-4BD2-9D83-7BAACBE31D79}" name="Column6313"/>
    <tableColumn id="6341" xr3:uid="{C94CB3E1-EC47-4F63-AC08-653FA0745741}" name="Column6314"/>
    <tableColumn id="6342" xr3:uid="{0CFD3C5B-A4DE-4A8C-8167-43F77702EBAE}" name="Column6315"/>
    <tableColumn id="6343" xr3:uid="{8B211F61-9E7A-4E6D-8664-D1571658D5B8}" name="Column6316"/>
    <tableColumn id="6344" xr3:uid="{119DBE9A-06AD-4412-A58E-F62DF4B0B7A2}" name="Column6317"/>
    <tableColumn id="6345" xr3:uid="{1502E283-96BE-4CD7-981C-487750177ACC}" name="Column6318"/>
    <tableColumn id="6346" xr3:uid="{AEFD1B5F-8DE2-4D5E-B67A-2B830612B6CB}" name="Column6319"/>
    <tableColumn id="6347" xr3:uid="{4C742929-E182-4F3A-ADAB-B4C9532100AB}" name="Column6320"/>
    <tableColumn id="6348" xr3:uid="{EDA0AEEB-7AA4-4081-92A4-CA7F555B1BF6}" name="Column6321"/>
    <tableColumn id="6349" xr3:uid="{034752C7-8F61-4C6A-8F4A-301FEA33FD1E}" name="Column6322"/>
    <tableColumn id="6350" xr3:uid="{2728FB88-BF70-4A7F-B1FA-59E4D62D2A40}" name="Column6323"/>
    <tableColumn id="6351" xr3:uid="{4C12C34B-0DF3-4910-B285-F8ACAE52DCB1}" name="Column6324"/>
    <tableColumn id="6352" xr3:uid="{FCDE49C3-DFCA-4D84-A28E-4A2F41169712}" name="Column6325"/>
    <tableColumn id="6353" xr3:uid="{D92F6189-B50C-4E48-835F-C99CEC876E80}" name="Column6326"/>
    <tableColumn id="6354" xr3:uid="{56B88145-FDE3-490C-8526-EA5FB32CED9C}" name="Column6327"/>
    <tableColumn id="6355" xr3:uid="{BFB84963-B0E2-4FF6-AD2C-5498A7962C17}" name="Column6328"/>
    <tableColumn id="6356" xr3:uid="{74F1263D-0113-496A-AB68-8FC0410A1ADC}" name="Column6329"/>
    <tableColumn id="6357" xr3:uid="{DBF39217-DA91-4F2F-B201-7EC4DE15B5C0}" name="Column6330"/>
    <tableColumn id="6358" xr3:uid="{D87B97C5-A5DD-414C-980F-EE5B303DC4B7}" name="Column6331"/>
    <tableColumn id="6359" xr3:uid="{64E79654-797F-42DF-96E0-ECEBD68CD3AA}" name="Column6332"/>
    <tableColumn id="6360" xr3:uid="{CDA54120-B0FA-44DE-A489-B5A49D42D4F4}" name="Column6333"/>
    <tableColumn id="6361" xr3:uid="{B742F830-3F1F-45FF-8741-3ED7B0C93969}" name="Column6334"/>
    <tableColumn id="6362" xr3:uid="{646EDB46-F84F-47A7-AE9C-DAEAC0007A16}" name="Column6335"/>
    <tableColumn id="6363" xr3:uid="{2041813F-A209-4B97-ABFA-3A908715CD70}" name="Column6336"/>
    <tableColumn id="6364" xr3:uid="{34BA8DE1-998D-409E-BAFF-69C124D2DD06}" name="Column6337"/>
    <tableColumn id="6365" xr3:uid="{D501A770-EF50-48B2-BA48-D4C820251FC1}" name="Column6338"/>
    <tableColumn id="6366" xr3:uid="{89FA5E3B-8DEA-41B6-A772-60DC6DB2CC4F}" name="Column6339"/>
    <tableColumn id="6367" xr3:uid="{464F86B4-5A18-4A0C-9BFA-13439E4CA53B}" name="Column6340"/>
    <tableColumn id="6368" xr3:uid="{1EC5F91F-31A9-43CB-BD31-27743827E383}" name="Column6341"/>
    <tableColumn id="6369" xr3:uid="{7CE5DA98-C691-4B28-B4AC-5EACBA3A975E}" name="Column6342"/>
    <tableColumn id="6370" xr3:uid="{3FD17FC6-8F22-43E1-8D89-B8D587C21A81}" name="Column6343"/>
    <tableColumn id="6371" xr3:uid="{A345EAF9-2B9A-4E2D-B9C5-02571E3F1E93}" name="Column6344"/>
    <tableColumn id="6372" xr3:uid="{331C3191-1F07-49EF-8C11-D13412B973CF}" name="Column6345"/>
    <tableColumn id="6373" xr3:uid="{CF23B20A-F49A-497F-881A-033A6AA2C536}" name="Column6346"/>
    <tableColumn id="6374" xr3:uid="{C7591A6B-0835-44EB-B87C-460ECDA62F7B}" name="Column6347"/>
    <tableColumn id="6375" xr3:uid="{37F4CC89-4D44-4C46-9679-BEDE743A2D33}" name="Column6348"/>
    <tableColumn id="6376" xr3:uid="{3CAF865C-A4DC-4EC0-80FD-76CC3F700EE5}" name="Column6349"/>
    <tableColumn id="6377" xr3:uid="{E2AFAB07-1F4B-40EA-A810-DB6015DA9B90}" name="Column6350"/>
    <tableColumn id="6378" xr3:uid="{7359306B-66F6-45E4-868D-198990C66334}" name="Column6351"/>
    <tableColumn id="6379" xr3:uid="{B8EABA20-D49A-4C07-A16D-65D7A7AE89D7}" name="Column6352"/>
    <tableColumn id="6380" xr3:uid="{A77AACE4-FDBB-4ABD-8502-DFCB82040C6D}" name="Column6353"/>
    <tableColumn id="6381" xr3:uid="{D3E59AB8-ECBC-4045-A70C-CA8C26DD2145}" name="Column6354"/>
    <tableColumn id="6382" xr3:uid="{BEAA22A0-A446-4B32-BA05-091416F570A5}" name="Column6355"/>
    <tableColumn id="6383" xr3:uid="{BA1F02B9-BF07-4CFF-8005-A8A0189EEC1A}" name="Column6356"/>
    <tableColumn id="6384" xr3:uid="{8DE46150-A522-4563-985E-2276CFDE8FC9}" name="Column6357"/>
    <tableColumn id="6385" xr3:uid="{F08549A3-52C5-450D-9B62-580AEE4EE788}" name="Column6358"/>
    <tableColumn id="6386" xr3:uid="{C1CCA34A-8B09-4272-B50D-BBB7A3956761}" name="Column6359"/>
    <tableColumn id="6387" xr3:uid="{27E2AE98-44E2-4D60-9096-8B9339F3F959}" name="Column6360"/>
    <tableColumn id="6388" xr3:uid="{6ADF4ECA-E201-4D98-9902-811116B94F57}" name="Column6361"/>
    <tableColumn id="6389" xr3:uid="{96D855A0-F513-4565-B980-39B894F614F2}" name="Column6362"/>
    <tableColumn id="6390" xr3:uid="{5671AFDC-7D26-46A2-8B99-607A40A9FCD4}" name="Column6363"/>
    <tableColumn id="6391" xr3:uid="{680A91EA-46AD-47C1-86FB-0E8C2D6CABBF}" name="Column6364"/>
    <tableColumn id="6392" xr3:uid="{56E19076-6451-47E4-AAFD-F88F88F7D840}" name="Column6365"/>
    <tableColumn id="6393" xr3:uid="{7190CDDE-27D0-429D-A579-299100426EFA}" name="Column6366"/>
    <tableColumn id="6394" xr3:uid="{27DEBF44-F2AB-46D4-B102-6D949511E75B}" name="Column6367"/>
    <tableColumn id="6395" xr3:uid="{19ABE4C5-5DEF-4812-BB6F-8D1C4142915E}" name="Column6368"/>
    <tableColumn id="6396" xr3:uid="{D4AC94CD-F202-4B5A-BF5B-B5190BEE145E}" name="Column6369"/>
    <tableColumn id="6397" xr3:uid="{0A6DE390-3D0A-46F5-8148-0F1FB7412AD5}" name="Column6370"/>
    <tableColumn id="6398" xr3:uid="{9BA1B133-8814-4BC2-B657-3F6A5ADAD318}" name="Column6371"/>
    <tableColumn id="6399" xr3:uid="{6E9B7BAE-B8DC-4944-B828-D78B80637949}" name="Column6372"/>
    <tableColumn id="6400" xr3:uid="{ED108A91-C3FC-4CA4-AF2E-51733ADF67B7}" name="Column6373"/>
    <tableColumn id="6401" xr3:uid="{4CBF30ED-2909-4AF9-A38A-D799EC43B496}" name="Column6374"/>
    <tableColumn id="6402" xr3:uid="{37063033-9DD8-4E3C-A696-869C4EB743D3}" name="Column6375"/>
    <tableColumn id="6403" xr3:uid="{537BF76B-8866-41AD-8945-D8EA34A152AB}" name="Column6376"/>
    <tableColumn id="6404" xr3:uid="{2AB7F155-FA71-402F-9181-663344D37EFD}" name="Column6377"/>
    <tableColumn id="6405" xr3:uid="{D461B64B-7BBD-481A-88A0-55A9AFA7CBEA}" name="Column6378"/>
    <tableColumn id="6406" xr3:uid="{85F3B509-F774-430E-842E-DB2FE7E661F5}" name="Column6379"/>
    <tableColumn id="6407" xr3:uid="{AA950133-A7F6-4FD7-9C5E-378D334081BC}" name="Column6380"/>
    <tableColumn id="6408" xr3:uid="{4071B5BF-9EDC-4B8A-8A67-6A5EF2239190}" name="Column6381"/>
    <tableColumn id="6409" xr3:uid="{3F052792-F0F4-4F12-8D10-585C950C10E9}" name="Column6382"/>
    <tableColumn id="6410" xr3:uid="{FCD4C73C-10F2-4AD7-BE15-1E4B1C29F66C}" name="Column6383"/>
    <tableColumn id="6411" xr3:uid="{76E8FBE2-E141-47E7-89A2-893C8C77B148}" name="Column6384"/>
    <tableColumn id="6412" xr3:uid="{0A902C87-A4B7-4446-B89F-4217EE6D2BAE}" name="Column6385"/>
    <tableColumn id="6413" xr3:uid="{B0533CAA-AFA9-48E5-8DCB-D4D613971B66}" name="Column6386"/>
    <tableColumn id="6414" xr3:uid="{8A2AA74B-6211-4B78-85D7-E29F75587A53}" name="Column6387"/>
    <tableColumn id="6415" xr3:uid="{B34721FF-2684-42E7-A6C8-ABE81838970C}" name="Column6388"/>
    <tableColumn id="6416" xr3:uid="{A679E063-3B3C-4979-81F7-6BBBCD62D0B4}" name="Column6389"/>
    <tableColumn id="6417" xr3:uid="{91783FB5-FB86-41A5-B948-0A79FC830D57}" name="Column6390"/>
    <tableColumn id="6418" xr3:uid="{2C568843-243F-476F-8402-E173C08386ED}" name="Column6391"/>
    <tableColumn id="6419" xr3:uid="{673CF7F4-06D7-41B1-A30A-0A618A68DF82}" name="Column6392"/>
    <tableColumn id="6420" xr3:uid="{11241CD5-ABCF-4F0B-9B44-15D5946571E4}" name="Column6393"/>
    <tableColumn id="6421" xr3:uid="{9412700E-BD69-435F-A819-3D79DF57D83F}" name="Column6394"/>
    <tableColumn id="6422" xr3:uid="{0F4CAC77-4295-4F39-BA8E-3E133F0AE165}" name="Column6395"/>
    <tableColumn id="6423" xr3:uid="{B3F2A207-0EE2-4DB7-9388-735E17D1B545}" name="Column6396"/>
    <tableColumn id="6424" xr3:uid="{2DC5E80D-249A-43F6-862B-CE05323A03DD}" name="Column6397"/>
    <tableColumn id="6425" xr3:uid="{EBC555C1-0662-4EE3-B7E1-4D0E97344506}" name="Column6398"/>
    <tableColumn id="6426" xr3:uid="{CD6712D9-BBDF-488F-8EF9-248785C77829}" name="Column6399"/>
    <tableColumn id="6427" xr3:uid="{BD146F06-1683-41C0-94FF-A68BED788D20}" name="Column6400"/>
    <tableColumn id="6428" xr3:uid="{17D99737-7F42-4DB0-9F36-AD7DB41817CE}" name="Column6401"/>
    <tableColumn id="6429" xr3:uid="{45BE9A72-A9E5-4580-A961-D05767D25793}" name="Column6402"/>
    <tableColumn id="6430" xr3:uid="{4AB02437-9692-48E4-951D-87BD2B8925D6}" name="Column6403"/>
    <tableColumn id="6431" xr3:uid="{64BB6D1A-9A48-43C6-AA99-5286706E9FD5}" name="Column6404"/>
    <tableColumn id="6432" xr3:uid="{6AEE69F4-2EEC-4C79-B3CA-0528248AA2EE}" name="Column6405"/>
    <tableColumn id="6433" xr3:uid="{E773CDAD-8AE8-4117-8780-FF03676497DF}" name="Column6406"/>
    <tableColumn id="6434" xr3:uid="{5343F0AF-4A02-4028-BF98-3EC98A5B8A81}" name="Column6407"/>
    <tableColumn id="6435" xr3:uid="{0E02426D-FCBC-4845-A428-C2E6657747D5}" name="Column6408"/>
    <tableColumn id="6436" xr3:uid="{1D93D7C6-2C52-47A5-9E53-1D91D1CF1099}" name="Column6409"/>
    <tableColumn id="6437" xr3:uid="{BD519C45-A0F2-40D1-B01A-EB3CD0B74191}" name="Column6410"/>
    <tableColumn id="6438" xr3:uid="{95C8F135-9207-471D-B592-8A6A75DEC3BA}" name="Column6411"/>
    <tableColumn id="6439" xr3:uid="{4FA3C209-184F-48A2-9548-EDCA0CDA6818}" name="Column6412"/>
    <tableColumn id="6440" xr3:uid="{65DCD1CE-DB6F-459E-B9DD-60E34C699000}" name="Column6413"/>
    <tableColumn id="6441" xr3:uid="{60A54A1B-CE12-44D5-8D33-299660FE5511}" name="Column6414"/>
    <tableColumn id="6442" xr3:uid="{AF3CB3E4-AD94-44B0-BD3B-914BFF1CD685}" name="Column6415"/>
    <tableColumn id="6443" xr3:uid="{809009A3-6711-4DC9-8AC2-DE1C9F9E8D09}" name="Column6416"/>
    <tableColumn id="6444" xr3:uid="{544415BB-C287-4B3B-A7B1-78C4B2ADE1E7}" name="Column6417"/>
    <tableColumn id="6445" xr3:uid="{8893B1F9-37E9-4B3A-A2EB-C6D20AE6C47A}" name="Column6418"/>
    <tableColumn id="6446" xr3:uid="{D8E21960-7E40-4529-B9B2-6A151CF662D0}" name="Column6419"/>
    <tableColumn id="6447" xr3:uid="{E5D88C63-F6B1-435D-A5D7-4EE49DF8807A}" name="Column6420"/>
    <tableColumn id="6448" xr3:uid="{130A5DAE-C68B-4076-95CE-6ABD6F5C3615}" name="Column6421"/>
    <tableColumn id="6449" xr3:uid="{82BD9526-39B4-4379-8734-12BE42B08AA5}" name="Column6422"/>
    <tableColumn id="6450" xr3:uid="{0169432E-C7C5-4228-9928-93387A3C2758}" name="Column6423"/>
    <tableColumn id="6451" xr3:uid="{EF4BE695-55A2-4CAC-8AC9-452ED1F2B4B5}" name="Column6424"/>
    <tableColumn id="6452" xr3:uid="{D29AE2CC-CBF9-4785-B9D6-358DCB4BF8F2}" name="Column6425"/>
    <tableColumn id="6453" xr3:uid="{D9B9FF1E-DC36-4DEB-9300-0474FF226AE3}" name="Column6426"/>
    <tableColumn id="6454" xr3:uid="{738F7A09-D440-4B69-B6B5-7C214B167E13}" name="Column6427"/>
    <tableColumn id="6455" xr3:uid="{CD8E7441-E266-46C5-862F-F2D655547787}" name="Column6428"/>
    <tableColumn id="6456" xr3:uid="{616E4C32-903B-4C53-8461-22047FB461EC}" name="Column6429"/>
    <tableColumn id="6457" xr3:uid="{E8F5C846-D992-49DC-BD81-757BFDDF03D1}" name="Column6430"/>
    <tableColumn id="6458" xr3:uid="{5334997C-8954-491D-AA00-BFE55D7E522F}" name="Column6431"/>
    <tableColumn id="6459" xr3:uid="{3A50C0CE-3E21-4F50-974A-BF6287ED4393}" name="Column6432"/>
    <tableColumn id="6460" xr3:uid="{19D00265-9271-4639-B00D-CB74861B5C80}" name="Column6433"/>
    <tableColumn id="6461" xr3:uid="{0491607E-00D9-44F2-B42D-02D1325265C5}" name="Column6434"/>
    <tableColumn id="6462" xr3:uid="{A9C89F1A-1C71-455C-A1D2-76C97525A258}" name="Column6435"/>
    <tableColumn id="6463" xr3:uid="{0DCE20F4-6B1F-4E2E-9FDF-BBD6DFCCBBDE}" name="Column6436"/>
    <tableColumn id="6464" xr3:uid="{3002BBFE-F565-41BE-AE8F-19E69BAA814B}" name="Column6437"/>
    <tableColumn id="6465" xr3:uid="{6C5D5592-0472-4A23-A59F-4600979E036D}" name="Column6438"/>
    <tableColumn id="6466" xr3:uid="{7ABBE8DF-EB22-4A08-8AF3-4B3455896654}" name="Column6439"/>
    <tableColumn id="6467" xr3:uid="{97BCD6D3-96D8-48B8-AE4C-D9256A853C7A}" name="Column6440"/>
    <tableColumn id="6468" xr3:uid="{2A6D7B7D-F403-471C-93F7-38FFE5804C4A}" name="Column6441"/>
    <tableColumn id="6469" xr3:uid="{46B6DFD7-F9C7-4367-8FAE-1F9189183FE2}" name="Column6442"/>
    <tableColumn id="6470" xr3:uid="{32A12413-F508-4B80-9923-877CB30ACAA4}" name="Column6443"/>
    <tableColumn id="6471" xr3:uid="{8C58C413-9C2A-4FD8-9550-6E08CA4F53E7}" name="Column6444"/>
    <tableColumn id="6472" xr3:uid="{ADD52F19-9389-43A5-8ECC-3B670CC1212D}" name="Column6445"/>
    <tableColumn id="6473" xr3:uid="{99B7FB90-3D55-44B7-87FE-90E0E3CEB6C2}" name="Column6446"/>
    <tableColumn id="6474" xr3:uid="{B113A154-F577-411F-AB69-9067FB3CA048}" name="Column6447"/>
    <tableColumn id="6475" xr3:uid="{6B4B23E4-C989-4306-88ED-8EB4E74F7E86}" name="Column6448"/>
    <tableColumn id="6476" xr3:uid="{FC8ABD25-93BA-45D9-A7C2-FCB7731107E2}" name="Column6449"/>
    <tableColumn id="6477" xr3:uid="{FACF5F79-D27A-4DA6-80C2-F0C60600DE6C}" name="Column6450"/>
    <tableColumn id="6478" xr3:uid="{C965E79D-8148-41A9-963B-C34C7DC5C45E}" name="Column6451"/>
    <tableColumn id="6479" xr3:uid="{45A6FB50-5B6E-4D73-A7F5-A470501E5A51}" name="Column6452"/>
    <tableColumn id="6480" xr3:uid="{4B212965-F818-4553-B6C3-A1D2BDEE141B}" name="Column6453"/>
    <tableColumn id="6481" xr3:uid="{E8F0A1FE-C95B-429B-8C4C-5BD2B908A427}" name="Column6454"/>
    <tableColumn id="6482" xr3:uid="{0C24851A-4144-4E15-93F3-7F3A8C09A5F1}" name="Column6455"/>
    <tableColumn id="6483" xr3:uid="{C8F805A1-0517-402C-B297-173D34C849B3}" name="Column6456"/>
    <tableColumn id="6484" xr3:uid="{94B92E94-DB64-4D04-8790-5C419A211DE9}" name="Column6457"/>
    <tableColumn id="6485" xr3:uid="{83FE1B1A-824A-403A-8408-B6B4AA56E50B}" name="Column6458"/>
    <tableColumn id="6486" xr3:uid="{ACF2C2B5-92E9-4B6A-A8E6-8679759835B5}" name="Column6459"/>
    <tableColumn id="6487" xr3:uid="{996EA314-A3AE-4264-AFDF-0385A6594F03}" name="Column6460"/>
    <tableColumn id="6488" xr3:uid="{8C874BF3-43A0-49B8-A898-DB2808A5C775}" name="Column6461"/>
    <tableColumn id="6489" xr3:uid="{5F190792-843C-4563-8893-9019E0F7859A}" name="Column6462"/>
    <tableColumn id="6490" xr3:uid="{A22B1583-386D-4F9C-84C9-5A045F71901C}" name="Column6463"/>
    <tableColumn id="6491" xr3:uid="{4486E938-7AA4-45A9-9426-E9B2B5D4C379}" name="Column6464"/>
    <tableColumn id="6492" xr3:uid="{72237513-3EFF-473C-AE15-79E412D84AC2}" name="Column6465"/>
    <tableColumn id="6493" xr3:uid="{C14F54BF-3FB3-434C-BA28-41994E6766AC}" name="Column6466"/>
    <tableColumn id="6494" xr3:uid="{A5E7514A-A8BD-4761-9916-825EA31CCCD6}" name="Column6467"/>
    <tableColumn id="6495" xr3:uid="{B34CD977-1300-47B4-9B2D-1ED223B13546}" name="Column6468"/>
    <tableColumn id="6496" xr3:uid="{80985A9B-0FE3-4B0C-8E80-2EDB1AE17E9C}" name="Column6469"/>
    <tableColumn id="6497" xr3:uid="{07341A31-93A1-43A2-B114-8736DD36A638}" name="Column6470"/>
    <tableColumn id="6498" xr3:uid="{8EFE9690-F95C-4E9A-89D4-13E14B86E6CA}" name="Column6471"/>
    <tableColumn id="6499" xr3:uid="{34A66445-9491-47AF-BD41-8405277F05BC}" name="Column6472"/>
    <tableColumn id="6500" xr3:uid="{615D9A26-501C-451C-A8F5-7E3EE67A0132}" name="Column6473"/>
    <tableColumn id="6501" xr3:uid="{6BA527FF-3505-4796-851D-24DE2AAA9CDA}" name="Column6474"/>
    <tableColumn id="6502" xr3:uid="{6767C3C9-E405-4F7D-AD0C-98715BB15FC0}" name="Column6475"/>
    <tableColumn id="6503" xr3:uid="{6F671614-9760-426F-9E21-6FA057A9789A}" name="Column6476"/>
    <tableColumn id="6504" xr3:uid="{3804AD9E-21FE-47EE-953A-D49CA768549B}" name="Column6477"/>
    <tableColumn id="6505" xr3:uid="{2EBCEC43-8A93-4211-B109-CD2D9942101E}" name="Column6478"/>
    <tableColumn id="6506" xr3:uid="{1856B953-5872-46C3-B635-FFB389E86C73}" name="Column6479"/>
    <tableColumn id="6507" xr3:uid="{D57E3FAB-0771-4E1C-AF8D-71218BE3767C}" name="Column6480"/>
    <tableColumn id="6508" xr3:uid="{15900443-6AAE-4764-BD9D-C0E390026D82}" name="Column6481"/>
    <tableColumn id="6509" xr3:uid="{96985F78-6620-4B9B-9735-A509E26F2E0C}" name="Column6482"/>
    <tableColumn id="6510" xr3:uid="{0F5FCE79-DF15-4B5A-94B1-BBF6E1905522}" name="Column6483"/>
    <tableColumn id="6511" xr3:uid="{0C6E1BDD-2B6E-467D-8302-64CB0C094617}" name="Column6484"/>
    <tableColumn id="6512" xr3:uid="{4E4DA8A4-5BCB-4172-B426-E4D800170213}" name="Column6485"/>
    <tableColumn id="6513" xr3:uid="{361AB1EE-8393-40D5-88E7-3D56274A6BBE}" name="Column6486"/>
    <tableColumn id="6514" xr3:uid="{B322A23F-BB1A-437F-AEC9-66BF5AAAB94C}" name="Column6487"/>
    <tableColumn id="6515" xr3:uid="{C52EB4B6-11E2-40D0-9F0C-3BC00C480349}" name="Column6488"/>
    <tableColumn id="6516" xr3:uid="{824E0B11-EFAF-48B8-ABDF-B846962F8E60}" name="Column6489"/>
    <tableColumn id="6517" xr3:uid="{A2384D35-1DCE-4831-9C21-6A41BE6B1E99}" name="Column6490"/>
    <tableColumn id="6518" xr3:uid="{024BB852-ED45-48D7-98F9-6269FD07771C}" name="Column6491"/>
    <tableColumn id="6519" xr3:uid="{73797814-E05C-48D2-9D2A-FA6CD659DB18}" name="Column6492"/>
    <tableColumn id="6520" xr3:uid="{AC164D0A-E136-4E12-8244-02359BC1C06E}" name="Column6493"/>
    <tableColumn id="6521" xr3:uid="{706E16B9-1622-4D82-A013-DCEFA6DA73C6}" name="Column6494"/>
    <tableColumn id="6522" xr3:uid="{FC683B43-CBA8-4055-AED5-18D546EA1F9D}" name="Column6495"/>
    <tableColumn id="6523" xr3:uid="{53759BFE-B0D6-41BD-91BC-0A5B92AFF8D3}" name="Column6496"/>
    <tableColumn id="6524" xr3:uid="{14F4ACC1-8067-4E98-8741-7224E4792473}" name="Column6497"/>
    <tableColumn id="6525" xr3:uid="{0BB21E48-26EC-4B4E-8605-CA6BC65F78E8}" name="Column6498"/>
    <tableColumn id="6526" xr3:uid="{B0EC3DFB-0AE3-4C04-9627-363AE552543E}" name="Column6499"/>
    <tableColumn id="6527" xr3:uid="{67375662-395E-4FF1-ACEC-107D538CD8F0}" name="Column6500"/>
    <tableColumn id="6528" xr3:uid="{2481BC87-6313-4108-A751-DB26D4F735BC}" name="Column6501"/>
    <tableColumn id="6529" xr3:uid="{AB95A0F2-F9B5-4A41-9BE1-76766736B170}" name="Column6502"/>
    <tableColumn id="6530" xr3:uid="{D42BD321-4234-421A-A9D6-D73622B36EDE}" name="Column6503"/>
    <tableColumn id="6531" xr3:uid="{0BA5E5BD-BD2D-4358-99D4-E1851456490E}" name="Column6504"/>
    <tableColumn id="6532" xr3:uid="{72AC2A6A-57F4-44B7-A9C3-655770F21DD4}" name="Column6505"/>
    <tableColumn id="6533" xr3:uid="{8EA9F39C-AFA0-406E-ABF9-0F7BC434245D}" name="Column6506"/>
    <tableColumn id="6534" xr3:uid="{B7EE7C0B-288F-459C-80D6-66A13141FBFD}" name="Column6507"/>
    <tableColumn id="6535" xr3:uid="{B42B7F6F-6A12-439C-833C-603E820640D4}" name="Column6508"/>
    <tableColumn id="6536" xr3:uid="{5767EC44-5CB1-4F0C-9F84-5454C7D4454E}" name="Column6509"/>
    <tableColumn id="6537" xr3:uid="{1CBD1183-34E7-4E47-92E4-9AE44B71FF3B}" name="Column6510"/>
    <tableColumn id="6538" xr3:uid="{DCE41043-6B4E-4878-9027-FE27CEABBA37}" name="Column6511"/>
    <tableColumn id="6539" xr3:uid="{261FFF24-8D9F-46F4-B209-630E99B16ECE}" name="Column6512"/>
    <tableColumn id="6540" xr3:uid="{00A5466A-1D78-4F13-B910-1ACDC0750DD8}" name="Column6513"/>
    <tableColumn id="6541" xr3:uid="{17D578C3-B6DB-4B71-801C-F96D5FEAC560}" name="Column6514"/>
    <tableColumn id="6542" xr3:uid="{9EC057F4-EBFC-475E-B14E-4F09454B0AAD}" name="Column6515"/>
    <tableColumn id="6543" xr3:uid="{CBC04A89-EB93-40E3-8B70-A2A6D4038257}" name="Column6516"/>
    <tableColumn id="6544" xr3:uid="{7028940C-12AB-44C2-B939-09B32E6DA54E}" name="Column6517"/>
    <tableColumn id="6545" xr3:uid="{C81F277F-A531-4F1B-BDBC-7DDCC76A4C50}" name="Column6518"/>
    <tableColumn id="6546" xr3:uid="{CF28C9E1-F7A7-417D-AB6E-1FC4893B69D7}" name="Column6519"/>
    <tableColumn id="6547" xr3:uid="{C700851B-31FC-4FAA-8C96-73B1858D4677}" name="Column6520"/>
    <tableColumn id="6548" xr3:uid="{6598CC96-7409-409F-8A3E-76ADBABA93FE}" name="Column6521"/>
    <tableColumn id="6549" xr3:uid="{DC129AF0-2952-4D85-94C7-D89115F06712}" name="Column6522"/>
    <tableColumn id="6550" xr3:uid="{86275CAC-0F3F-4FD9-96F3-C0AF53FF1436}" name="Column6523"/>
    <tableColumn id="6551" xr3:uid="{D793FBB7-26B0-4D9C-9EAB-94BF492763F3}" name="Column6524"/>
    <tableColumn id="6552" xr3:uid="{B8D719F2-333D-4F2A-9732-A8AF1C2E6A8C}" name="Column6525"/>
    <tableColumn id="6553" xr3:uid="{FCA51E5A-8A75-404A-8FA1-250CA0843FDB}" name="Column6526"/>
    <tableColumn id="6554" xr3:uid="{73B9A8BA-182B-4ABF-B92B-74C4133F477E}" name="Column6527"/>
    <tableColumn id="6555" xr3:uid="{B3582E14-07A8-4F7E-9A74-A8B8706BA3F0}" name="Column6528"/>
    <tableColumn id="6556" xr3:uid="{AD6E72DE-6003-4B87-8390-2B28CD08778C}" name="Column6529"/>
    <tableColumn id="6557" xr3:uid="{63D92D2D-A77A-4E5F-8E3B-BC95252E1D9C}" name="Column6530"/>
    <tableColumn id="6558" xr3:uid="{8C8852AA-98D7-4FAE-9190-D153979268A5}" name="Column6531"/>
    <tableColumn id="6559" xr3:uid="{439D74BE-BDBA-4081-8FE5-313799FDD1DB}" name="Column6532"/>
    <tableColumn id="6560" xr3:uid="{9BA1354A-F090-4D3D-9A58-7CC0B1DF87A0}" name="Column6533"/>
    <tableColumn id="6561" xr3:uid="{A94794C9-8384-4038-99F6-BCEF64C6C6EA}" name="Column6534"/>
    <tableColumn id="6562" xr3:uid="{F9B130DF-DA20-4B8C-81D9-51771200A6DD}" name="Column6535"/>
    <tableColumn id="6563" xr3:uid="{30531197-D59A-4438-9969-443A4FE9B331}" name="Column6536"/>
    <tableColumn id="6564" xr3:uid="{342735E5-B2E7-4D5D-AF1E-044BB2C0D000}" name="Column6537"/>
    <tableColumn id="6565" xr3:uid="{4AEABD5D-C670-4F85-B255-9316F6755730}" name="Column6538"/>
    <tableColumn id="6566" xr3:uid="{8728A992-67A1-48A8-8D30-DD963752E98E}" name="Column6539"/>
    <tableColumn id="6567" xr3:uid="{D50F547F-0480-4850-BD63-98E229421B46}" name="Column6540"/>
    <tableColumn id="6568" xr3:uid="{1119E14B-C082-4EF0-8584-0E1FF5F998B2}" name="Column6541"/>
    <tableColumn id="6569" xr3:uid="{2CE2DBCC-9769-4FD7-82FF-CB5581929A93}" name="Column6542"/>
    <tableColumn id="6570" xr3:uid="{3FCBB4A0-61C4-49F7-A1AC-F418E8D48411}" name="Column6543"/>
    <tableColumn id="6571" xr3:uid="{5B4871B1-5690-4630-B4A6-27CF5743F853}" name="Column6544"/>
    <tableColumn id="6572" xr3:uid="{88A9FA49-ED52-495F-B7C9-15EA3EE184DA}" name="Column6545"/>
    <tableColumn id="6573" xr3:uid="{84BF4427-8A53-4718-B0FD-BE49FB068F3F}" name="Column6546"/>
    <tableColumn id="6574" xr3:uid="{F5FF5EB6-55AC-4A51-8A94-D7B6E557A35E}" name="Column6547"/>
    <tableColumn id="6575" xr3:uid="{C32E8DF1-63A1-4145-BA45-A8729987CBEE}" name="Column6548"/>
    <tableColumn id="6576" xr3:uid="{E393B096-34FF-483D-B5E6-39659A2FC85C}" name="Column6549"/>
    <tableColumn id="6577" xr3:uid="{7723A58B-B178-42CF-B640-9E7C94619AED}" name="Column6550"/>
    <tableColumn id="6578" xr3:uid="{B65E1D3E-F0FD-4BB1-89FF-AAB5DF7B2765}" name="Column6551"/>
    <tableColumn id="6579" xr3:uid="{14131A11-C16F-4A59-AF3A-AAEC572653FB}" name="Column6552"/>
    <tableColumn id="6580" xr3:uid="{0D87B529-D463-46DE-A175-2797E39B0675}" name="Column6553"/>
    <tableColumn id="6581" xr3:uid="{69D92708-FCDF-48E7-8A2F-E9BD5010C3F9}" name="Column6554"/>
    <tableColumn id="6582" xr3:uid="{9399AC98-2EBE-4925-93EE-58E6738C2EB2}" name="Column6555"/>
    <tableColumn id="6583" xr3:uid="{93FC4E4A-A356-4409-B4CD-A3486E10A697}" name="Column6556"/>
    <tableColumn id="6584" xr3:uid="{6BEFC278-3173-45D0-8EFD-2FFD0053354B}" name="Column6557"/>
    <tableColumn id="6585" xr3:uid="{0112D039-E107-4B16-8F30-27830C02A3A5}" name="Column6558"/>
    <tableColumn id="6586" xr3:uid="{378B3E86-F960-4AC1-B98B-E8F0E068A1D2}" name="Column6559"/>
    <tableColumn id="6587" xr3:uid="{C4DED69B-13BC-496A-A85B-D68CDB6BCF21}" name="Column6560"/>
    <tableColumn id="6588" xr3:uid="{A73496B9-3881-4084-AC55-CB7FDA865C00}" name="Column6561"/>
    <tableColumn id="6589" xr3:uid="{17D212DE-027D-45DD-ABE5-1F4CDE342B12}" name="Column6562"/>
    <tableColumn id="6590" xr3:uid="{2E977F8E-72C9-4A63-B05E-F326BECC3095}" name="Column6563"/>
    <tableColumn id="6591" xr3:uid="{9C081505-5ABB-4F24-ADD3-9F6CFB647A3A}" name="Column6564"/>
    <tableColumn id="6592" xr3:uid="{E9B38ECD-74E2-417B-95C6-9889C5423291}" name="Column6565"/>
    <tableColumn id="6593" xr3:uid="{3966E597-D4E6-4B9A-88D5-9AC560892529}" name="Column6566"/>
    <tableColumn id="6594" xr3:uid="{5029CD4C-8501-41C2-97A2-D4173A395C7E}" name="Column6567"/>
    <tableColumn id="6595" xr3:uid="{333B1ED8-C69F-4418-8E12-2F1EFDD6303D}" name="Column6568"/>
    <tableColumn id="6596" xr3:uid="{1C61AED2-7E39-40A8-B5D6-4A070E7D32A3}" name="Column6569"/>
    <tableColumn id="6597" xr3:uid="{083E8401-7987-4F6B-B230-5667D15055DC}" name="Column6570"/>
    <tableColumn id="6598" xr3:uid="{EC6586E8-3C81-4C05-B4F2-68B49B9C78D3}" name="Column6571"/>
    <tableColumn id="6599" xr3:uid="{E5AE6630-3791-493B-BA2A-0B6A2BD18408}" name="Column6572"/>
    <tableColumn id="6600" xr3:uid="{60E426A6-9936-4759-9D38-E353864B4257}" name="Column6573"/>
    <tableColumn id="6601" xr3:uid="{838E7600-CB8B-468E-8FF0-903E49FA22E4}" name="Column6574"/>
    <tableColumn id="6602" xr3:uid="{536507B8-A475-427D-8CAF-6AFA038A218E}" name="Column6575"/>
    <tableColumn id="6603" xr3:uid="{70EF4AAF-F633-47A9-953F-F521CE7070C8}" name="Column6576"/>
    <tableColumn id="6604" xr3:uid="{E8361F5C-177D-4D6C-9423-FDD7CEAAC7E0}" name="Column6577"/>
    <tableColumn id="6605" xr3:uid="{7BDE17D3-49EF-49A0-A0F3-4304617D297D}" name="Column6578"/>
    <tableColumn id="6606" xr3:uid="{C30EF1E8-E7C0-4896-BE65-7FFF14847421}" name="Column6579"/>
    <tableColumn id="6607" xr3:uid="{F69491E6-AD44-4298-B86B-0BAD7FEF81DE}" name="Column6580"/>
    <tableColumn id="6608" xr3:uid="{C2BF312B-262F-4D7F-A7BB-975AB1676DF9}" name="Column6581"/>
    <tableColumn id="6609" xr3:uid="{E930A7EE-6F4E-46E2-8134-D928D8412E07}" name="Column6582"/>
    <tableColumn id="6610" xr3:uid="{2AC53B26-DA09-463B-A840-7D7CAA060F27}" name="Column6583"/>
    <tableColumn id="6611" xr3:uid="{C12303B6-4382-4324-BB5F-733CE05AB98C}" name="Column6584"/>
    <tableColumn id="6612" xr3:uid="{BCA98255-D0AC-4B96-9278-31A4776A5956}" name="Column6585"/>
    <tableColumn id="6613" xr3:uid="{DA2F7D29-8136-4EA0-A10D-057B589D26E4}" name="Column6586"/>
    <tableColumn id="6614" xr3:uid="{A40EAC70-429E-4531-9A61-6D8ADA61DFAD}" name="Column6587"/>
    <tableColumn id="6615" xr3:uid="{680EBAC2-0091-4ED4-BEA5-3FE064CD8004}" name="Column6588"/>
    <tableColumn id="6616" xr3:uid="{A065759F-9BFB-410F-8609-4E312D24ED96}" name="Column6589"/>
    <tableColumn id="6617" xr3:uid="{1EDE5041-1650-44EC-BC14-686E13822CBF}" name="Column6590"/>
    <tableColumn id="6618" xr3:uid="{9382255F-33FC-4BF6-BCF9-C4F4E241A497}" name="Column6591"/>
    <tableColumn id="6619" xr3:uid="{51570467-B396-4495-A3BD-089BA465330E}" name="Column6592"/>
    <tableColumn id="6620" xr3:uid="{219F14DF-4E01-41FB-A461-0B63BA4DD344}" name="Column6593"/>
    <tableColumn id="6621" xr3:uid="{64EEBD65-6AD8-4586-8B5A-09EF47362954}" name="Column6594"/>
    <tableColumn id="6622" xr3:uid="{B4748987-0087-49CA-94A1-942EF3D8F684}" name="Column6595"/>
    <tableColumn id="6623" xr3:uid="{27B6A2B9-12EC-4536-9EF7-3CA1CFE5C612}" name="Column6596"/>
    <tableColumn id="6624" xr3:uid="{DA3C6628-7628-4DBC-B3A4-120EA959F451}" name="Column6597"/>
    <tableColumn id="6625" xr3:uid="{32214FB8-2AF2-4201-854B-3F85BF4B414F}" name="Column6598"/>
    <tableColumn id="6626" xr3:uid="{C68C1357-D7FF-4FEB-8FEB-68FFD17BC54A}" name="Column6599"/>
    <tableColumn id="6627" xr3:uid="{A84366CE-AC57-46DD-8A86-1F07C4BA03D2}" name="Column6600"/>
    <tableColumn id="6628" xr3:uid="{F9C9680A-F7C5-4328-989C-07E302773C8A}" name="Column6601"/>
    <tableColumn id="6629" xr3:uid="{B6D5BBE2-A1C1-4DAB-98F9-620960E77D8A}" name="Column6602"/>
    <tableColumn id="6630" xr3:uid="{53B4D255-4DD9-4641-8ADA-7E4B76ECAF1F}" name="Column6603"/>
    <tableColumn id="6631" xr3:uid="{48A5ED3C-4AD9-4598-9853-76FD43967F41}" name="Column6604"/>
    <tableColumn id="6632" xr3:uid="{1F198127-36BA-4F60-B75B-DA51C30ABD80}" name="Column6605"/>
    <tableColumn id="6633" xr3:uid="{0FF8C777-D1DA-48C7-A3BA-5144DD376270}" name="Column6606"/>
    <tableColumn id="6634" xr3:uid="{768ED0BD-1EAA-4E5B-9E93-4A2DCBBFF8D6}" name="Column6607"/>
    <tableColumn id="6635" xr3:uid="{78E22EAA-EBE3-4B06-AAD2-42877D30FD9E}" name="Column6608"/>
    <tableColumn id="6636" xr3:uid="{33997FFF-DF3D-4406-8CB3-F331FCFB5BA7}" name="Column6609"/>
    <tableColumn id="6637" xr3:uid="{F2300BB2-3948-43B7-8964-FB95D0DCDB71}" name="Column6610"/>
    <tableColumn id="6638" xr3:uid="{BB159C4B-52B4-4F1A-98F8-43825DE99244}" name="Column6611"/>
    <tableColumn id="6639" xr3:uid="{5C73DE86-BDE6-46E7-8047-A5D587070F0A}" name="Column6612"/>
    <tableColumn id="6640" xr3:uid="{AFC423F2-26F2-4A39-B46E-C1C28B0A0BA5}" name="Column6613"/>
    <tableColumn id="6641" xr3:uid="{8630DB6C-7EDF-4D5D-9DF7-5BAEAB835879}" name="Column6614"/>
    <tableColumn id="6642" xr3:uid="{A01A6883-70ED-483C-BAC4-7BB167DC890B}" name="Column6615"/>
    <tableColumn id="6643" xr3:uid="{5D5C669C-CD98-4A4F-A64A-B6417906F6AF}" name="Column6616"/>
    <tableColumn id="6644" xr3:uid="{7C481964-D102-4007-849E-3D4017747D0D}" name="Column6617"/>
    <tableColumn id="6645" xr3:uid="{BC765AC6-6579-4487-B2F5-8F72A8289188}" name="Column6618"/>
    <tableColumn id="6646" xr3:uid="{604570E7-C53E-4E71-98CA-5CF66E357E02}" name="Column6619"/>
    <tableColumn id="6647" xr3:uid="{6D303F37-A405-4D94-A90B-4A1A3FF17167}" name="Column6620"/>
    <tableColumn id="6648" xr3:uid="{184898E1-F115-463D-AB38-030C181E4BBA}" name="Column6621"/>
    <tableColumn id="6649" xr3:uid="{4AA583BB-2FDC-4642-9380-7AF78DE476EF}" name="Column6622"/>
    <tableColumn id="6650" xr3:uid="{8F944299-486C-4DA5-9263-9AED2AB88BCC}" name="Column6623"/>
    <tableColumn id="6651" xr3:uid="{4AFFA6E3-1BF1-45EE-AB85-5FB8E297686D}" name="Column6624"/>
    <tableColumn id="6652" xr3:uid="{73A4F109-A53D-4236-8E46-F4F5CFF11C57}" name="Column6625"/>
    <tableColumn id="6653" xr3:uid="{FCC75011-17A5-4E02-86B9-D8BC6E5506DF}" name="Column6626"/>
    <tableColumn id="6654" xr3:uid="{3EAB5932-47CB-4AA7-9FC4-CE67341346C3}" name="Column6627"/>
    <tableColumn id="6655" xr3:uid="{ED64F71C-8B40-4DE0-A0C1-93E6BA58B457}" name="Column6628"/>
    <tableColumn id="6656" xr3:uid="{CE0BDE97-9CD8-45AE-8ADD-794567D8230D}" name="Column6629"/>
    <tableColumn id="6657" xr3:uid="{B4016890-F59B-4619-B859-BD14A48E1632}" name="Column6630"/>
    <tableColumn id="6658" xr3:uid="{BBC8F4F1-1D0D-414D-AFBA-3C43D002BF49}" name="Column6631"/>
    <tableColumn id="6659" xr3:uid="{EEF63248-04D5-474C-B1EA-C1BE35902A99}" name="Column6632"/>
    <tableColumn id="6660" xr3:uid="{15E6C6F1-ED8E-46A8-B00E-668E5B1A857A}" name="Column6633"/>
    <tableColumn id="6661" xr3:uid="{BCC9585C-773D-4442-B722-A5652EC4B990}" name="Column6634"/>
    <tableColumn id="6662" xr3:uid="{E1CCA3CD-9A98-41E9-A804-E3BF4234166B}" name="Column6635"/>
    <tableColumn id="6663" xr3:uid="{086A6D73-01D3-493A-BCCE-9C8ED33B64F9}" name="Column6636"/>
    <tableColumn id="6664" xr3:uid="{4B3B2E48-66D4-4455-BDF0-6C454D3AE1AF}" name="Column6637"/>
    <tableColumn id="6665" xr3:uid="{519B4B7D-DACA-4EEE-810E-043E4C3E1985}" name="Column6638"/>
    <tableColumn id="6666" xr3:uid="{8B32A8C5-2A9B-45D8-A8C5-07254836FE74}" name="Column6639"/>
    <tableColumn id="6667" xr3:uid="{29A8F9FC-727B-4315-BD77-57DE23442239}" name="Column6640"/>
    <tableColumn id="6668" xr3:uid="{112DC848-8204-40F2-BAC0-87EE959A1117}" name="Column6641"/>
    <tableColumn id="6669" xr3:uid="{82D387A9-2E25-4CF1-9625-8B58404F0207}" name="Column6642"/>
    <tableColumn id="6670" xr3:uid="{891040BB-418A-44CB-A48A-C989C6D936AD}" name="Column6643"/>
    <tableColumn id="6671" xr3:uid="{601D7EE9-95D2-42B5-AB03-32EFFC498417}" name="Column6644"/>
    <tableColumn id="6672" xr3:uid="{1FF55BA8-04E6-4139-86C3-748EC5DBE481}" name="Column6645"/>
    <tableColumn id="6673" xr3:uid="{516F0F1B-1429-4F41-92F5-650386A87E59}" name="Column6646"/>
    <tableColumn id="6674" xr3:uid="{0EF62CCD-7C92-4137-8C5B-981676FD7613}" name="Column6647"/>
    <tableColumn id="6675" xr3:uid="{D1657D1F-68CB-4D05-AA65-357C0619EE68}" name="Column6648"/>
    <tableColumn id="6676" xr3:uid="{9049BB5C-1DF1-465F-8A2D-CF585D6D924A}" name="Column6649"/>
    <tableColumn id="6677" xr3:uid="{10D34895-11DB-41DA-8452-6FE765F96109}" name="Column6650"/>
    <tableColumn id="6678" xr3:uid="{D7E101E9-05B7-4493-9807-B9A289E6EB2B}" name="Column6651"/>
    <tableColumn id="6679" xr3:uid="{8994179B-9A5C-4036-B1AD-75CCC9E5B91E}" name="Column6652"/>
    <tableColumn id="6680" xr3:uid="{59859E37-9307-429C-AE4B-97F2A5CA57E9}" name="Column6653"/>
    <tableColumn id="6681" xr3:uid="{4A7AB6BA-5985-488F-92D2-F6EEF9D28C8E}" name="Column6654"/>
    <tableColumn id="6682" xr3:uid="{1F2A0305-271B-4E3D-95AA-8BB57D5168F4}" name="Column6655"/>
    <tableColumn id="6683" xr3:uid="{0819F3AF-CF97-4A6F-9ECD-769D7D6F38EC}" name="Column6656"/>
    <tableColumn id="6684" xr3:uid="{3D3D589E-B36C-4BE0-9D5D-55775447EE8C}" name="Column6657"/>
    <tableColumn id="6685" xr3:uid="{98EF59F5-2EC3-4B4A-8A3D-1874331630C7}" name="Column6658"/>
    <tableColumn id="6686" xr3:uid="{10965F46-295C-4B22-90DC-48B7A1277959}" name="Column6659"/>
    <tableColumn id="6687" xr3:uid="{DA39CBBA-39B4-4D2A-802C-EF2CEB31A61B}" name="Column6660"/>
    <tableColumn id="6688" xr3:uid="{B6D84E73-56F1-4FDD-B0A6-ECF20B73C142}" name="Column6661"/>
    <tableColumn id="6689" xr3:uid="{3FC86B00-B057-4197-99A9-390A7D2FE177}" name="Column6662"/>
    <tableColumn id="6690" xr3:uid="{5F164200-B3C6-4A5A-9761-730DA8E851A4}" name="Column6663"/>
    <tableColumn id="6691" xr3:uid="{8E9C2F3A-817A-4645-AAAD-49011D902CBC}" name="Column6664"/>
    <tableColumn id="6692" xr3:uid="{8F5F1BE3-5AE1-4618-83A5-89E8F649A225}" name="Column6665"/>
    <tableColumn id="6693" xr3:uid="{32D3D967-24D3-4D39-BC8A-E618E0E683D7}" name="Column6666"/>
    <tableColumn id="6694" xr3:uid="{6E5F90C1-9455-46ED-904B-B13D415D00C3}" name="Column6667"/>
    <tableColumn id="6695" xr3:uid="{81A19804-2CE6-4D02-B053-2BB284D83431}" name="Column6668"/>
    <tableColumn id="6696" xr3:uid="{F0191CFE-7514-4F4A-BE67-F9186ECD2F09}" name="Column6669"/>
    <tableColumn id="6697" xr3:uid="{BF179992-CDD5-4C44-9DEB-792CA577739D}" name="Column6670"/>
    <tableColumn id="6698" xr3:uid="{F0836637-825D-4DB3-B2C9-28E7297709C2}" name="Column6671"/>
    <tableColumn id="6699" xr3:uid="{91757933-9FA7-4CEA-A8C5-77A4B849A04D}" name="Column6672"/>
    <tableColumn id="6700" xr3:uid="{C8CB41E7-73BB-4811-85E4-FCBE7E6152CD}" name="Column6673"/>
    <tableColumn id="6701" xr3:uid="{3A2F5110-DCFB-4FC6-BC43-14A2AA712E03}" name="Column6674"/>
    <tableColumn id="6702" xr3:uid="{55D858AD-90D4-410B-99D0-17DDC5FEFB7E}" name="Column6675"/>
    <tableColumn id="6703" xr3:uid="{C7D5F10D-0EF4-4593-B97A-099584588C24}" name="Column6676"/>
    <tableColumn id="6704" xr3:uid="{3F639337-F2BC-47EF-8DD9-024133F752AC}" name="Column6677"/>
    <tableColumn id="6705" xr3:uid="{330C8701-F43D-4445-B1B3-101C2CB33465}" name="Column6678"/>
    <tableColumn id="6706" xr3:uid="{71B100CD-AB2F-46EF-819F-E2D32E66BB44}" name="Column6679"/>
    <tableColumn id="6707" xr3:uid="{FC7123CF-0513-42C8-BEB7-B75576D9FC15}" name="Column6680"/>
    <tableColumn id="6708" xr3:uid="{17EC1EB1-89B8-43FF-A684-9B147E77E767}" name="Column6681"/>
    <tableColumn id="6709" xr3:uid="{1A81A44C-3142-4C87-8444-EAF4DD128E9E}" name="Column6682"/>
    <tableColumn id="6710" xr3:uid="{1072CA31-DDDD-46D0-AABD-E9C9A252A27A}" name="Column6683"/>
    <tableColumn id="6711" xr3:uid="{A85BFBA0-8FF4-4C93-984D-D1DB5307A378}" name="Column6684"/>
    <tableColumn id="6712" xr3:uid="{C29633E5-65EF-4689-8580-86D825D19CF1}" name="Column6685"/>
    <tableColumn id="6713" xr3:uid="{A944EA59-44BF-4241-8242-384D63453692}" name="Column6686"/>
    <tableColumn id="6714" xr3:uid="{57A084AB-5867-4E50-A504-E097031D9C82}" name="Column6687"/>
    <tableColumn id="6715" xr3:uid="{9BDAC499-364D-479A-B123-77C21A49AFD3}" name="Column6688"/>
    <tableColumn id="6716" xr3:uid="{10AD50C5-D4DD-4207-8986-972DA7014076}" name="Column6689"/>
    <tableColumn id="6717" xr3:uid="{6EFA0E2B-027A-41C0-B086-647603AE86A2}" name="Column6690"/>
    <tableColumn id="6718" xr3:uid="{D66AC936-A02A-4D51-9243-10478A56DCD6}" name="Column6691"/>
    <tableColumn id="6719" xr3:uid="{D6AC666A-C376-4350-937C-F6D1516C158D}" name="Column6692"/>
    <tableColumn id="6720" xr3:uid="{6D837AA5-2649-41CC-96CF-F915AE6BAA80}" name="Column6693"/>
    <tableColumn id="6721" xr3:uid="{8C14A28C-D18E-45AA-9399-4C8617B81284}" name="Column6694"/>
    <tableColumn id="6722" xr3:uid="{A9F3BDDC-7721-4651-808E-A68902FEC447}" name="Column6695"/>
    <tableColumn id="6723" xr3:uid="{44FFC7EB-D844-4E2E-9175-2BD94AA4E4F7}" name="Column6696"/>
    <tableColumn id="6724" xr3:uid="{C0C04FAC-99B9-4DBD-9E01-5B65BD49A655}" name="Column6697"/>
    <tableColumn id="6725" xr3:uid="{D86D41B5-5E6E-4415-9701-8CDF21FB1D52}" name="Column6698"/>
    <tableColumn id="6726" xr3:uid="{6829F4D2-3185-4435-A635-A2714720E05A}" name="Column6699"/>
    <tableColumn id="6727" xr3:uid="{66D5A980-412B-4CA1-AD4A-563224220B72}" name="Column6700"/>
    <tableColumn id="6728" xr3:uid="{41067671-341A-4472-9226-004B942DEEB2}" name="Column6701"/>
    <tableColumn id="6729" xr3:uid="{CE409CDF-13E3-4678-B7F1-8F9ED71D368A}" name="Column6702"/>
    <tableColumn id="6730" xr3:uid="{9E43ED9F-3FAB-4F41-AF15-8FFB2495AA2A}" name="Column6703"/>
    <tableColumn id="6731" xr3:uid="{0BBA427E-3D26-4EE5-90EF-614E7D111D44}" name="Column6704"/>
    <tableColumn id="6732" xr3:uid="{C586F282-400C-48EA-A9E3-1827B84A866D}" name="Column6705"/>
    <tableColumn id="6733" xr3:uid="{79BACDFA-E59A-43FF-8EA5-1DC8B36B342D}" name="Column6706"/>
    <tableColumn id="6734" xr3:uid="{626531CC-2006-481B-B144-A7C172BA3B2C}" name="Column6707"/>
    <tableColumn id="6735" xr3:uid="{E11D1FC2-E52F-4762-BF94-C4DD0EDC6B64}" name="Column6708"/>
    <tableColumn id="6736" xr3:uid="{69586423-BAB1-4B3E-AB03-1AA61035C4BF}" name="Column6709"/>
    <tableColumn id="6737" xr3:uid="{88628123-028E-4295-B596-09299653F323}" name="Column6710"/>
    <tableColumn id="6738" xr3:uid="{D9BDE07D-B878-4436-B959-A25CAD5104C2}" name="Column6711"/>
    <tableColumn id="6739" xr3:uid="{75F46C34-9BAA-45C7-BFC7-571E35C0BE7A}" name="Column6712"/>
    <tableColumn id="6740" xr3:uid="{B059F3D0-5C2C-4FA1-92AA-48FA859D82B1}" name="Column6713"/>
    <tableColumn id="6741" xr3:uid="{968034A1-AB03-4CF1-862D-BCDA3D0A646F}" name="Column6714"/>
    <tableColumn id="6742" xr3:uid="{F3AD2EBF-C82C-4A0A-92C2-2B0B969CA7E9}" name="Column6715"/>
    <tableColumn id="6743" xr3:uid="{9C25A874-6C94-4BA3-ABE7-B8453B120453}" name="Column6716"/>
    <tableColumn id="6744" xr3:uid="{7F87C754-F84F-4303-B0F9-BAA7F97E1E2C}" name="Column6717"/>
    <tableColumn id="6745" xr3:uid="{58D32F3B-2C95-4BD7-8486-33DB3077787B}" name="Column6718"/>
    <tableColumn id="6746" xr3:uid="{72C0C1BD-AA02-4F22-918D-B1B91B8F45D8}" name="Column6719"/>
    <tableColumn id="6747" xr3:uid="{72AC7EE5-5777-4634-8672-247332052BAF}" name="Column6720"/>
    <tableColumn id="6748" xr3:uid="{DC859DDE-3777-4332-BF31-2021CE9B44A2}" name="Column6721"/>
    <tableColumn id="6749" xr3:uid="{D2BEE46C-C047-4694-82D6-3A31AA7AA4AD}" name="Column6722"/>
    <tableColumn id="6750" xr3:uid="{F90900E6-C556-4726-8E42-4B6834CCC96B}" name="Column6723"/>
    <tableColumn id="6751" xr3:uid="{070BC3FC-761D-415D-B640-0F23778AAE9E}" name="Column6724"/>
    <tableColumn id="6752" xr3:uid="{4334F610-8993-4C8F-BFD0-5713BE35B740}" name="Column6725"/>
    <tableColumn id="6753" xr3:uid="{1FEF122A-2A99-4C18-8580-3692D2513224}" name="Column6726"/>
    <tableColumn id="6754" xr3:uid="{3949800D-6F9D-4B81-89D3-1E828CECBD35}" name="Column6727"/>
    <tableColumn id="6755" xr3:uid="{6D29DCB3-8724-4E81-92D8-592FBCB5285B}" name="Column6728"/>
    <tableColumn id="6756" xr3:uid="{BAFE5FB0-293E-4A70-B3B9-293D90BC8A65}" name="Column6729"/>
    <tableColumn id="6757" xr3:uid="{11E66955-8E0A-4CD0-837A-BA69C8B9B702}" name="Column6730"/>
    <tableColumn id="6758" xr3:uid="{324A9BE5-F83E-402F-9F3F-46825C639F13}" name="Column6731"/>
    <tableColumn id="6759" xr3:uid="{C48F75B3-2625-4FC3-932D-5311B3B071C2}" name="Column6732"/>
    <tableColumn id="6760" xr3:uid="{F4DA83A9-85A5-4302-B7E1-983F023866BB}" name="Column6733"/>
    <tableColumn id="6761" xr3:uid="{B8DDFEA9-B80F-48B5-9DC7-E8D38E4DDAAC}" name="Column6734"/>
    <tableColumn id="6762" xr3:uid="{F1D84483-B5EF-4F0C-8DF1-412B54EE9846}" name="Column6735"/>
    <tableColumn id="6763" xr3:uid="{2A36F315-C244-42F0-9C17-2799AC6EED05}" name="Column6736"/>
    <tableColumn id="6764" xr3:uid="{F27EF8EA-AEDD-45BA-A798-69DD4E2AC366}" name="Column6737"/>
    <tableColumn id="6765" xr3:uid="{CFB7DB8E-DEA5-4D0D-B23A-0C4937E5DAF8}" name="Column6738"/>
    <tableColumn id="6766" xr3:uid="{394FB45F-7859-492C-A59E-F9481635A61F}" name="Column6739"/>
    <tableColumn id="6767" xr3:uid="{8346E064-A865-42BF-B3A1-7A536B74A001}" name="Column6740"/>
    <tableColumn id="6768" xr3:uid="{D9B67D9E-395F-40B9-9F54-3769318F8600}" name="Column6741"/>
    <tableColumn id="6769" xr3:uid="{0F2E2614-1F51-4C57-ACBB-B900056B7C5C}" name="Column6742"/>
    <tableColumn id="6770" xr3:uid="{45DC892D-6E49-4EFC-9EB2-9C24D7FCCAA6}" name="Column6743"/>
    <tableColumn id="6771" xr3:uid="{0A87B61F-1FB9-4811-9A60-B66D656B1449}" name="Column6744"/>
    <tableColumn id="6772" xr3:uid="{ABB74C43-3DDA-4391-ABEC-F9E806B81B29}" name="Column6745"/>
    <tableColumn id="6773" xr3:uid="{28FBFE2B-AA6B-4F2C-90E5-6D9DAA09E7B7}" name="Column6746"/>
    <tableColumn id="6774" xr3:uid="{3B36A139-CCFA-4A4C-B7B3-D97AD7F7E354}" name="Column6747"/>
    <tableColumn id="6775" xr3:uid="{CA14AE91-931A-431F-9CF0-74E5049A7826}" name="Column6748"/>
    <tableColumn id="6776" xr3:uid="{0B8CC4CB-0ADA-4C35-9DD3-20B47E3D4509}" name="Column6749"/>
    <tableColumn id="6777" xr3:uid="{B8785EC1-804D-4041-B4DB-0F6B8440E7CB}" name="Column6750"/>
    <tableColumn id="6778" xr3:uid="{468CA9DC-0D33-472F-9544-85C42A74C18F}" name="Column6751"/>
    <tableColumn id="6779" xr3:uid="{90C88391-3E06-4FDB-AC83-A25DDCA67BE6}" name="Column6752"/>
    <tableColumn id="6780" xr3:uid="{84228FD2-0094-49DD-AF61-6B0FE737BA3A}" name="Column6753"/>
    <tableColumn id="6781" xr3:uid="{94621190-C3D7-4D5D-820D-A1C6AF4B5243}" name="Column6754"/>
    <tableColumn id="6782" xr3:uid="{4DCDFA63-0A82-403F-A789-FEF929C13EFD}" name="Column6755"/>
    <tableColumn id="6783" xr3:uid="{09B47929-6246-4089-9BC7-D8F747F2B054}" name="Column6756"/>
    <tableColumn id="6784" xr3:uid="{66FE3A9F-D998-40C8-A1A2-44D2241D32F4}" name="Column6757"/>
    <tableColumn id="6785" xr3:uid="{5189A518-C681-4878-8A1F-A392A9162448}" name="Column6758"/>
    <tableColumn id="6786" xr3:uid="{2DBA0BA9-E6E5-4E2B-947F-3F1F827EB330}" name="Column6759"/>
    <tableColumn id="6787" xr3:uid="{815152CE-7211-4B56-BE26-44980157CD39}" name="Column6760"/>
    <tableColumn id="6788" xr3:uid="{36BC6188-FB76-427D-85ED-02643702F295}" name="Column6761"/>
    <tableColumn id="6789" xr3:uid="{BEE398C8-3591-4863-BB8E-848A7F27AFEF}" name="Column6762"/>
    <tableColumn id="6790" xr3:uid="{8B2A0E22-50E9-4C79-831F-5F1C2D83AF8F}" name="Column6763"/>
    <tableColumn id="6791" xr3:uid="{D20E3B22-1B70-4EE3-B53F-3714363C9A9C}" name="Column6764"/>
    <tableColumn id="6792" xr3:uid="{0E835203-8CD0-428F-A4F6-7F73DED25139}" name="Column6765"/>
    <tableColumn id="6793" xr3:uid="{BC5D4051-8A9D-420F-B633-AFD0FFF9F2CB}" name="Column6766"/>
    <tableColumn id="6794" xr3:uid="{1E1D3DFF-38B2-412D-99C6-9926130EECF4}" name="Column6767"/>
    <tableColumn id="6795" xr3:uid="{FCEB0899-2FE4-4806-82C3-0BE5F90CAE85}" name="Column6768"/>
    <tableColumn id="6796" xr3:uid="{4358BAC7-EC48-4753-8634-90CCCF1DBE70}" name="Column6769"/>
    <tableColumn id="6797" xr3:uid="{C70783D5-C0B6-4501-8A67-E2F234B2D656}" name="Column6770"/>
    <tableColumn id="6798" xr3:uid="{2D2C3C59-AC9E-4229-A6BF-18FE2E0283E0}" name="Column6771"/>
    <tableColumn id="6799" xr3:uid="{0182EE78-442E-4E95-9316-A693559FCDB2}" name="Column6772"/>
    <tableColumn id="6800" xr3:uid="{A8165202-A2C3-40F1-B07B-14DA646E7ADF}" name="Column6773"/>
    <tableColumn id="6801" xr3:uid="{0A42508D-37DA-4C17-88BE-7BB01F13BAE8}" name="Column6774"/>
    <tableColumn id="6802" xr3:uid="{46435939-E326-463A-8DBB-376CD9708D8F}" name="Column6775"/>
    <tableColumn id="6803" xr3:uid="{E51EF198-DC8E-45BD-81ED-8EF1233A5F48}" name="Column6776"/>
    <tableColumn id="6804" xr3:uid="{E3A4FDB1-E8F1-4A3D-AE34-0C9233604A4F}" name="Column6777"/>
    <tableColumn id="6805" xr3:uid="{E477B226-8ABE-4451-8C82-12C323F61574}" name="Column6778"/>
    <tableColumn id="6806" xr3:uid="{2D7E219F-8274-4FA2-A781-4B2BD65646CF}" name="Column6779"/>
    <tableColumn id="6807" xr3:uid="{82930424-BFE9-4AE4-AA14-204E34A073E1}" name="Column6780"/>
    <tableColumn id="6808" xr3:uid="{92C48768-7412-4A4C-80DF-6D6E74B026DD}" name="Column6781"/>
    <tableColumn id="6809" xr3:uid="{E2F39714-0E80-4AF6-8C8C-C317B6FB9FEA}" name="Column6782"/>
    <tableColumn id="6810" xr3:uid="{E51BE0D8-55AE-47B5-A850-9A3C9CE0F8A0}" name="Column6783"/>
    <tableColumn id="6811" xr3:uid="{E3B2BD31-5B7A-45F2-94DA-7DEA1E9A6E21}" name="Column6784"/>
    <tableColumn id="6812" xr3:uid="{006EB559-1250-4B91-AFF1-9088DEF323E0}" name="Column6785"/>
    <tableColumn id="6813" xr3:uid="{F8217342-7B8F-43EA-9E07-EE885FD57827}" name="Column6786"/>
    <tableColumn id="6814" xr3:uid="{6809B4E9-D3CB-4A35-8A7F-CFF390DCD003}" name="Column6787"/>
    <tableColumn id="6815" xr3:uid="{A4640D22-8264-407D-AD4E-C2B9C8BD2530}" name="Column6788"/>
    <tableColumn id="6816" xr3:uid="{BE2CEB49-0366-4BF8-BB23-E4B71CF32AD9}" name="Column6789"/>
    <tableColumn id="6817" xr3:uid="{EFAD7EDC-6029-47F1-AC44-DC6A77008A58}" name="Column6790"/>
    <tableColumn id="6818" xr3:uid="{56231E66-0D35-480B-8304-D67DBAF1D02B}" name="Column6791"/>
    <tableColumn id="6819" xr3:uid="{95C3CD3C-C381-4E7E-BA49-0B71FBC508BC}" name="Column6792"/>
    <tableColumn id="6820" xr3:uid="{2D7332EE-37C5-409D-BC88-755455720ED4}" name="Column6793"/>
    <tableColumn id="6821" xr3:uid="{EC3F41D6-BBF5-4C00-BAC8-567D3217E660}" name="Column6794"/>
    <tableColumn id="6822" xr3:uid="{15F9F016-B45C-4B51-A620-1AF7ADA06A4C}" name="Column6795"/>
    <tableColumn id="6823" xr3:uid="{10817E50-87E5-4EDA-8D68-F6D2A0ABDAED}" name="Column6796"/>
    <tableColumn id="6824" xr3:uid="{25CD9202-8A64-4784-9F23-E602EB47BF6B}" name="Column6797"/>
    <tableColumn id="6825" xr3:uid="{34DF2698-86FD-4574-833E-57D71A7D6B0B}" name="Column6798"/>
    <tableColumn id="6826" xr3:uid="{60D0FC7C-969B-40F3-8CCC-3B6F74CEC9FC}" name="Column6799"/>
    <tableColumn id="6827" xr3:uid="{53041CB5-4BC2-4A2D-A319-93F3F2D17B07}" name="Column6800"/>
    <tableColumn id="6828" xr3:uid="{375284D6-D7CD-412B-B751-217DB2DC427D}" name="Column6801"/>
    <tableColumn id="6829" xr3:uid="{9B8B7E19-19CD-46FA-9CD5-DACD0C7A68AE}" name="Column6802"/>
    <tableColumn id="6830" xr3:uid="{A16CC334-F3EB-4FD8-B59A-49B49B3AB130}" name="Column6803"/>
    <tableColumn id="6831" xr3:uid="{9E0914C6-8F28-4C26-B82B-21ADF441171F}" name="Column6804"/>
    <tableColumn id="6832" xr3:uid="{6334C12A-4AEE-4503-85B6-CB0728B6EF9D}" name="Column6805"/>
    <tableColumn id="6833" xr3:uid="{F45FAE4D-D6C2-4C05-8B0D-2AECA1FE46DE}" name="Column6806"/>
    <tableColumn id="6834" xr3:uid="{2B1D5824-C2DA-4358-A9DC-FE6FD3294F36}" name="Column6807"/>
    <tableColumn id="6835" xr3:uid="{D64EB239-A8A3-4DE0-BD5B-0413F146064A}" name="Column6808"/>
    <tableColumn id="6836" xr3:uid="{64D65209-82C7-4AF6-8F58-6B900FD818B0}" name="Column6809"/>
    <tableColumn id="6837" xr3:uid="{738CA3E5-63A4-4541-B06F-D5346FB61233}" name="Column6810"/>
    <tableColumn id="6838" xr3:uid="{05E8A852-3ED2-4378-A7FA-8748BD00FD19}" name="Column6811"/>
    <tableColumn id="6839" xr3:uid="{34759350-D38F-412B-8ABA-4A6B3CBE64FB}" name="Column6812"/>
    <tableColumn id="6840" xr3:uid="{F0FF9A15-E76E-427D-972F-67746A4E894C}" name="Column6813"/>
    <tableColumn id="6841" xr3:uid="{F8D078E8-AE10-4AA7-B8B2-B29516317804}" name="Column6814"/>
    <tableColumn id="6842" xr3:uid="{6E901AD5-22C2-483A-B9AD-7AEC96FDF8D2}" name="Column6815"/>
    <tableColumn id="6843" xr3:uid="{C8EE55CC-B78C-4053-94C5-2B670821DB11}" name="Column6816"/>
    <tableColumn id="6844" xr3:uid="{CB45EF6C-DF54-41A4-81B4-845C22B5BCBD}" name="Column6817"/>
    <tableColumn id="6845" xr3:uid="{33301937-9F0D-4E79-8123-A20685F3D075}" name="Column6818"/>
    <tableColumn id="6846" xr3:uid="{78ECE520-9158-4270-829C-C0A689E5ED53}" name="Column6819"/>
    <tableColumn id="6847" xr3:uid="{33A9B596-5F47-40E8-99CA-2A9496C6B3D8}" name="Column6820"/>
    <tableColumn id="6848" xr3:uid="{1B63A1DA-26D7-44F0-B25A-37431434AECE}" name="Column6821"/>
    <tableColumn id="6849" xr3:uid="{32D409A6-11DF-4F1F-84DA-367896B94C2B}" name="Column6822"/>
    <tableColumn id="6850" xr3:uid="{0E5A910B-B0E3-455D-9E23-A4EF252FE61F}" name="Column6823"/>
    <tableColumn id="6851" xr3:uid="{03E4FCFC-051F-4323-AA5B-36AE0D5D7A22}" name="Column6824"/>
    <tableColumn id="6852" xr3:uid="{0154C1C9-4527-4922-8D6B-23B6773773A6}" name="Column6825"/>
    <tableColumn id="6853" xr3:uid="{DFDD4235-3ED7-472E-B090-E790762DEDB7}" name="Column6826"/>
    <tableColumn id="6854" xr3:uid="{52B8ADCD-472A-4BBD-ADAD-31A58EC4485C}" name="Column6827"/>
    <tableColumn id="6855" xr3:uid="{B9C46E86-A5A0-40C7-9F33-BB514210EFBD}" name="Column6828"/>
    <tableColumn id="6856" xr3:uid="{FCA4FE60-0BA8-4DE6-8A37-AA3576B4E0C6}" name="Column6829"/>
    <tableColumn id="6857" xr3:uid="{15614A26-A9D9-4C7E-B8B9-593B18DFCB84}" name="Column6830"/>
    <tableColumn id="6858" xr3:uid="{9C4E67FD-9384-4905-BF0F-7DD9F871F743}" name="Column6831"/>
    <tableColumn id="6859" xr3:uid="{44DBC806-57FD-44C2-86C0-D1BFAAF18AC4}" name="Column6832"/>
    <tableColumn id="6860" xr3:uid="{544440D0-5838-40D1-991B-49A1DDE9578C}" name="Column6833"/>
    <tableColumn id="6861" xr3:uid="{53412564-1664-4C6F-8E49-000CF85BC53C}" name="Column6834"/>
    <tableColumn id="6862" xr3:uid="{9100E505-2D6C-4825-9D44-ADCA04BA8525}" name="Column6835"/>
    <tableColumn id="6863" xr3:uid="{47090359-B6FF-4A16-AA76-BF1DDEF76855}" name="Column6836"/>
    <tableColumn id="6864" xr3:uid="{3B2E71C1-BF64-4BE7-A195-FF55DA0C2F77}" name="Column6837"/>
    <tableColumn id="6865" xr3:uid="{39CA422F-EC03-4802-9657-0EF8FAE6DF62}" name="Column6838"/>
    <tableColumn id="6866" xr3:uid="{1ACC7D54-25EB-4945-A2D4-D89C865F0F3D}" name="Column6839"/>
    <tableColumn id="6867" xr3:uid="{C09CF0E9-B660-45D2-81EF-B58A7F6F7559}" name="Column6840"/>
    <tableColumn id="6868" xr3:uid="{2C99E2A5-FA6A-48AE-98C3-60D05D4575D2}" name="Column6841"/>
    <tableColumn id="6869" xr3:uid="{2A561FDF-F064-4F93-9A34-266D19A1ABFE}" name="Column6842"/>
    <tableColumn id="6870" xr3:uid="{7FD8D78F-C089-4F0D-9C5E-A5D477457037}" name="Column6843"/>
    <tableColumn id="6871" xr3:uid="{8A60FF38-35C4-4D02-8644-B0292C38C6A6}" name="Column6844"/>
    <tableColumn id="6872" xr3:uid="{D741C682-8BB4-4095-AA54-3385A7ACAFEB}" name="Column6845"/>
    <tableColumn id="6873" xr3:uid="{8D0A9F21-753E-4EC0-ACDB-D23AB8708029}" name="Column6846"/>
    <tableColumn id="6874" xr3:uid="{D3594091-4E3E-4933-AA4B-5B9573D70D6A}" name="Column6847"/>
    <tableColumn id="6875" xr3:uid="{52465FB7-B4A4-4972-A664-4B313A70DB1F}" name="Column6848"/>
    <tableColumn id="6876" xr3:uid="{992CEE9B-A8B2-481A-B145-2A5809BBDB9C}" name="Column6849"/>
    <tableColumn id="6877" xr3:uid="{5868F5CE-04DD-4A05-80BF-97935303E80A}" name="Column6850"/>
    <tableColumn id="6878" xr3:uid="{EA054E90-97FB-4678-9AAE-AB558E5791F4}" name="Column6851"/>
    <tableColumn id="6879" xr3:uid="{1C3760EA-99CC-4938-AC2D-2068065E92B9}" name="Column6852"/>
    <tableColumn id="6880" xr3:uid="{3B201949-403E-4594-9D59-FB34AC80BE65}" name="Column6853"/>
    <tableColumn id="6881" xr3:uid="{9619C331-72D8-49EE-B528-D4DA1B4C5F56}" name="Column6854"/>
    <tableColumn id="6882" xr3:uid="{E20C755D-F75A-4C32-A092-9DB3EE070443}" name="Column6855"/>
    <tableColumn id="6883" xr3:uid="{CA6D451A-C9CF-4EF8-A773-B52DDE65BAF7}" name="Column6856"/>
    <tableColumn id="6884" xr3:uid="{0DF94AE2-AC5B-4E0D-B5AF-E5D54FAEE5CA}" name="Column6857"/>
    <tableColumn id="6885" xr3:uid="{1754461B-EA56-4220-91FB-25B4037C82C0}" name="Column6858"/>
    <tableColumn id="6886" xr3:uid="{B0DEA26B-A966-40A9-98DF-1BFDE02D6629}" name="Column6859"/>
    <tableColumn id="6887" xr3:uid="{820B1BCE-8516-447A-B0ED-BBA9963415CD}" name="Column6860"/>
    <tableColumn id="6888" xr3:uid="{BA8227E8-83C8-4ECF-A97D-9C995E1C7996}" name="Column6861"/>
    <tableColumn id="6889" xr3:uid="{3CE109A2-480D-44C1-AC4C-CF82366FCE39}" name="Column6862"/>
    <tableColumn id="6890" xr3:uid="{D9E4992D-48A1-41EA-8D11-1CCC0497CB92}" name="Column6863"/>
    <tableColumn id="6891" xr3:uid="{9E3017A2-0414-4EFF-A3B2-B67D9BEB96BB}" name="Column6864"/>
    <tableColumn id="6892" xr3:uid="{7B720730-7D5E-4F0C-A69D-94FA57F9C88B}" name="Column6865"/>
    <tableColumn id="6893" xr3:uid="{56BCC22B-B9A3-4D85-83E7-FDACC15AB59C}" name="Column6866"/>
    <tableColumn id="6894" xr3:uid="{00EE842C-BE16-4F55-8BD4-77E47F301F69}" name="Column6867"/>
    <tableColumn id="6895" xr3:uid="{D6289E09-388A-4BE4-B717-0EF22523B5CC}" name="Column6868"/>
    <tableColumn id="6896" xr3:uid="{E988AFB9-1DEB-4848-A924-43956DD9A661}" name="Column6869"/>
    <tableColumn id="6897" xr3:uid="{30758754-8F26-4B24-8844-168CF5460CA2}" name="Column6870"/>
    <tableColumn id="6898" xr3:uid="{B571242F-7B8E-4340-8DE5-22CAD8FFF7F3}" name="Column6871"/>
    <tableColumn id="6899" xr3:uid="{F27333A5-DFF8-4A61-A9AB-36F9136E0FD4}" name="Column6872"/>
    <tableColumn id="6900" xr3:uid="{C4B454C9-56FC-4581-8115-E7570E4185B3}" name="Column6873"/>
    <tableColumn id="6901" xr3:uid="{BFFCC76C-88CD-493B-ACA4-51C8F27E2478}" name="Column6874"/>
    <tableColumn id="6902" xr3:uid="{2D9CE232-E2AD-4078-83FA-FADDA01B00FB}" name="Column6875"/>
    <tableColumn id="6903" xr3:uid="{EC9F8763-A831-4ACC-9C9C-D6DD5B0E8D1E}" name="Column6876"/>
    <tableColumn id="6904" xr3:uid="{207ADB28-6B31-4B90-AD32-A7D7619BD924}" name="Column6877"/>
    <tableColumn id="6905" xr3:uid="{09D4D722-B1BE-46EC-B0BF-1216F75805CB}" name="Column6878"/>
    <tableColumn id="6906" xr3:uid="{EB7D91ED-FB40-43C0-9142-39960B40B167}" name="Column6879"/>
    <tableColumn id="6907" xr3:uid="{DF32239E-69CF-41E4-8EB7-86C76A1761A9}" name="Column6880"/>
    <tableColumn id="6908" xr3:uid="{0812C76D-E91A-4E24-996D-ACB248D8B961}" name="Column6881"/>
    <tableColumn id="6909" xr3:uid="{0DC30534-586A-4522-825E-F7F8B6858B75}" name="Column6882"/>
    <tableColumn id="6910" xr3:uid="{26230D9A-334D-466B-A104-485D3E8DA5A0}" name="Column6883"/>
    <tableColumn id="6911" xr3:uid="{782C34AC-A773-43E2-81BF-09A0826EF500}" name="Column6884"/>
    <tableColumn id="6912" xr3:uid="{EA6A1D78-AF5E-4ACD-8F81-0FB18B20F34A}" name="Column6885"/>
    <tableColumn id="6913" xr3:uid="{884AFBFA-187E-4BB0-A6E7-4F33247295D2}" name="Column6886"/>
    <tableColumn id="6914" xr3:uid="{61FB08B0-3CDE-4FBF-A60E-8B20718780DC}" name="Column6887"/>
    <tableColumn id="6915" xr3:uid="{C22817AF-4FCB-47F0-B920-80E23768E986}" name="Column6888"/>
    <tableColumn id="6916" xr3:uid="{F98E879F-C2B7-4C44-98F3-2AE3043ED8C4}" name="Column6889"/>
    <tableColumn id="6917" xr3:uid="{3DF2A8E8-BA7F-4461-B7DF-44D817BFE67B}" name="Column6890"/>
    <tableColumn id="6918" xr3:uid="{1D5A836F-A7F2-41E0-AD63-AF70D77AA325}" name="Column6891"/>
    <tableColumn id="6919" xr3:uid="{BC0414B1-2A91-497E-B742-C9C395F9B6B9}" name="Column6892"/>
    <tableColumn id="6920" xr3:uid="{327252C0-693E-445F-A1E2-808A2A86944A}" name="Column6893"/>
    <tableColumn id="6921" xr3:uid="{91EB2406-FC73-4A69-ACB3-83285FBA1339}" name="Column6894"/>
    <tableColumn id="6922" xr3:uid="{11F6FEBB-93D3-405F-B492-5D06867E6CF5}" name="Column6895"/>
    <tableColumn id="6923" xr3:uid="{E30B71E9-2E94-4881-9F06-4764553091D6}" name="Column6896"/>
    <tableColumn id="6924" xr3:uid="{44323042-A7E2-4125-8E62-9E9ABA5263E3}" name="Column6897"/>
    <tableColumn id="6925" xr3:uid="{BE221EC8-4E75-4AF9-BDCE-CF945755558D}" name="Column6898"/>
    <tableColumn id="6926" xr3:uid="{F583F67C-C8D3-4D8F-8B79-E4F176B21E21}" name="Column6899"/>
    <tableColumn id="6927" xr3:uid="{51694EFD-4B7E-4466-9777-E898084734DB}" name="Column6900"/>
    <tableColumn id="6928" xr3:uid="{C84FE7F9-275F-4AB2-8763-65A6BCD2A18F}" name="Column6901"/>
    <tableColumn id="6929" xr3:uid="{89130A97-F0A0-4D12-B50C-6D7EE1E15953}" name="Column6902"/>
    <tableColumn id="6930" xr3:uid="{49284B50-AD15-489F-BF49-FE8A7EEABDA5}" name="Column6903"/>
    <tableColumn id="6931" xr3:uid="{C263A2D0-7A4C-42A5-8770-3C184A097ABD}" name="Column6904"/>
    <tableColumn id="6932" xr3:uid="{446D80B9-DDC2-458D-9C8D-AF422ABB4E25}" name="Column6905"/>
    <tableColumn id="6933" xr3:uid="{E46588D1-DF2F-4D47-89EB-93A6FB55FF49}" name="Column6906"/>
    <tableColumn id="6934" xr3:uid="{3EEC4386-08D1-430E-B945-AB579D670838}" name="Column6907"/>
    <tableColumn id="6935" xr3:uid="{EDE0B011-CD7C-49B1-8122-39707335460C}" name="Column6908"/>
    <tableColumn id="6936" xr3:uid="{DF81EDB1-445A-4268-B659-4CAB0FBE0948}" name="Column6909"/>
    <tableColumn id="6937" xr3:uid="{29B69B12-247D-49E3-8C2A-2C7705109483}" name="Column6910"/>
    <tableColumn id="6938" xr3:uid="{7F0086F5-D08A-40B6-ACFD-CCC205C43A53}" name="Column6911"/>
    <tableColumn id="6939" xr3:uid="{3404D522-C39A-4034-9CB0-A4CC7168A950}" name="Column6912"/>
    <tableColumn id="6940" xr3:uid="{290115FB-53DA-4F90-97C3-8EC6CC97F99A}" name="Column6913"/>
    <tableColumn id="6941" xr3:uid="{A53D9BA4-FD05-4CD9-A542-2A62DAEF6D7A}" name="Column6914"/>
    <tableColumn id="6942" xr3:uid="{FA85D68C-EAEC-4F7C-8A2F-9191A6C7CEFA}" name="Column6915"/>
    <tableColumn id="6943" xr3:uid="{D7849328-F1A0-44FE-8D23-53AB8BB0E29E}" name="Column6916"/>
    <tableColumn id="6944" xr3:uid="{40C75E52-C072-44AE-8A2E-3DBC53C4F759}" name="Column6917"/>
    <tableColumn id="6945" xr3:uid="{685BF329-B332-4B02-B130-3C4E36162585}" name="Column6918"/>
    <tableColumn id="6946" xr3:uid="{9185670B-FE07-4893-B871-CD8C1D7A2EC4}" name="Column6919"/>
    <tableColumn id="6947" xr3:uid="{EFF719BA-5B8E-4585-9A56-3E84688DDD0F}" name="Column6920"/>
    <tableColumn id="6948" xr3:uid="{75BD012F-32E2-4612-9B77-ECBFB7B5CDAB}" name="Column6921"/>
    <tableColumn id="6949" xr3:uid="{979C676F-9BA3-4151-B708-E85D571674E0}" name="Column6922"/>
    <tableColumn id="6950" xr3:uid="{C2499223-42DA-4407-BBF9-526BF1A577AE}" name="Column6923"/>
    <tableColumn id="6951" xr3:uid="{97F93E98-6542-4C9D-93AF-6DBC929B634F}" name="Column6924"/>
    <tableColumn id="6952" xr3:uid="{F9DDB7B3-616A-4FE7-BB63-B8FAB3AE8650}" name="Column6925"/>
    <tableColumn id="6953" xr3:uid="{078123EE-6211-48C3-9D79-F2AA4990C4E6}" name="Column6926"/>
    <tableColumn id="6954" xr3:uid="{81E3A5D1-B3DF-4422-9933-C3BA50FE4DB8}" name="Column6927"/>
    <tableColumn id="6955" xr3:uid="{067897E0-C7B6-4939-8792-FB3F70F5F63C}" name="Column6928"/>
    <tableColumn id="6956" xr3:uid="{5588AF11-10D6-4AA5-AD6C-EA51257ABB90}" name="Column6929"/>
    <tableColumn id="6957" xr3:uid="{56F0E69A-4DCA-43D6-9099-58A4FE85DBBA}" name="Column6930"/>
    <tableColumn id="6958" xr3:uid="{8DE74433-1E9C-4764-BAF1-583593DAB4CE}" name="Column6931"/>
    <tableColumn id="6959" xr3:uid="{6DAF0E0D-DA76-40D9-8CF2-341DBB9E940E}" name="Column6932"/>
    <tableColumn id="6960" xr3:uid="{D423448C-575E-48E9-9ED0-A81FA69A2D0D}" name="Column6933"/>
    <tableColumn id="6961" xr3:uid="{22CAB790-0E94-45D3-BB19-9509A67ECABF}" name="Column6934"/>
    <tableColumn id="6962" xr3:uid="{8DE485D7-CD4D-432E-8694-C1FCDF1DCFBD}" name="Column6935"/>
    <tableColumn id="6963" xr3:uid="{3C26B458-5B23-42AB-BB96-1A8A02756495}" name="Column6936"/>
    <tableColumn id="6964" xr3:uid="{84DE668E-A138-4B2D-AF24-E0E50C0DE712}" name="Column6937"/>
    <tableColumn id="6965" xr3:uid="{FA93788E-241C-404D-B02F-F2D6B9682BED}" name="Column6938"/>
    <tableColumn id="6966" xr3:uid="{6AD0F390-7D47-4698-A947-03C4E8F0751C}" name="Column6939"/>
    <tableColumn id="6967" xr3:uid="{565CFACB-C787-46EE-B2A0-4481E8672FDB}" name="Column6940"/>
    <tableColumn id="6968" xr3:uid="{79560CEB-5830-4501-984F-C40431B71889}" name="Column6941"/>
    <tableColumn id="6969" xr3:uid="{712F0F0C-EC97-41FA-873B-6E484FA15E34}" name="Column6942"/>
    <tableColumn id="6970" xr3:uid="{EADEE83F-5590-4469-98E6-4511ED7FC655}" name="Column6943"/>
    <tableColumn id="6971" xr3:uid="{02B317B3-FEEE-4297-8572-56BB6B181D7C}" name="Column6944"/>
    <tableColumn id="6972" xr3:uid="{61C21E84-A599-4CA4-B983-DB84BC2897B0}" name="Column6945"/>
    <tableColumn id="6973" xr3:uid="{44365187-F348-484F-BF3B-96219FD36DAF}" name="Column6946"/>
    <tableColumn id="6974" xr3:uid="{990114C0-238B-4B92-BDF1-AA591EB2AB4A}" name="Column6947"/>
    <tableColumn id="6975" xr3:uid="{5DA7A4C0-C02E-4D76-8F30-FE16948FAEDA}" name="Column6948"/>
    <tableColumn id="6976" xr3:uid="{94248051-DEC8-48D7-BF3D-8D4AB7957751}" name="Column6949"/>
    <tableColumn id="6977" xr3:uid="{20554281-8F19-4790-B96E-A7EE00439792}" name="Column6950"/>
    <tableColumn id="6978" xr3:uid="{BC139C50-D04B-4CB4-B675-A4B4FE6C697A}" name="Column6951"/>
    <tableColumn id="6979" xr3:uid="{ACD4EF4F-32C8-4FB5-989E-D6659A3B19E4}" name="Column6952"/>
    <tableColumn id="6980" xr3:uid="{C9739D58-013A-4DEF-8979-F1D0ACCE1733}" name="Column6953"/>
    <tableColumn id="6981" xr3:uid="{6752C50E-90F3-4554-995A-8198ED07A1FE}" name="Column6954"/>
    <tableColumn id="6982" xr3:uid="{E5243576-D0D2-4638-A764-06090620EAD4}" name="Column6955"/>
    <tableColumn id="6983" xr3:uid="{04E22D39-8E24-400E-9B21-08AB3A586011}" name="Column6956"/>
    <tableColumn id="6984" xr3:uid="{0866586E-DDF9-4F59-9C0E-6A3B8B18B0CA}" name="Column6957"/>
    <tableColumn id="6985" xr3:uid="{BBB45333-240D-4A8F-A038-2781FE82219B}" name="Column6958"/>
    <tableColumn id="6986" xr3:uid="{728C494E-9A72-4D2B-AA33-24D59AA93784}" name="Column6959"/>
    <tableColumn id="6987" xr3:uid="{B7A04C9F-17FF-4703-BC1D-65D3E427798B}" name="Column6960"/>
    <tableColumn id="6988" xr3:uid="{27ADF100-559A-4FBB-87F2-D870496106A0}" name="Column6961"/>
    <tableColumn id="6989" xr3:uid="{E7434585-C07C-452B-AE3B-FC8CDC9130FB}" name="Column6962"/>
    <tableColumn id="6990" xr3:uid="{4042DA47-4066-4057-A382-868849E3DD7E}" name="Column6963"/>
    <tableColumn id="6991" xr3:uid="{7A511C0B-E452-4838-AB9D-DC4F06D52732}" name="Column6964"/>
    <tableColumn id="6992" xr3:uid="{AAEED091-156F-4F2B-95CB-335C42D37C92}" name="Column6965"/>
    <tableColumn id="6993" xr3:uid="{EA3AD97C-95C7-4272-B221-5610727F47D6}" name="Column6966"/>
    <tableColumn id="6994" xr3:uid="{B0150E34-375C-41EC-AABF-0F75D3AE3AA9}" name="Column6967"/>
    <tableColumn id="6995" xr3:uid="{7A2EDF17-5301-40F0-942F-B8FD65016F6A}" name="Column6968"/>
    <tableColumn id="6996" xr3:uid="{F13F64CA-6153-40F1-8D01-88273FEA08CE}" name="Column6969"/>
    <tableColumn id="6997" xr3:uid="{12D4EC30-8E30-49D5-AC57-7A9EA28386C2}" name="Column6970"/>
    <tableColumn id="6998" xr3:uid="{C4BBBFE3-72A2-467C-A7EB-DB43ED995997}" name="Column6971"/>
    <tableColumn id="6999" xr3:uid="{826FBB83-1822-40D8-9B5C-8A1A8577AE9D}" name="Column6972"/>
    <tableColumn id="7000" xr3:uid="{20519169-4EF5-41D3-A2A7-EBEC81FA8836}" name="Column6973"/>
    <tableColumn id="7001" xr3:uid="{D0039A15-C51E-4A7C-ABE0-8837B72AE13E}" name="Column6974"/>
    <tableColumn id="7002" xr3:uid="{9B166853-0E35-4EDD-9C39-0B23B04D54A9}" name="Column6975"/>
    <tableColumn id="7003" xr3:uid="{838F0FC6-FB24-4DDD-9049-CEE897D7931C}" name="Column6976"/>
    <tableColumn id="7004" xr3:uid="{24636367-0788-46F3-A1BE-2CEE7F431712}" name="Column6977"/>
    <tableColumn id="7005" xr3:uid="{7D165B1F-1037-4EF0-BCC7-53339A05A03C}" name="Column6978"/>
    <tableColumn id="7006" xr3:uid="{2B1FE8A9-DDB9-41F1-9175-7A971F1ECB1A}" name="Column6979"/>
    <tableColumn id="7007" xr3:uid="{F6E4EC61-11AB-4A0F-A045-0591722BC830}" name="Column6980"/>
    <tableColumn id="7008" xr3:uid="{77BCA466-33A4-4DFA-BB25-C03B0973D6F8}" name="Column6981"/>
    <tableColumn id="7009" xr3:uid="{5AE8DA85-1055-4597-9189-A7105897E0A0}" name="Column6982"/>
    <tableColumn id="7010" xr3:uid="{BE68A2C0-94B0-4680-8B83-3DB0612587ED}" name="Column6983"/>
    <tableColumn id="7011" xr3:uid="{D713C6EF-FAE5-4CE1-B761-1754A158FF1C}" name="Column6984"/>
    <tableColumn id="7012" xr3:uid="{181F7249-12B6-44DF-8852-7F65BB3071F5}" name="Column6985"/>
    <tableColumn id="7013" xr3:uid="{D9FD5127-A3FC-4C3B-84F0-2151B5ACF8EF}" name="Column6986"/>
    <tableColumn id="7014" xr3:uid="{39C6C66C-B357-4144-8C01-E89B2BD657FE}" name="Column6987"/>
    <tableColumn id="7015" xr3:uid="{671526B9-652D-424A-8441-F0EB1A4633A6}" name="Column6988"/>
    <tableColumn id="7016" xr3:uid="{9A0407D2-F95A-4D14-A5B7-E37A88ABB003}" name="Column6989"/>
    <tableColumn id="7017" xr3:uid="{BBCC1319-95A3-4590-BDB4-BAC1B112FB6B}" name="Column6990"/>
    <tableColumn id="7018" xr3:uid="{C4509B22-1AB1-47A2-B967-CB0BD8FFF6E8}" name="Column6991"/>
    <tableColumn id="7019" xr3:uid="{D5FC9B00-0D74-4564-836F-6E79D4C3FB0E}" name="Column6992"/>
    <tableColumn id="7020" xr3:uid="{DD376C37-5328-4D37-BBA7-337C776BAF4C}" name="Column6993"/>
    <tableColumn id="7021" xr3:uid="{532AA9B1-DF08-4297-A03A-C1E3208225F4}" name="Column6994"/>
    <tableColumn id="7022" xr3:uid="{5DFBE1CB-449D-4F04-9929-CCB28DF73D27}" name="Column6995"/>
    <tableColumn id="7023" xr3:uid="{286A1801-0C10-4C87-A073-1B66D5260356}" name="Column6996"/>
    <tableColumn id="7024" xr3:uid="{8399DB45-BEC6-4A38-B998-848BAD040A73}" name="Column6997"/>
    <tableColumn id="7025" xr3:uid="{85446B79-9A13-4F21-96C4-F0934CC7B201}" name="Column6998"/>
    <tableColumn id="7026" xr3:uid="{8357EA90-6DFD-4B78-A691-C9D3D8721D00}" name="Column6999"/>
    <tableColumn id="7027" xr3:uid="{94D0F9B8-366B-45AA-A655-ABA3CE123074}" name="Column7000"/>
    <tableColumn id="7028" xr3:uid="{BAF3D25F-AB65-453C-A9ED-D085267963AF}" name="Column7001"/>
    <tableColumn id="7029" xr3:uid="{E359DE46-C6FC-44DB-A2D9-DE2FB08810D5}" name="Column7002"/>
    <tableColumn id="7030" xr3:uid="{F1B8B3BE-338C-437D-8729-DB5845913DC7}" name="Column7003"/>
    <tableColumn id="7031" xr3:uid="{5CAAA93F-395D-4E0E-A2EB-F8E15C615825}" name="Column7004"/>
    <tableColumn id="7032" xr3:uid="{4F9893F4-C197-45B6-AB9A-8005F3FAED58}" name="Column7005"/>
    <tableColumn id="7033" xr3:uid="{A7454E86-FCEF-4553-84A0-D335EC19F8B4}" name="Column7006"/>
    <tableColumn id="7034" xr3:uid="{16CDDFC2-7614-49CC-A5B9-3221FE5E5D4D}" name="Column7007"/>
    <tableColumn id="7035" xr3:uid="{C3E0E4EA-58E0-4E70-A34E-9A150D0328C8}" name="Column7008"/>
    <tableColumn id="7036" xr3:uid="{54AE4B0E-0235-4253-B4B5-06980FA1188D}" name="Column7009"/>
    <tableColumn id="7037" xr3:uid="{BADB64B2-B5D1-45A4-AC43-18727D4AA12C}" name="Column7010"/>
    <tableColumn id="7038" xr3:uid="{B36F053F-60C3-4F04-9C06-D0380DF84225}" name="Column7011"/>
    <tableColumn id="7039" xr3:uid="{73518BD4-DA8A-4DBF-AADB-AA48C8234AAE}" name="Column7012"/>
    <tableColumn id="7040" xr3:uid="{88038D44-D588-4DC6-A1F7-F9BC14CA7CC0}" name="Column7013"/>
    <tableColumn id="7041" xr3:uid="{5C80AFC6-1CAE-4A35-831A-B75E1B9C3CF6}" name="Column7014"/>
    <tableColumn id="7042" xr3:uid="{2B9DBF8F-BB91-478A-96E2-E282803B7EA8}" name="Column7015"/>
    <tableColumn id="7043" xr3:uid="{B665AAF7-D8B6-4830-AEE8-D4CD3EB3B046}" name="Column7016"/>
    <tableColumn id="7044" xr3:uid="{DC2CB0BD-4779-446E-A2FB-0A89D3433B58}" name="Column7017"/>
    <tableColumn id="7045" xr3:uid="{E50FF75E-8308-421A-9493-742FD2C8E55A}" name="Column7018"/>
    <tableColumn id="7046" xr3:uid="{00E8AB43-ECEB-426D-BE59-CF07C85368E7}" name="Column7019"/>
    <tableColumn id="7047" xr3:uid="{19F1C261-8341-416B-8C72-C537DAB1700B}" name="Column7020"/>
    <tableColumn id="7048" xr3:uid="{17783A6F-39AB-440D-8013-C7DD643346BA}" name="Column7021"/>
    <tableColumn id="7049" xr3:uid="{D8EA2B0D-6D84-4A51-A848-B7B20439DA00}" name="Column7022"/>
    <tableColumn id="7050" xr3:uid="{46924285-B156-4B71-91A0-D657FFA3EA5E}" name="Column7023"/>
    <tableColumn id="7051" xr3:uid="{C27406BF-3247-4EB8-BAB9-5099BF4FFE24}" name="Column7024"/>
    <tableColumn id="7052" xr3:uid="{D6AE4769-B1C1-4484-A24D-5700EE2B963B}" name="Column7025"/>
    <tableColumn id="7053" xr3:uid="{017630ED-C7ED-4CEA-8729-DBA5AF4DBC20}" name="Column7026"/>
    <tableColumn id="7054" xr3:uid="{DA280F19-B291-4CDD-B99C-6F64113E293F}" name="Column7027"/>
    <tableColumn id="7055" xr3:uid="{55FD9E2B-DA9F-46AD-8A6B-90700A4C498A}" name="Column7028"/>
    <tableColumn id="7056" xr3:uid="{05BDC384-EEB4-4C63-ADE2-6637B1BA00A5}" name="Column7029"/>
    <tableColumn id="7057" xr3:uid="{63D78224-82EE-4F03-94AF-41087266B65A}" name="Column7030"/>
    <tableColumn id="7058" xr3:uid="{F29AEDA5-D0C2-4361-A1AF-91354BFE1204}" name="Column7031"/>
    <tableColumn id="7059" xr3:uid="{92DCBAB9-EE53-4597-A15C-28C80ECAF4B5}" name="Column7032"/>
    <tableColumn id="7060" xr3:uid="{527AAFC7-09DE-4901-978A-3E479D37A77B}" name="Column7033"/>
    <tableColumn id="7061" xr3:uid="{3CE7428C-B906-43FB-AD44-021D56E68D2D}" name="Column7034"/>
    <tableColumn id="7062" xr3:uid="{9216D545-38C8-4889-816E-8E7F78FEFC41}" name="Column7035"/>
    <tableColumn id="7063" xr3:uid="{29F15882-0492-437B-AAB6-5A20B9652C75}" name="Column7036"/>
    <tableColumn id="7064" xr3:uid="{3C597306-165F-4008-8F8F-1AAACF8D73E5}" name="Column7037"/>
    <tableColumn id="7065" xr3:uid="{3D56D6DD-CE8A-4F1F-AD40-941FA2310482}" name="Column7038"/>
    <tableColumn id="7066" xr3:uid="{3E049786-B0DC-4449-B00A-310CBA196D86}" name="Column7039"/>
    <tableColumn id="7067" xr3:uid="{38291419-BB18-404E-AD90-8F116EFAC823}" name="Column7040"/>
    <tableColumn id="7068" xr3:uid="{3192F663-31BD-49F9-9C99-AB7B3ECBDFB7}" name="Column7041"/>
    <tableColumn id="7069" xr3:uid="{211D8E0E-EC0B-4974-B7DC-42A6C4ECDD2B}" name="Column7042"/>
    <tableColumn id="7070" xr3:uid="{16B369FE-F549-4B20-A88C-31DC5723CA60}" name="Column7043"/>
    <tableColumn id="7071" xr3:uid="{9986FFC1-566A-4FA6-A0E2-E42ECACE3854}" name="Column7044"/>
    <tableColumn id="7072" xr3:uid="{1B1FFF61-85B5-4E36-8A86-38E65C2624B0}" name="Column7045"/>
    <tableColumn id="7073" xr3:uid="{3043905D-0DEA-4CBC-AD37-6CB560355FD8}" name="Column7046"/>
    <tableColumn id="7074" xr3:uid="{3858A0BD-E309-4F63-83CF-69B2CCC3F1F5}" name="Column7047"/>
    <tableColumn id="7075" xr3:uid="{18FB0BDB-7A5A-40BB-88DF-76F3603F6BC0}" name="Column7048"/>
    <tableColumn id="7076" xr3:uid="{EF3E7398-5BF9-41C0-A5BA-E6AE6A13A36F}" name="Column7049"/>
    <tableColumn id="7077" xr3:uid="{2251AFF3-5536-482E-A50A-F0E02BB69114}" name="Column7050"/>
    <tableColumn id="7078" xr3:uid="{CF80C744-D171-4682-B682-CAD5B9281979}" name="Column7051"/>
    <tableColumn id="7079" xr3:uid="{49E911E2-498B-4CAB-A4DC-F6CC4BE02ED4}" name="Column7052"/>
    <tableColumn id="7080" xr3:uid="{51AC663D-CB83-47C7-AF79-E1C0BD9CB119}" name="Column7053"/>
    <tableColumn id="7081" xr3:uid="{166D2E6C-007F-48D8-B619-28A3DCC0D472}" name="Column7054"/>
    <tableColumn id="7082" xr3:uid="{4505A829-A0B4-4AF3-AF6F-4C2A580F7A9D}" name="Column7055"/>
    <tableColumn id="7083" xr3:uid="{6D2D9DD2-B66A-449B-BC04-9D6B38840916}" name="Column7056"/>
    <tableColumn id="7084" xr3:uid="{A6D071BC-0DED-4588-B13C-79096DD0DF47}" name="Column7057"/>
    <tableColumn id="7085" xr3:uid="{CE77225A-B396-41ED-B13E-8F3BA2A972EE}" name="Column7058"/>
    <tableColumn id="7086" xr3:uid="{9EE5A046-16A8-4772-956A-EDAFF0D2F750}" name="Column7059"/>
    <tableColumn id="7087" xr3:uid="{9D9D4EF8-1989-4D7C-9060-CD7A38395901}" name="Column7060"/>
    <tableColumn id="7088" xr3:uid="{91E64546-428F-4C33-BE9A-F39D6EE678A8}" name="Column7061"/>
    <tableColumn id="7089" xr3:uid="{9D823C52-8416-49CB-BA61-155E672CDF60}" name="Column7062"/>
    <tableColumn id="7090" xr3:uid="{23413BF8-D777-4B2B-9281-F12C185148B2}" name="Column7063"/>
    <tableColumn id="7091" xr3:uid="{E1702803-6E7D-44E5-9928-3B77A4B08C02}" name="Column7064"/>
    <tableColumn id="7092" xr3:uid="{E03E9F98-EEF3-4F33-847F-7449DA3855B7}" name="Column7065"/>
    <tableColumn id="7093" xr3:uid="{99C66FE6-CFAE-4C86-B687-5DAD4CD90D80}" name="Column7066"/>
    <tableColumn id="7094" xr3:uid="{59276128-6FC3-4F97-9445-A9BDE35BB3BB}" name="Column7067"/>
    <tableColumn id="7095" xr3:uid="{695BB617-7DAA-4B0C-8BDB-0DE4100B1BEA}" name="Column7068"/>
    <tableColumn id="7096" xr3:uid="{2AA3C936-55B8-4F72-AB45-1827616CD115}" name="Column7069"/>
    <tableColumn id="7097" xr3:uid="{D1774D05-4136-4E4A-A3EC-77EF1EFE1C98}" name="Column7070"/>
    <tableColumn id="7098" xr3:uid="{2FFD38AD-240D-41D7-8DEE-2D2941A86706}" name="Column7071"/>
    <tableColumn id="7099" xr3:uid="{090639EE-FD8D-4603-8EE7-E303662E4075}" name="Column7072"/>
    <tableColumn id="7100" xr3:uid="{A9597564-3923-43FE-B479-BD9760740D5B}" name="Column7073"/>
    <tableColumn id="7101" xr3:uid="{5E2411D7-0431-4094-B38D-2962ECC2A735}" name="Column7074"/>
    <tableColumn id="7102" xr3:uid="{9B2D0CB2-05CF-4A11-9913-B522A2B43FC6}" name="Column7075"/>
    <tableColumn id="7103" xr3:uid="{2F93184E-4014-4E6C-8A85-560969136557}" name="Column7076"/>
    <tableColumn id="7104" xr3:uid="{E8EF4D29-1E7F-440F-8295-BF86C1533853}" name="Column7077"/>
    <tableColumn id="7105" xr3:uid="{55FDA20F-CE51-4B90-B783-C6332135ACF2}" name="Column7078"/>
    <tableColumn id="7106" xr3:uid="{F0DF1A21-56D5-4C6B-8494-8C22E3CEF61E}" name="Column7079"/>
    <tableColumn id="7107" xr3:uid="{4A3B0ED7-7D2C-4838-BD6B-67B5AD7C5445}" name="Column7080"/>
    <tableColumn id="7108" xr3:uid="{195DB71E-F057-4416-A8ED-671A0735E565}" name="Column7081"/>
    <tableColumn id="7109" xr3:uid="{381925CA-383F-4AF5-933C-319E0C66EBC6}" name="Column7082"/>
    <tableColumn id="7110" xr3:uid="{67AB5718-E6CB-4194-BD78-4F4DCA583C9B}" name="Column7083"/>
    <tableColumn id="7111" xr3:uid="{6FAC791C-B64A-46D2-8467-B150355DCF37}" name="Column7084"/>
    <tableColumn id="7112" xr3:uid="{F298319D-E9EB-445A-95CE-671561E6581B}" name="Column7085"/>
    <tableColumn id="7113" xr3:uid="{804EFF80-7902-4829-A68B-D5EB94EBE064}" name="Column7086"/>
    <tableColumn id="7114" xr3:uid="{B6DFE115-4952-4D59-8A02-330069770AD8}" name="Column7087"/>
    <tableColumn id="7115" xr3:uid="{1A88A486-CF2B-49D4-9FC1-2E8054C6E268}" name="Column7088"/>
    <tableColumn id="7116" xr3:uid="{C3F57AAA-606B-48AB-A33D-08AF134D51C0}" name="Column7089"/>
    <tableColumn id="7117" xr3:uid="{F0AD59EB-A767-48EA-9331-4ABEDC0B92A1}" name="Column7090"/>
    <tableColumn id="7118" xr3:uid="{36F7A2B8-058D-409E-9FE6-D66BAEADE0ED}" name="Column7091"/>
    <tableColumn id="7119" xr3:uid="{01119842-7410-4A2A-B6A9-DCA9D30AA642}" name="Column7092"/>
    <tableColumn id="7120" xr3:uid="{C70F72B8-51FE-40D3-8DEA-27CCAFA0FADF}" name="Column7093"/>
    <tableColumn id="7121" xr3:uid="{F15CD93C-E535-41E0-9C51-9D050FABFC3A}" name="Column7094"/>
    <tableColumn id="7122" xr3:uid="{FBC92B35-45E6-401D-8DEB-74616FCC9A52}" name="Column7095"/>
    <tableColumn id="7123" xr3:uid="{D31910D0-296E-43B7-A98D-6C0D2691430B}" name="Column7096"/>
    <tableColumn id="7124" xr3:uid="{FB9242E7-72F5-490B-B302-DA4F055D2BEA}" name="Column7097"/>
    <tableColumn id="7125" xr3:uid="{FC4E08A2-69C5-48AB-BDC7-9FDDEA42DD4B}" name="Column7098"/>
    <tableColumn id="7126" xr3:uid="{72347A64-531C-41CA-B41A-6ECEF5BD5920}" name="Column7099"/>
    <tableColumn id="7127" xr3:uid="{04836221-2736-482C-BC77-1D86D62310DD}" name="Column7100"/>
    <tableColumn id="7128" xr3:uid="{DEE8FD55-8F66-48B3-A678-0F60863FEB4F}" name="Column7101"/>
    <tableColumn id="7129" xr3:uid="{3B6646B6-464F-42F1-BFB8-EFC59CB87C37}" name="Column7102"/>
    <tableColumn id="7130" xr3:uid="{6D488430-D7E0-47BD-AC2F-7A44DB5C03D0}" name="Column7103"/>
    <tableColumn id="7131" xr3:uid="{B2CF1E5A-9FE1-439B-91C8-4CB174CF2D93}" name="Column7104"/>
    <tableColumn id="7132" xr3:uid="{B0B232BD-925F-436D-9F5B-6A4DD46BAFAC}" name="Column7105"/>
    <tableColumn id="7133" xr3:uid="{A1BB43D9-169D-4E75-92CA-0F4486068625}" name="Column7106"/>
    <tableColumn id="7134" xr3:uid="{F5B81358-6EF5-434C-BEED-FB3E1A7A22D0}" name="Column7107"/>
    <tableColumn id="7135" xr3:uid="{8F9E4E48-211C-4DBC-A46A-057A72EE6EFA}" name="Column7108"/>
    <tableColumn id="7136" xr3:uid="{2687F9EA-BFD5-40F6-8227-40E758E7925A}" name="Column7109"/>
    <tableColumn id="7137" xr3:uid="{6EC863AB-6838-4FDB-B217-A3FBA5046AA0}" name="Column7110"/>
    <tableColumn id="7138" xr3:uid="{8AB22347-315C-434D-9C0A-99CD7E75087B}" name="Column7111"/>
    <tableColumn id="7139" xr3:uid="{C1F0841A-22CC-4CA8-AC79-A843653E241E}" name="Column7112"/>
    <tableColumn id="7140" xr3:uid="{209CB9BF-09FA-4C18-BC81-A70DC1259F8F}" name="Column7113"/>
    <tableColumn id="7141" xr3:uid="{45BC3CB9-0B3E-4691-9447-BD463C4A8D86}" name="Column7114"/>
    <tableColumn id="7142" xr3:uid="{F525D946-BDBB-49CF-B68A-C4EC5A016B79}" name="Column7115"/>
    <tableColumn id="7143" xr3:uid="{8B7E9859-2867-48D9-8CF5-1735F4E5EE90}" name="Column7116"/>
    <tableColumn id="7144" xr3:uid="{C9B7C5DD-495D-4EC8-968D-8F5DCFF69E9D}" name="Column7117"/>
    <tableColumn id="7145" xr3:uid="{A8A0098E-C759-461C-B346-0C973EC78421}" name="Column7118"/>
    <tableColumn id="7146" xr3:uid="{F0890788-7283-4939-BDA2-E3A81BBEF8D5}" name="Column7119"/>
    <tableColumn id="7147" xr3:uid="{990D80F6-79E2-448D-AB37-66745A2577CE}" name="Column7120"/>
    <tableColumn id="7148" xr3:uid="{C660ECF9-1741-499C-A69A-8FCAE9130AAB}" name="Column7121"/>
    <tableColumn id="7149" xr3:uid="{D190863D-F086-46BF-9D4A-2D9DA4A977EE}" name="Column7122"/>
    <tableColumn id="7150" xr3:uid="{A1516B22-27F1-48CC-A6F4-F847B5E05A46}" name="Column7123"/>
    <tableColumn id="7151" xr3:uid="{EAF42565-11FA-48B9-905A-70DB3F8517E0}" name="Column7124"/>
    <tableColumn id="7152" xr3:uid="{18DE9097-1D66-43F6-BD2E-D1800E770365}" name="Column7125"/>
    <tableColumn id="7153" xr3:uid="{25E2294E-0E30-4CD7-9AD0-0CBADC785C96}" name="Column7126"/>
    <tableColumn id="7154" xr3:uid="{2873C983-535F-493E-B4EF-84FEBA8A7560}" name="Column7127"/>
    <tableColumn id="7155" xr3:uid="{48EC87AC-2761-41C6-9AF2-88E7046475E2}" name="Column7128"/>
    <tableColumn id="7156" xr3:uid="{9E241331-A394-45DC-8D87-DD940D616C11}" name="Column7129"/>
    <tableColumn id="7157" xr3:uid="{D5A79BBC-6BA8-4DE1-8BE6-FB238C8902E0}" name="Column7130"/>
    <tableColumn id="7158" xr3:uid="{DA2D17D1-6DC1-43A2-BEB6-F8B45E8E9C3C}" name="Column7131"/>
    <tableColumn id="7159" xr3:uid="{8738A06D-65CB-4286-A8FE-A698908E7381}" name="Column7132"/>
    <tableColumn id="7160" xr3:uid="{56212F12-9840-4441-AAEA-A54AE32365CB}" name="Column7133"/>
    <tableColumn id="7161" xr3:uid="{DD4B2F3B-E7EB-46D4-97B5-0DEAFADD8DAD}" name="Column7134"/>
    <tableColumn id="7162" xr3:uid="{AD306F90-5A97-4A4C-A59D-FC6F7B9226B8}" name="Column7135"/>
    <tableColumn id="7163" xr3:uid="{174B2747-87F1-4C92-933D-3840755C929E}" name="Column7136"/>
    <tableColumn id="7164" xr3:uid="{A9977823-A14F-4CC2-B149-1DBCEC231A73}" name="Column7137"/>
    <tableColumn id="7165" xr3:uid="{BC5F7EAF-15B1-4552-AC33-EC3B7A650442}" name="Column7138"/>
    <tableColumn id="7166" xr3:uid="{36B0EF95-E062-48CA-B8A9-871022FEB220}" name="Column7139"/>
    <tableColumn id="7167" xr3:uid="{D1DE74DF-7541-4F90-9104-E83B5CA2FA8C}" name="Column7140"/>
    <tableColumn id="7168" xr3:uid="{F5F724D6-B8DF-49D9-ABA3-9B98F9C2B645}" name="Column7141"/>
    <tableColumn id="7169" xr3:uid="{F1E1ECFB-1E29-46F5-8968-EC569590F7B4}" name="Column7142"/>
    <tableColumn id="7170" xr3:uid="{EDBB6DF9-F9F8-4474-857E-0038EDE96872}" name="Column7143"/>
    <tableColumn id="7171" xr3:uid="{38E6014B-BF39-4826-AA9B-57081E8020F9}" name="Column7144"/>
    <tableColumn id="7172" xr3:uid="{5C28C92A-54E4-4361-BA33-1A1C3658EA67}" name="Column7145"/>
    <tableColumn id="7173" xr3:uid="{BD854F32-B04B-4AF1-A1A8-0FDE0BBB16A5}" name="Column7146"/>
    <tableColumn id="7174" xr3:uid="{9BBDC992-F554-4DCF-BCD1-5CE4A172F8AE}" name="Column7147"/>
    <tableColumn id="7175" xr3:uid="{1E69199A-5C26-4F11-9473-1A1907726F4D}" name="Column7148"/>
    <tableColumn id="7176" xr3:uid="{2E16BD07-AB1D-4ECC-875F-4C8DE14ACCD3}" name="Column7149"/>
    <tableColumn id="7177" xr3:uid="{3E22CD01-3436-4632-BB88-2AE336130869}" name="Column7150"/>
    <tableColumn id="7178" xr3:uid="{671CD3F6-AF1C-4DB3-85B2-815795ED4F3D}" name="Column7151"/>
    <tableColumn id="7179" xr3:uid="{E26AF351-B5B3-4262-98B1-5DAFC0FD6F21}" name="Column7152"/>
    <tableColumn id="7180" xr3:uid="{E27E4619-90CF-48CE-8FA7-FE9CE4E6DAC3}" name="Column7153"/>
    <tableColumn id="7181" xr3:uid="{8D4CF1A5-8464-49BF-9A5A-210E95C0C04F}" name="Column7154"/>
    <tableColumn id="7182" xr3:uid="{0449EB82-3C7B-435E-9B54-F8C216B42115}" name="Column7155"/>
    <tableColumn id="7183" xr3:uid="{DE55A502-EBB9-432F-A997-A3CF15508C23}" name="Column7156"/>
    <tableColumn id="7184" xr3:uid="{AC8AC7A8-8979-4904-A4A1-716F3636DA42}" name="Column7157"/>
    <tableColumn id="7185" xr3:uid="{6F6B7D66-A396-4C32-ABA4-BD7BBC5C217C}" name="Column7158"/>
    <tableColumn id="7186" xr3:uid="{2BB43A59-FDB4-45AE-99CE-5A17A18BAD5E}" name="Column7159"/>
    <tableColumn id="7187" xr3:uid="{3910A6EE-4C67-4E0A-91F4-E03566CEB20D}" name="Column7160"/>
    <tableColumn id="7188" xr3:uid="{1CDB8E1B-D315-45B9-8283-9B5F47E00E1E}" name="Column7161"/>
    <tableColumn id="7189" xr3:uid="{FB1F0FCC-0FCA-4E5F-ACC0-1C8A2513DE5D}" name="Column7162"/>
    <tableColumn id="7190" xr3:uid="{9D47A064-667A-4A6D-AB3C-404D8DBC49F0}" name="Column7163"/>
    <tableColumn id="7191" xr3:uid="{2045E5AA-241D-4B02-8D6D-D217C8BE51F3}" name="Column7164"/>
    <tableColumn id="7192" xr3:uid="{1EBA0A5B-6C8F-4448-9C09-E196DD082ABF}" name="Column7165"/>
    <tableColumn id="7193" xr3:uid="{66127595-9503-4A6E-9538-9C80AE5EA95A}" name="Column7166"/>
    <tableColumn id="7194" xr3:uid="{DE6D8777-7FAE-4F17-9710-61DFA76EE754}" name="Column7167"/>
    <tableColumn id="7195" xr3:uid="{B4259142-603D-48A6-BFF8-4DA0C4B97F34}" name="Column7168"/>
    <tableColumn id="7196" xr3:uid="{3D51A438-5022-4914-941F-B014A27E027C}" name="Column7169"/>
    <tableColumn id="7197" xr3:uid="{2C4E4D92-35F5-43D2-91F0-CA567851EE01}" name="Column7170"/>
    <tableColumn id="7198" xr3:uid="{CBB3C8F1-73C3-4B7E-A8E1-A97D09458CB9}" name="Column7171"/>
    <tableColumn id="7199" xr3:uid="{04CC8564-9A04-4000-99C3-FAAE8DFADEFE}" name="Column7172"/>
    <tableColumn id="7200" xr3:uid="{60F50B27-F3B2-4386-91DA-281532030380}" name="Column7173"/>
    <tableColumn id="7201" xr3:uid="{538F5C5A-2AC0-400D-AA7C-84AAAEDA6BBD}" name="Column7174"/>
    <tableColumn id="7202" xr3:uid="{B845C585-136C-403C-97F7-F1C386AAC82C}" name="Column7175"/>
    <tableColumn id="7203" xr3:uid="{999EDF45-3B01-4211-88B3-70A3CAB5A73D}" name="Column7176"/>
    <tableColumn id="7204" xr3:uid="{B056620F-3CDF-4C37-B437-D1DC81FCD888}" name="Column7177"/>
    <tableColumn id="7205" xr3:uid="{8351ADE8-7B94-435C-8D26-FBAB08E5E3C7}" name="Column7178"/>
    <tableColumn id="7206" xr3:uid="{6B8AF304-4178-4440-AE2D-C1D2ED15FE32}" name="Column7179"/>
    <tableColumn id="7207" xr3:uid="{B68BA64F-C5B6-4DE8-A1A7-BF1264D59BE2}" name="Column7180"/>
    <tableColumn id="7208" xr3:uid="{75886081-3D9F-40BF-A6A8-D498BD742AE6}" name="Column7181"/>
    <tableColumn id="7209" xr3:uid="{BB6C49EA-A648-47D9-A918-3C6F580171BA}" name="Column7182"/>
    <tableColumn id="7210" xr3:uid="{ECD4C671-F9EE-4D24-9104-D2E07934BF17}" name="Column7183"/>
    <tableColumn id="7211" xr3:uid="{56F78C99-0570-4A90-BDDE-550C0D0DE38B}" name="Column7184"/>
    <tableColumn id="7212" xr3:uid="{43545653-F54D-4F2A-9EA2-DB2F94F6C902}" name="Column7185"/>
    <tableColumn id="7213" xr3:uid="{88759E74-43D0-469D-91CB-DEFEE13DA17D}" name="Column7186"/>
    <tableColumn id="7214" xr3:uid="{DDD7957B-37F7-4A74-9700-D1386937D5C7}" name="Column7187"/>
    <tableColumn id="7215" xr3:uid="{C366287D-DD4A-4723-81DE-76C2028F753F}" name="Column7188"/>
    <tableColumn id="7216" xr3:uid="{40A30121-8D47-4EE7-B20E-4CDE657F7056}" name="Column7189"/>
    <tableColumn id="7217" xr3:uid="{39E72EC6-CFD3-4019-89FA-885DDAFD059A}" name="Column7190"/>
    <tableColumn id="7218" xr3:uid="{6AA7A3F7-56BA-46A3-9A47-50DF1F6373AD}" name="Column7191"/>
    <tableColumn id="7219" xr3:uid="{38B606D8-E071-40B1-8897-74FE5E234641}" name="Column7192"/>
    <tableColumn id="7220" xr3:uid="{19CB2F26-9A42-4B72-877C-5CDBF11CE68B}" name="Column7193"/>
    <tableColumn id="7221" xr3:uid="{3D4984F3-F322-4576-941B-E745A83FE9AC}" name="Column7194"/>
    <tableColumn id="7222" xr3:uid="{1A884BF1-7EEC-4E3E-880E-A5290E7B9637}" name="Column7195"/>
    <tableColumn id="7223" xr3:uid="{4B922222-44CB-448B-A489-BFBE3ECA7E3F}" name="Column7196"/>
    <tableColumn id="7224" xr3:uid="{419A19A6-F828-45CD-849A-EBD6D20A8A45}" name="Column7197"/>
    <tableColumn id="7225" xr3:uid="{A0EB6E97-90B4-47DE-AC34-E93F8FD6675E}" name="Column7198"/>
    <tableColumn id="7226" xr3:uid="{08CA2302-2E46-4176-9EE8-DEAAD1D25DA0}" name="Column7199"/>
    <tableColumn id="7227" xr3:uid="{CC607148-5FF3-4D9C-A6BF-C472057E78E0}" name="Column7200"/>
    <tableColumn id="7228" xr3:uid="{AA3D1708-F5B7-4E6C-9977-1C5B138BC31C}" name="Column7201"/>
    <tableColumn id="7229" xr3:uid="{27ED034F-3A74-4906-B489-E896A0644FA7}" name="Column7202"/>
    <tableColumn id="7230" xr3:uid="{9DEF557F-6376-40F2-86EA-FA7D25F77B29}" name="Column7203"/>
    <tableColumn id="7231" xr3:uid="{FC996CDB-D5B6-45BE-B6C0-55FAADC5F046}" name="Column7204"/>
    <tableColumn id="7232" xr3:uid="{123DEEC3-D128-4304-BC79-9E457D18F3D3}" name="Column7205"/>
    <tableColumn id="7233" xr3:uid="{DE09A11A-8803-424C-800B-D8C47BD4A4C5}" name="Column7206"/>
    <tableColumn id="7234" xr3:uid="{A8CCC55C-147F-4CD5-8B70-FD4ED58430B7}" name="Column7207"/>
    <tableColumn id="7235" xr3:uid="{1A417E2B-4FB8-466C-A2B4-B9C1CF0FFD17}" name="Column7208"/>
    <tableColumn id="7236" xr3:uid="{A760E9E4-A8E5-476F-B5B7-304A3611C8F1}" name="Column7209"/>
    <tableColumn id="7237" xr3:uid="{B0ECDB80-C2AD-42EC-801B-E1457EDA9957}" name="Column7210"/>
    <tableColumn id="7238" xr3:uid="{D7697899-96DC-4390-88D5-8E55542FB1A1}" name="Column7211"/>
    <tableColumn id="7239" xr3:uid="{1682AC59-1C31-4DCD-AC45-FF9B2AB63161}" name="Column7212"/>
    <tableColumn id="7240" xr3:uid="{F9AC7A15-08CA-4970-9482-9C1B27C0CB98}" name="Column7213"/>
    <tableColumn id="7241" xr3:uid="{B6446A42-4394-4890-9EF4-869E0F2CB357}" name="Column7214"/>
    <tableColumn id="7242" xr3:uid="{45EAE1B8-F3D5-4908-A237-0F6217C86A46}" name="Column7215"/>
    <tableColumn id="7243" xr3:uid="{29735358-1E45-43D4-A013-D7BC22F9FA8F}" name="Column7216"/>
    <tableColumn id="7244" xr3:uid="{C9E2EA6E-15B8-4A34-ADCC-AE59AFD3F609}" name="Column7217"/>
    <tableColumn id="7245" xr3:uid="{0B72833E-4446-4C1B-B45A-7DA090F6582A}" name="Column7218"/>
    <tableColumn id="7246" xr3:uid="{D95F0B6B-31BA-4D9D-8AC0-738C6399F4F6}" name="Column7219"/>
    <tableColumn id="7247" xr3:uid="{00B8DAB6-4F35-4C12-889A-849CEE295880}" name="Column7220"/>
    <tableColumn id="7248" xr3:uid="{D1B7BD59-5EC5-4724-9373-5DDF3EB122F2}" name="Column7221"/>
    <tableColumn id="7249" xr3:uid="{EB4D9CC5-432C-4B85-A5CE-52DABA9EFC11}" name="Column7222"/>
    <tableColumn id="7250" xr3:uid="{6F12922F-8FDC-4980-BFA9-BE026727924E}" name="Column7223"/>
    <tableColumn id="7251" xr3:uid="{1CF61B26-BB9D-4D9C-88C8-36EF500420CD}" name="Column7224"/>
    <tableColumn id="7252" xr3:uid="{F271E447-B625-4D0C-B2BB-E39D68946CDA}" name="Column7225"/>
    <tableColumn id="7253" xr3:uid="{466065B7-D63B-48E2-A20F-318002C598A3}" name="Column7226"/>
    <tableColumn id="7254" xr3:uid="{4798FA4B-A4D5-4B7C-BF8E-E33DD7E7CF13}" name="Column7227"/>
    <tableColumn id="7255" xr3:uid="{431360F6-06D5-43DE-91C5-C4B75A1A1E67}" name="Column7228"/>
    <tableColumn id="7256" xr3:uid="{0EC7AC43-46E9-45BC-B6A7-0F698DE76925}" name="Column7229"/>
    <tableColumn id="7257" xr3:uid="{72E1A18F-DCE9-44BD-8E2C-7F5CEC966BBE}" name="Column7230"/>
    <tableColumn id="7258" xr3:uid="{DF4C69FB-2FEF-4E3E-8EF9-41C08FEA6840}" name="Column7231"/>
    <tableColumn id="7259" xr3:uid="{B5EFBD7B-3BB1-419D-9FC6-D34DC689672B}" name="Column7232"/>
    <tableColumn id="7260" xr3:uid="{D7BE13E0-9DF0-40FE-B068-AC8289ACA693}" name="Column7233"/>
    <tableColumn id="7261" xr3:uid="{E237EFF3-4D22-4CD0-8A06-BC21C631C253}" name="Column7234"/>
    <tableColumn id="7262" xr3:uid="{AAE50A36-0D23-4F99-9E77-64F1B6C67C55}" name="Column7235"/>
    <tableColumn id="7263" xr3:uid="{0EC3C245-4937-441B-96C6-D0C977978DD5}" name="Column7236"/>
    <tableColumn id="7264" xr3:uid="{8AF1F7D4-DCD9-43D3-B736-FE7F718A6F9D}" name="Column7237"/>
    <tableColumn id="7265" xr3:uid="{6719E7F6-9746-4A7A-B4A3-94BB204291FC}" name="Column7238"/>
    <tableColumn id="7266" xr3:uid="{3EFCE8F4-7004-4957-A600-D3737DC8D50D}" name="Column7239"/>
    <tableColumn id="7267" xr3:uid="{081363E6-5A25-4E11-BE93-5FDA6B21931F}" name="Column7240"/>
    <tableColumn id="7268" xr3:uid="{3DE46A17-A142-42BD-A2DD-8911697D917E}" name="Column7241"/>
    <tableColumn id="7269" xr3:uid="{4E320362-E6B7-4241-A838-440D80E60F15}" name="Column7242"/>
    <tableColumn id="7270" xr3:uid="{14C7D599-D1BD-49FA-98D3-9BEBCDB51AB6}" name="Column7243"/>
    <tableColumn id="7271" xr3:uid="{6B440D34-A0B9-45E3-8957-8BDDD3E13E04}" name="Column7244"/>
    <tableColumn id="7272" xr3:uid="{0CD56CBA-F32F-4CC0-A5A6-5BB7F3CA9063}" name="Column7245"/>
    <tableColumn id="7273" xr3:uid="{26B0EE29-88BC-4E16-B55E-F9C7E499E7DC}" name="Column7246"/>
    <tableColumn id="7274" xr3:uid="{EF9EB84E-879E-4067-AE94-DC739B61886B}" name="Column7247"/>
    <tableColumn id="7275" xr3:uid="{5BC0AEFD-F30E-46D6-97C4-D737D41E4037}" name="Column7248"/>
    <tableColumn id="7276" xr3:uid="{B78260C1-D26E-4D29-8BC8-8C29FF0A3BEF}" name="Column7249"/>
    <tableColumn id="7277" xr3:uid="{D0748FDE-FF9D-46A4-BBD1-696EE6E0195C}" name="Column7250"/>
    <tableColumn id="7278" xr3:uid="{19839504-B543-4236-885C-4F9A1C1806B6}" name="Column7251"/>
    <tableColumn id="7279" xr3:uid="{AE686CF8-DC54-4F1A-9582-6DF7A383A952}" name="Column7252"/>
    <tableColumn id="7280" xr3:uid="{506E9FDC-2657-4432-8A01-DED95B7BBDA0}" name="Column7253"/>
    <tableColumn id="7281" xr3:uid="{FF926454-7BBD-4107-B480-6F29C2071371}" name="Column7254"/>
    <tableColumn id="7282" xr3:uid="{065449BE-A9DC-40B6-BFA0-68962E1F4E71}" name="Column7255"/>
    <tableColumn id="7283" xr3:uid="{E9FBCE69-B193-4749-9611-652864832ADC}" name="Column7256"/>
    <tableColumn id="7284" xr3:uid="{7D6C6C5F-769F-4FFE-BEA0-CF1C41C9BC3B}" name="Column7257"/>
    <tableColumn id="7285" xr3:uid="{FA74455B-FE85-430F-B20C-73A633342764}" name="Column7258"/>
    <tableColumn id="7286" xr3:uid="{C3F4267A-C53D-4252-90A4-6AA9F6C5DAF8}" name="Column7259"/>
    <tableColumn id="7287" xr3:uid="{09B6DDCF-FEBC-4151-8075-00F9C85B44CD}" name="Column7260"/>
    <tableColumn id="7288" xr3:uid="{937785A5-BC6C-4608-B0A9-5A6E35D67248}" name="Column7261"/>
    <tableColumn id="7289" xr3:uid="{75220A8E-74EB-4A64-A26E-391ED5E44475}" name="Column7262"/>
    <tableColumn id="7290" xr3:uid="{F96D1E59-19B8-495F-A86F-B815B22B4B73}" name="Column7263"/>
    <tableColumn id="7291" xr3:uid="{89FF82D9-0BDF-4E53-A74C-15940E234B81}" name="Column7264"/>
    <tableColumn id="7292" xr3:uid="{E5EDA152-256D-46AB-A9CF-082B115C6271}" name="Column7265"/>
    <tableColumn id="7293" xr3:uid="{B20EE32E-DF8B-4FEB-AF2E-471347330BE7}" name="Column7266"/>
    <tableColumn id="7294" xr3:uid="{3B821FE4-1000-4928-8DC4-D940CA3221D7}" name="Column7267"/>
    <tableColumn id="7295" xr3:uid="{45FC0A52-C019-4A44-A840-CFEA6675E9C7}" name="Column7268"/>
    <tableColumn id="7296" xr3:uid="{24AB8976-C6F4-4505-93A9-11F19FB79210}" name="Column7269"/>
    <tableColumn id="7297" xr3:uid="{985106D9-4B21-4363-80FF-3C1B4DCB360B}" name="Column7270"/>
    <tableColumn id="7298" xr3:uid="{FDC532F4-1D74-41B4-A1F2-C7473DC3552F}" name="Column7271"/>
    <tableColumn id="7299" xr3:uid="{B0144547-C741-4246-B567-A8DE978E7ED4}" name="Column7272"/>
    <tableColumn id="7300" xr3:uid="{11497A56-DAFA-46FA-95A1-6678F9BCCD13}" name="Column7273"/>
    <tableColumn id="7301" xr3:uid="{D107C714-4238-4BFD-A06B-4893EB930E83}" name="Column7274"/>
    <tableColumn id="7302" xr3:uid="{F99E2B5C-4E7F-4013-996A-8BBCBE41ADF3}" name="Column7275"/>
    <tableColumn id="7303" xr3:uid="{B1A02D08-DF01-4CA2-A0CB-9837373D0B26}" name="Column7276"/>
    <tableColumn id="7304" xr3:uid="{0C0FF07F-B98D-4EC6-A397-FA3B3E7D0F19}" name="Column7277"/>
    <tableColumn id="7305" xr3:uid="{F4F597B2-6526-43D1-8B41-1566E9D97C67}" name="Column7278"/>
    <tableColumn id="7306" xr3:uid="{6FB70692-7B50-4C65-856A-E5FA4CC2DE90}" name="Column7279"/>
    <tableColumn id="7307" xr3:uid="{58C35778-8416-4CBC-B109-2C859FF2939D}" name="Column7280"/>
    <tableColumn id="7308" xr3:uid="{FD8A8C0B-7D5D-4F47-B564-9E811FB9976A}" name="Column7281"/>
    <tableColumn id="7309" xr3:uid="{48EA8AD2-7376-4472-B116-7DAFE9131877}" name="Column7282"/>
    <tableColumn id="7310" xr3:uid="{58F75EBC-3678-41F0-943D-2DD6840E4C4C}" name="Column7283"/>
    <tableColumn id="7311" xr3:uid="{D2411BE9-16F0-4B61-8A70-F958D7285D67}" name="Column7284"/>
    <tableColumn id="7312" xr3:uid="{F1F5F1A1-45D2-4A78-9118-D4BFC3098088}" name="Column7285"/>
    <tableColumn id="7313" xr3:uid="{D6DF9D9C-C7C6-408E-A74F-40535AB856E8}" name="Column7286"/>
    <tableColumn id="7314" xr3:uid="{31AAC16B-F202-4FEE-AEC6-55C105B5F9AC}" name="Column7287"/>
    <tableColumn id="7315" xr3:uid="{7C96A851-32FC-4777-AD54-057E566B3CC3}" name="Column7288"/>
    <tableColumn id="7316" xr3:uid="{96741934-EDB1-487D-B85E-347300B4B6AF}" name="Column7289"/>
    <tableColumn id="7317" xr3:uid="{08CC3D04-9E3B-49BA-BC05-EE971D98F8D8}" name="Column7290"/>
    <tableColumn id="7318" xr3:uid="{1415F265-4C42-4F8A-90C3-B579379D266F}" name="Column7291"/>
    <tableColumn id="7319" xr3:uid="{F285AB8A-B7A5-4DA6-943D-E1BD630C2146}" name="Column7292"/>
    <tableColumn id="7320" xr3:uid="{58E9A4E1-9531-4D08-8D93-038DC56CA267}" name="Column7293"/>
    <tableColumn id="7321" xr3:uid="{71276580-4842-43A2-9BED-5ADC7C064236}" name="Column7294"/>
    <tableColumn id="7322" xr3:uid="{E806131B-B2BE-41B2-96B9-005A696C7B22}" name="Column7295"/>
    <tableColumn id="7323" xr3:uid="{74A3E469-8FAA-40DA-AAA0-6C2031D92C67}" name="Column7296"/>
    <tableColumn id="7324" xr3:uid="{E3D3EB75-7776-44FE-9A57-2840EE791A36}" name="Column7297"/>
    <tableColumn id="7325" xr3:uid="{7078DFF9-0339-4351-93FB-7D07E5AC61C9}" name="Column7298"/>
    <tableColumn id="7326" xr3:uid="{FCD6BFB8-B388-45F9-80C2-6DC7CEE5EEB4}" name="Column7299"/>
    <tableColumn id="7327" xr3:uid="{2E95C730-2E54-4CAD-9B42-306AE3C8FB70}" name="Column7300"/>
    <tableColumn id="7328" xr3:uid="{F2AD23BA-E5BF-4DF5-B324-AF5C19A4048C}" name="Column7301"/>
    <tableColumn id="7329" xr3:uid="{5CB84A46-4AFF-4E87-8A93-8C0030479A13}" name="Column7302"/>
    <tableColumn id="7330" xr3:uid="{8268D1A2-D260-4439-B8A8-12C1ED755CAE}" name="Column7303"/>
    <tableColumn id="7331" xr3:uid="{FC4CC5AA-341D-4B5A-AB34-2BDCCD6BA3C9}" name="Column7304"/>
    <tableColumn id="7332" xr3:uid="{9FD42871-F88C-485E-A184-7B2664C55A4D}" name="Column7305"/>
    <tableColumn id="7333" xr3:uid="{1B48022F-91DE-49A7-A57F-2AA8228A9897}" name="Column7306"/>
    <tableColumn id="7334" xr3:uid="{8C49B345-6F21-4382-B60C-CD42213696AA}" name="Column7307"/>
    <tableColumn id="7335" xr3:uid="{7C974324-0EF5-4B1B-94DB-DCD798550B01}" name="Column7308"/>
    <tableColumn id="7336" xr3:uid="{C2928E56-6009-4726-A8E2-162933CD4724}" name="Column7309"/>
    <tableColumn id="7337" xr3:uid="{A004A670-A6B8-4238-833D-B7721950DF32}" name="Column7310"/>
    <tableColumn id="7338" xr3:uid="{C771200A-AD6D-48C6-A3DE-ED39EA44556B}" name="Column7311"/>
    <tableColumn id="7339" xr3:uid="{2C8F02C6-FB2F-4C58-A799-65EF56C7BC44}" name="Column7312"/>
    <tableColumn id="7340" xr3:uid="{C48FA69C-4ED1-4004-BAC8-4CAF87C81BC7}" name="Column7313"/>
    <tableColumn id="7341" xr3:uid="{7FD22778-6C53-42C0-93D5-5D8523E79B39}" name="Column7314"/>
    <tableColumn id="7342" xr3:uid="{F0C0FFC2-1A06-4CA5-846A-DD8555ACE974}" name="Column7315"/>
    <tableColumn id="7343" xr3:uid="{6CCCB1E0-BBB7-4824-BDB1-B24EB4CC8BB1}" name="Column7316"/>
    <tableColumn id="7344" xr3:uid="{660DC9AE-2C05-4586-ACD5-A81A7B17A5F6}" name="Column7317"/>
    <tableColumn id="7345" xr3:uid="{89E375FA-12C5-4BB7-9BAA-613094C8553B}" name="Column7318"/>
    <tableColumn id="7346" xr3:uid="{64B810BD-E7D8-43A9-B471-8D478A62251C}" name="Column7319"/>
    <tableColumn id="7347" xr3:uid="{4567923A-386C-4D68-A965-42AB9DBE32F0}" name="Column7320"/>
    <tableColumn id="7348" xr3:uid="{EBC80ACD-6DE8-4D19-BF2C-CEDB9E6F63FF}" name="Column7321"/>
    <tableColumn id="7349" xr3:uid="{ABA510BF-41E7-47DF-8210-C4A4FA7243E2}" name="Column7322"/>
    <tableColumn id="7350" xr3:uid="{42BC3317-2813-4344-8EF7-CE8083B09929}" name="Column7323"/>
    <tableColumn id="7351" xr3:uid="{84EFABA9-938F-45ED-9D86-147917B94D43}" name="Column7324"/>
    <tableColumn id="7352" xr3:uid="{9086B31D-5321-4CE0-A9B9-2E8E5B936A6D}" name="Column7325"/>
    <tableColumn id="7353" xr3:uid="{8D7509C9-716C-4090-A0AF-24D4D2A9468F}" name="Column7326"/>
    <tableColumn id="7354" xr3:uid="{E5A02702-06B8-4F1F-A757-31CDC0BE6056}" name="Column7327"/>
    <tableColumn id="7355" xr3:uid="{FB601462-CD7A-484D-A50A-8B0AB9DDBAEB}" name="Column7328"/>
    <tableColumn id="7356" xr3:uid="{DD60C9A9-3A28-48D8-90EA-E4A6D7A91722}" name="Column7329"/>
    <tableColumn id="7357" xr3:uid="{7ADD55BC-73DD-497F-99CB-5D030253074C}" name="Column7330"/>
    <tableColumn id="7358" xr3:uid="{4DB16342-ADFF-406B-91B2-A04DB22C58FA}" name="Column7331"/>
    <tableColumn id="7359" xr3:uid="{0949BF2D-EE0D-48BF-BAF8-9908547790BA}" name="Column7332"/>
    <tableColumn id="7360" xr3:uid="{FD97B15F-8070-4950-B332-A4ED95DB5875}" name="Column7333"/>
    <tableColumn id="7361" xr3:uid="{23CD1BD8-BA90-4AB3-AAC2-82F6790CA6CD}" name="Column7334"/>
    <tableColumn id="7362" xr3:uid="{C30C4E36-2A0D-4040-835D-8CE42B0FDD45}" name="Column7335"/>
    <tableColumn id="7363" xr3:uid="{5D823041-6DBB-401C-BF07-17870792BD16}" name="Column7336"/>
    <tableColumn id="7364" xr3:uid="{EDD2928E-4EFF-4223-8572-608BDE43CA05}" name="Column7337"/>
    <tableColumn id="7365" xr3:uid="{F351CC83-2807-47C8-BDA7-1CD5F1E7DF57}" name="Column7338"/>
    <tableColumn id="7366" xr3:uid="{FA9E1C85-A73C-4713-895B-9962335157A2}" name="Column7339"/>
    <tableColumn id="7367" xr3:uid="{CFA47747-A050-4DCC-8BDD-39CA99E721EC}" name="Column7340"/>
    <tableColumn id="7368" xr3:uid="{EDF054AC-9796-4AEE-997B-1437288B694C}" name="Column7341"/>
    <tableColumn id="7369" xr3:uid="{D09FD561-6E70-450E-AA59-629DF9ABDFB1}" name="Column7342"/>
    <tableColumn id="7370" xr3:uid="{9A804EB7-9A47-4F9F-985D-579754B6A9F2}" name="Column7343"/>
    <tableColumn id="7371" xr3:uid="{58119176-2847-40A2-9D51-2651FCCFE5A3}" name="Column7344"/>
    <tableColumn id="7372" xr3:uid="{94F2B7A5-E7AB-4837-8531-EBA2D545B2B7}" name="Column7345"/>
    <tableColumn id="7373" xr3:uid="{7562CA2D-DA30-441A-8C57-61A32AC42FE9}" name="Column7346"/>
    <tableColumn id="7374" xr3:uid="{8E59F1D0-9B80-4A47-A56E-4A1CF8091EA4}" name="Column7347"/>
    <tableColumn id="7375" xr3:uid="{F9AC062C-EDED-4588-9EC6-BC7ADCF66566}" name="Column7348"/>
    <tableColumn id="7376" xr3:uid="{D1784ED8-9F2E-47AD-8188-02962B74E7CB}" name="Column7349"/>
    <tableColumn id="7377" xr3:uid="{9B894249-9F05-48E4-BF22-2F17107179D2}" name="Column7350"/>
    <tableColumn id="7378" xr3:uid="{200B0708-E763-468A-AFB3-DD20A112721A}" name="Column7351"/>
    <tableColumn id="7379" xr3:uid="{19E567BA-9CAB-44CD-A68D-45D5AAE849C0}" name="Column7352"/>
    <tableColumn id="7380" xr3:uid="{83A8E90F-9EFA-45F1-83CA-7FA2FDE105EE}" name="Column7353"/>
    <tableColumn id="7381" xr3:uid="{6DB9E625-69BF-4C93-A436-9FF97EDCFE99}" name="Column7354"/>
    <tableColumn id="7382" xr3:uid="{BF097C3E-4C65-4A25-959D-29E06DB9935C}" name="Column7355"/>
    <tableColumn id="7383" xr3:uid="{C9113215-931B-4026-AB8B-D2FE767A50C2}" name="Column7356"/>
    <tableColumn id="7384" xr3:uid="{3B243001-73CD-491B-866A-7CE0791BC3DB}" name="Column7357"/>
    <tableColumn id="7385" xr3:uid="{2C8B57FF-551C-4E62-8AF7-F08B3668336B}" name="Column7358"/>
    <tableColumn id="7386" xr3:uid="{3D2AB98C-93B5-4C0F-BEC9-A23A0C7D0FA4}" name="Column7359"/>
    <tableColumn id="7387" xr3:uid="{61302CE5-E204-4D5C-9C8E-9B73C0858341}" name="Column7360"/>
    <tableColumn id="7388" xr3:uid="{C516406C-B3DB-4D52-8EAF-D4ECA810DE57}" name="Column7361"/>
    <tableColumn id="7389" xr3:uid="{D67BE412-AF78-4676-8E27-AE106D798CB7}" name="Column7362"/>
    <tableColumn id="7390" xr3:uid="{B4F527BD-587E-403B-B67C-E39B34133C16}" name="Column7363"/>
    <tableColumn id="7391" xr3:uid="{92ECC839-2BDC-411C-825A-6998112FC71D}" name="Column7364"/>
    <tableColumn id="7392" xr3:uid="{D817AF6F-5AE5-4EEC-A7EF-E8D4DA3E0DAC}" name="Column7365"/>
    <tableColumn id="7393" xr3:uid="{30F3DD84-A588-4DA5-8F3E-AE1D8EC17452}" name="Column7366"/>
    <tableColumn id="7394" xr3:uid="{F7DC13CB-9587-404B-9C7D-404D301CC133}" name="Column7367"/>
    <tableColumn id="7395" xr3:uid="{2510D56E-ABF0-4515-843A-1CEE47960C02}" name="Column7368"/>
    <tableColumn id="7396" xr3:uid="{905F9A33-A9AF-4B4C-9838-A2D586DB1684}" name="Column7369"/>
    <tableColumn id="7397" xr3:uid="{32137050-1E0B-4058-B75E-37F1D1CF0AEB}" name="Column7370"/>
    <tableColumn id="7398" xr3:uid="{6913BF89-D2B1-486F-8C88-1BC00F555A9F}" name="Column7371"/>
    <tableColumn id="7399" xr3:uid="{071FBA09-EFCA-4916-8C36-B4746AD4C8B9}" name="Column7372"/>
    <tableColumn id="7400" xr3:uid="{8E52B942-2FB1-4FFA-8B25-6BE3C186F85F}" name="Column7373"/>
    <tableColumn id="7401" xr3:uid="{55107347-05DF-4398-B190-323A9E4226D6}" name="Column7374"/>
    <tableColumn id="7402" xr3:uid="{E8022324-A5F6-4C9F-9E69-CC6FF57853D8}" name="Column7375"/>
    <tableColumn id="7403" xr3:uid="{3E9D1D31-2EEF-4252-91E3-E52A51C6C42A}" name="Column7376"/>
    <tableColumn id="7404" xr3:uid="{268B24BB-355C-4B8E-BB06-611871D3BC33}" name="Column7377"/>
    <tableColumn id="7405" xr3:uid="{AAE75580-9445-465B-A078-0032621BA63A}" name="Column7378"/>
    <tableColumn id="7406" xr3:uid="{7298EAA8-60EA-4971-906A-4C302589D362}" name="Column7379"/>
    <tableColumn id="7407" xr3:uid="{9C3330DA-F681-4BD6-8A8C-B32C6C585293}" name="Column7380"/>
    <tableColumn id="7408" xr3:uid="{FEEDE2BC-8BC8-414A-8268-D398E6BDDCD4}" name="Column7381"/>
    <tableColumn id="7409" xr3:uid="{3B49ADE7-E5FD-4E7A-AA78-0E4ADF2BA67E}" name="Column7382"/>
    <tableColumn id="7410" xr3:uid="{0CF4A798-8A65-4BB5-B438-8301F65C9100}" name="Column7383"/>
    <tableColumn id="7411" xr3:uid="{F15D428F-34E6-44A0-B7AE-F07E75910EE9}" name="Column7384"/>
    <tableColumn id="7412" xr3:uid="{138F2D57-6BAA-46F6-AC3A-2B9FE26E3311}" name="Column7385"/>
    <tableColumn id="7413" xr3:uid="{93B1FA2C-7F40-4530-B8C3-637F6B3A6A2E}" name="Column7386"/>
    <tableColumn id="7414" xr3:uid="{70937272-5B69-46CA-B9F0-F0DC58E4759C}" name="Column7387"/>
    <tableColumn id="7415" xr3:uid="{64B0F000-9C0F-4305-BAB9-C263DE1BB1D5}" name="Column7388"/>
    <tableColumn id="7416" xr3:uid="{714AB551-D6DD-42E8-B317-AE157C2106C4}" name="Column7389"/>
    <tableColumn id="7417" xr3:uid="{E0B89017-6813-433C-9DB0-12AFF0ED443D}" name="Column7390"/>
    <tableColumn id="7418" xr3:uid="{9F64A26F-3CC7-4B5D-BA41-4F817B5C3267}" name="Column7391"/>
    <tableColumn id="7419" xr3:uid="{825E1AE2-971D-4D4E-BD45-709B1343236C}" name="Column7392"/>
    <tableColumn id="7420" xr3:uid="{36894C77-314B-4607-85E8-C656B7628476}" name="Column7393"/>
    <tableColumn id="7421" xr3:uid="{9DE22B2C-D437-4EFE-A745-FD9DD204135B}" name="Column7394"/>
    <tableColumn id="7422" xr3:uid="{E96CB93F-BFAA-48CE-890D-6C4CFF00CCCE}" name="Column7395"/>
    <tableColumn id="7423" xr3:uid="{EAA6B8DC-F25B-4487-ACE7-87EB86CF8536}" name="Column7396"/>
    <tableColumn id="7424" xr3:uid="{5D8019D4-E19C-4FBE-8B0C-C4AF77A3D2B1}" name="Column7397"/>
    <tableColumn id="7425" xr3:uid="{CB9B3627-46EF-4B72-B446-9769DDFE7A47}" name="Column7398"/>
    <tableColumn id="7426" xr3:uid="{6E73BA25-EFD4-4CE0-8C45-79783C87935C}" name="Column7399"/>
    <tableColumn id="7427" xr3:uid="{25DA0D5E-2E43-4EF3-B03C-8053FEF59554}" name="Column7400"/>
    <tableColumn id="7428" xr3:uid="{A683CDE2-27DF-439A-A35E-AEE990A141CD}" name="Column7401"/>
    <tableColumn id="7429" xr3:uid="{495D9841-C37F-43F5-9523-D7A8FA08F79E}" name="Column7402"/>
    <tableColumn id="7430" xr3:uid="{9D5385BA-AEA9-4CC1-9363-37C2967A177E}" name="Column7403"/>
    <tableColumn id="7431" xr3:uid="{0F7DA817-E36D-4398-BB44-8FC001983941}" name="Column7404"/>
    <tableColumn id="7432" xr3:uid="{26F6BED8-757F-4C04-B295-4A138EE12B34}" name="Column7405"/>
    <tableColumn id="7433" xr3:uid="{E2332423-6EB7-4E27-BA6C-66728368D0B1}" name="Column7406"/>
    <tableColumn id="7434" xr3:uid="{964D35D0-E464-4B7F-8959-7FD3ACF7E895}" name="Column7407"/>
    <tableColumn id="7435" xr3:uid="{5B8314F3-F887-4A6A-A4E8-46DD65D1C764}" name="Column7408"/>
    <tableColumn id="7436" xr3:uid="{77F4C969-64FC-406C-A54C-F26B22D3145E}" name="Column7409"/>
    <tableColumn id="7437" xr3:uid="{B75AD761-D7BA-492B-9C0E-1C7A75FCA74A}" name="Column7410"/>
    <tableColumn id="7438" xr3:uid="{5C45A09B-581D-427C-81AB-29A19E219ABE}" name="Column7411"/>
    <tableColumn id="7439" xr3:uid="{ECADD755-793A-43B8-95B9-8C425E33926C}" name="Column7412"/>
    <tableColumn id="7440" xr3:uid="{B77BA0AC-DD31-4FF2-BE15-B15BCAF080D3}" name="Column7413"/>
    <tableColumn id="7441" xr3:uid="{5476EE3D-A07D-40DE-92EC-3C8E4E085D59}" name="Column7414"/>
    <tableColumn id="7442" xr3:uid="{7E14370A-D288-4A67-A6CB-2EA2D3E0C662}" name="Column7415"/>
    <tableColumn id="7443" xr3:uid="{15CFC943-27A1-4F8B-AE19-82FBC60EC2F6}" name="Column7416"/>
    <tableColumn id="7444" xr3:uid="{F6B876C1-D215-4B59-951A-FB19A0B1DC71}" name="Column7417"/>
    <tableColumn id="7445" xr3:uid="{CBC7481C-ECA8-4E4D-A626-A1777F0CADA0}" name="Column7418"/>
    <tableColumn id="7446" xr3:uid="{2CF1E20F-30A1-4C72-9A93-14D0B7DE991E}" name="Column7419"/>
    <tableColumn id="7447" xr3:uid="{EC5D5166-EDF6-4F40-B5CD-1404DFB905FF}" name="Column7420"/>
    <tableColumn id="7448" xr3:uid="{304900A8-3FFB-48AD-BAA1-64A2B62DAEA9}" name="Column7421"/>
    <tableColumn id="7449" xr3:uid="{0B8CC403-2557-455F-8DD7-80D70C02AFFF}" name="Column7422"/>
    <tableColumn id="7450" xr3:uid="{416C97CC-C95E-41A0-887E-58A4DAF51DC1}" name="Column7423"/>
    <tableColumn id="7451" xr3:uid="{770D38B2-AC24-403D-A976-84B8638F9DB0}" name="Column7424"/>
    <tableColumn id="7452" xr3:uid="{9CD12653-3DB4-4A72-A368-51377DA2971B}" name="Column7425"/>
    <tableColumn id="7453" xr3:uid="{921F115E-6EA4-46C1-BD18-551914AC2044}" name="Column7426"/>
    <tableColumn id="7454" xr3:uid="{0AC6D13E-59DB-433D-A235-EB4DF9EC18D1}" name="Column7427"/>
    <tableColumn id="7455" xr3:uid="{86B4E2CB-E8B3-402A-942D-152296162791}" name="Column7428"/>
    <tableColumn id="7456" xr3:uid="{C7F7E8D9-DCB4-41D4-8FA8-8D7B3698694B}" name="Column7429"/>
    <tableColumn id="7457" xr3:uid="{B6E562A6-DBA7-45D4-97BA-78EB337864DC}" name="Column7430"/>
    <tableColumn id="7458" xr3:uid="{59D6AF50-C742-4164-8F9B-E829610B9790}" name="Column7431"/>
    <tableColumn id="7459" xr3:uid="{18B7FF67-B9A7-47F1-9432-E3F6656345B6}" name="Column7432"/>
    <tableColumn id="7460" xr3:uid="{5359EF21-B2D8-46BF-AD59-86C031A491FF}" name="Column7433"/>
    <tableColumn id="7461" xr3:uid="{D34C60A6-5C4F-4512-AE64-DA6371DE6F7E}" name="Column7434"/>
    <tableColumn id="7462" xr3:uid="{3947B2E4-702F-4079-A5C8-C3CD36441319}" name="Column7435"/>
    <tableColumn id="7463" xr3:uid="{06F082C9-F60D-4729-A754-9BEF172CCA29}" name="Column7436"/>
    <tableColumn id="7464" xr3:uid="{AB802C85-40FA-453B-A2C0-9980CB723C03}" name="Column7437"/>
    <tableColumn id="7465" xr3:uid="{CC327A4C-C081-4F89-9A77-A7CE41666226}" name="Column7438"/>
    <tableColumn id="7466" xr3:uid="{54811955-E7AB-4001-AC42-7D5571C282F8}" name="Column7439"/>
    <tableColumn id="7467" xr3:uid="{2415E108-C68B-4616-A4D1-8060FDA3B3AA}" name="Column7440"/>
    <tableColumn id="7468" xr3:uid="{D2F9C4E4-E7B3-449C-9000-AD2F28B58886}" name="Column7441"/>
    <tableColumn id="7469" xr3:uid="{6CB07A04-1B36-4BC4-BD46-152B38ADDF56}" name="Column7442"/>
    <tableColumn id="7470" xr3:uid="{EDDB49EB-F60F-4FFA-8C0A-2972DB335214}" name="Column7443"/>
    <tableColumn id="7471" xr3:uid="{C5F8565E-D81B-458B-8C57-A2A90C58C973}" name="Column7444"/>
    <tableColumn id="7472" xr3:uid="{2F7D64AB-D3C9-4C8E-8A15-B7B1C35766D5}" name="Column7445"/>
    <tableColumn id="7473" xr3:uid="{22168E0D-1A16-463D-9C22-F44D8B918C9B}" name="Column7446"/>
    <tableColumn id="7474" xr3:uid="{F059FF90-926D-468E-ADBE-50C708A68EFA}" name="Column7447"/>
    <tableColumn id="7475" xr3:uid="{7555FD12-CB36-405D-95E6-BEB2A36D5C29}" name="Column7448"/>
    <tableColumn id="7476" xr3:uid="{5A455715-A99E-43A2-B91B-2440AEC2CA83}" name="Column7449"/>
    <tableColumn id="7477" xr3:uid="{21AA137F-A96B-4DC4-8BAC-92554E84B1BE}" name="Column7450"/>
    <tableColumn id="7478" xr3:uid="{4996E441-C445-4B00-B945-7E5B6C8106C2}" name="Column7451"/>
    <tableColumn id="7479" xr3:uid="{B9E9809E-40C7-4C4A-BD5D-062668DFB527}" name="Column7452"/>
    <tableColumn id="7480" xr3:uid="{5E47E5CC-1BF0-4C5D-8754-31BBC4E3746C}" name="Column7453"/>
    <tableColumn id="7481" xr3:uid="{ACB3C64A-44E7-4800-9522-3D47057DC723}" name="Column7454"/>
    <tableColumn id="7482" xr3:uid="{2232018C-A1B9-4C40-A114-999C78EBD911}" name="Column7455"/>
    <tableColumn id="7483" xr3:uid="{7C198D11-FF17-440B-87C5-34B6FA910C54}" name="Column7456"/>
    <tableColumn id="7484" xr3:uid="{C9D85559-C61D-4E99-8B7F-E3F8E0A36F8A}" name="Column7457"/>
    <tableColumn id="7485" xr3:uid="{FECDB524-F89A-4365-A29E-30E9288D4B2A}" name="Column7458"/>
    <tableColumn id="7486" xr3:uid="{AA3ADA4C-DEAC-4120-9F65-71746A9809C2}" name="Column7459"/>
    <tableColumn id="7487" xr3:uid="{A74DDE62-7315-44CA-A612-A1B0608535F4}" name="Column7460"/>
    <tableColumn id="7488" xr3:uid="{21435AC3-BA3E-4C04-94EF-69B94F48D980}" name="Column7461"/>
    <tableColumn id="7489" xr3:uid="{024924E6-BF83-45F3-A456-0316F9CDB18B}" name="Column7462"/>
    <tableColumn id="7490" xr3:uid="{1B422942-48A7-438D-A09F-2B69DC261EC3}" name="Column7463"/>
    <tableColumn id="7491" xr3:uid="{7A4B194B-1B15-46ED-B46B-C9CC9739DCB9}" name="Column7464"/>
    <tableColumn id="7492" xr3:uid="{54F8EBD7-785E-46F0-9A87-88B099E1C43F}" name="Column7465"/>
    <tableColumn id="7493" xr3:uid="{E4FFC216-52F8-4477-B004-58FD1268B509}" name="Column7466"/>
    <tableColumn id="7494" xr3:uid="{C7300876-3B93-4D42-9975-FF53F9A77983}" name="Column7467"/>
    <tableColumn id="7495" xr3:uid="{8422D6A9-14D9-4813-9640-A04769B2A5A5}" name="Column7468"/>
    <tableColumn id="7496" xr3:uid="{239FD272-C7BD-4FD9-85DD-2A4C41EC180D}" name="Column7469"/>
    <tableColumn id="7497" xr3:uid="{0D9ADDA4-85A8-461C-B5BF-100D5FED898E}" name="Column7470"/>
    <tableColumn id="7498" xr3:uid="{3C5607C5-2F2C-4D04-8EDC-07B338DB16FD}" name="Column7471"/>
    <tableColumn id="7499" xr3:uid="{0FEDCFA5-36F3-4759-8084-C5DD4F4CBC2F}" name="Column7472"/>
    <tableColumn id="7500" xr3:uid="{05885660-CAFE-4E05-8EB0-3ED9FBC9AD3C}" name="Column7473"/>
    <tableColumn id="7501" xr3:uid="{14930E48-3716-422A-B859-3DD6FB5D50C1}" name="Column7474"/>
    <tableColumn id="7502" xr3:uid="{3621CE53-9F5D-40FE-90EF-B34D72F2A1C6}" name="Column7475"/>
    <tableColumn id="7503" xr3:uid="{11976D81-A06D-407A-8216-2F0D6F2AD617}" name="Column7476"/>
    <tableColumn id="7504" xr3:uid="{1370209A-5B67-4690-9014-00ECAB3F7C15}" name="Column7477"/>
    <tableColumn id="7505" xr3:uid="{D5F6F4FD-0812-421F-AFB8-449C3B5075C1}" name="Column7478"/>
    <tableColumn id="7506" xr3:uid="{3608C227-6200-4B72-BDFF-BBE4F82F91C4}" name="Column7479"/>
    <tableColumn id="7507" xr3:uid="{920BD44B-2E24-4A49-850C-8787143EFBCF}" name="Column7480"/>
    <tableColumn id="7508" xr3:uid="{458AA1D9-E6F3-407C-9DE9-3B0669442A1F}" name="Column7481"/>
    <tableColumn id="7509" xr3:uid="{735CCC55-058E-48BA-BD6C-AFD9D169039D}" name="Column7482"/>
    <tableColumn id="7510" xr3:uid="{34A7AC7A-CEB8-47B3-A555-E61DFC649E0E}" name="Column7483"/>
    <tableColumn id="7511" xr3:uid="{929E91D6-5CF7-4AAE-BD9E-D50853AE8C58}" name="Column7484"/>
    <tableColumn id="7512" xr3:uid="{101EAB21-4430-4F59-B0FD-1B384DFB2FE5}" name="Column7485"/>
    <tableColumn id="7513" xr3:uid="{51182539-A49D-41D5-9E9A-881CD38F9165}" name="Column7486"/>
    <tableColumn id="7514" xr3:uid="{765F96D2-8CE5-4320-8DF2-6D9364F59D8E}" name="Column7487"/>
    <tableColumn id="7515" xr3:uid="{AD32C82C-F396-4C53-9AD8-57A748ECECAE}" name="Column7488"/>
    <tableColumn id="7516" xr3:uid="{128CB4DA-43F4-4CC2-97F9-550028ABB98C}" name="Column7489"/>
    <tableColumn id="7517" xr3:uid="{7D523E59-77AB-4659-A17F-0FCECF4AB58F}" name="Column7490"/>
    <tableColumn id="7518" xr3:uid="{3B28CA4E-3135-4A86-A80D-AFEB86042FC8}" name="Column7491"/>
    <tableColumn id="7519" xr3:uid="{C42CCCC9-9931-4C72-8FA7-65135754CD4F}" name="Column7492"/>
    <tableColumn id="7520" xr3:uid="{AD3B4532-1051-4D65-A740-BE8EFAC852F9}" name="Column7493"/>
    <tableColumn id="7521" xr3:uid="{0D593DB3-523B-4FF8-878A-21D8BCF0D87A}" name="Column7494"/>
    <tableColumn id="7522" xr3:uid="{C05659D3-5290-472F-B4D9-ECE50D73599F}" name="Column7495"/>
    <tableColumn id="7523" xr3:uid="{00D4DA18-04E0-4847-93A0-2D6FA8AD85C7}" name="Column7496"/>
    <tableColumn id="7524" xr3:uid="{0D3F02C9-C6A3-497C-8D4B-FB05EA4DCA0F}" name="Column7497"/>
    <tableColumn id="7525" xr3:uid="{E6266F6B-90E9-48A6-A785-8AD857858E7C}" name="Column7498"/>
    <tableColumn id="7526" xr3:uid="{10F090A4-F6D8-44E4-A4AD-07C707AE8EDF}" name="Column7499"/>
    <tableColumn id="7527" xr3:uid="{C3AC47C4-9701-4BB2-8349-7A45BB77F84D}" name="Column7500"/>
    <tableColumn id="7528" xr3:uid="{AAFCCA97-AED0-475C-9B49-4E124C2D1851}" name="Column7501"/>
    <tableColumn id="7529" xr3:uid="{EEEC8A87-76E3-4FC2-957A-D0DB7A0CB891}" name="Column7502"/>
    <tableColumn id="7530" xr3:uid="{E289B341-15E7-4E91-81A7-396B69C88066}" name="Column7503"/>
    <tableColumn id="7531" xr3:uid="{1BCFAD85-2510-481E-BD4B-8DAA638CA1E6}" name="Column7504"/>
    <tableColumn id="7532" xr3:uid="{FF8CAE87-8B4C-4437-8AA1-DC09F63D4A7F}" name="Column7505"/>
    <tableColumn id="7533" xr3:uid="{F07D61BD-E5BE-474E-8CD6-E5F05D7E9BB5}" name="Column7506"/>
    <tableColumn id="7534" xr3:uid="{900D3A02-EC9F-4498-B9D8-01434FD40CF6}" name="Column7507"/>
    <tableColumn id="7535" xr3:uid="{B17029F6-9D3E-4832-8E5F-B781B2C6117F}" name="Column7508"/>
    <tableColumn id="7536" xr3:uid="{6B5EA448-39C3-44E3-BE25-2E6A671521A1}" name="Column7509"/>
    <tableColumn id="7537" xr3:uid="{22070C13-CAFB-4862-AA29-2C4C0F802798}" name="Column7510"/>
    <tableColumn id="7538" xr3:uid="{BFD6D629-1F5E-438F-8B3F-1DA80D48C78A}" name="Column7511"/>
    <tableColumn id="7539" xr3:uid="{D79BB6F5-9938-4DD0-B6C3-063FAFAD40FE}" name="Column7512"/>
    <tableColumn id="7540" xr3:uid="{135413D6-6693-43A1-AFD4-E1751FBC3BF1}" name="Column7513"/>
    <tableColumn id="7541" xr3:uid="{CCE8B6CD-BFE5-44F7-8700-8F043ECCAD49}" name="Column7514"/>
    <tableColumn id="7542" xr3:uid="{09BC775F-976A-4370-86EE-D9A3711B103D}" name="Column7515"/>
    <tableColumn id="7543" xr3:uid="{0A07AB0D-9607-4C2A-9C99-9BB462ACB35C}" name="Column7516"/>
    <tableColumn id="7544" xr3:uid="{55AC3F16-2626-41A7-BE54-7DE9EC2E9BC8}" name="Column7517"/>
    <tableColumn id="7545" xr3:uid="{F84FA8C6-5B7A-421D-B875-1135D4C3820F}" name="Column7518"/>
    <tableColumn id="7546" xr3:uid="{1D296BD6-AA82-4786-A3E1-2AC9440319F4}" name="Column7519"/>
    <tableColumn id="7547" xr3:uid="{582695C1-BF53-4C99-A2A3-FFA4E53841F1}" name="Column7520"/>
    <tableColumn id="7548" xr3:uid="{58D3F896-9873-4122-92A0-31312A49DCA1}" name="Column7521"/>
    <tableColumn id="7549" xr3:uid="{332D500C-2890-457D-A94C-AF34E263E6BC}" name="Column7522"/>
    <tableColumn id="7550" xr3:uid="{61D976BA-DFD0-4852-AC3D-229FE519ED8E}" name="Column7523"/>
    <tableColumn id="7551" xr3:uid="{DC0C8095-1083-4EA5-BAE5-E3B5D784EF6D}" name="Column7524"/>
    <tableColumn id="7552" xr3:uid="{5632563C-3EF8-4C1F-8D93-D9D669528818}" name="Column7525"/>
    <tableColumn id="7553" xr3:uid="{FDC9049A-3043-4CE7-9B42-91B86FEAB5AF}" name="Column7526"/>
    <tableColumn id="7554" xr3:uid="{FD697871-6C9E-4162-BA9E-08E19D01AB9D}" name="Column7527"/>
    <tableColumn id="7555" xr3:uid="{9CB7B591-242E-4757-AD6E-A184F7008731}" name="Column7528"/>
    <tableColumn id="7556" xr3:uid="{1693791A-24CA-44E7-8228-6E009E15F892}" name="Column7529"/>
    <tableColumn id="7557" xr3:uid="{2BCBE455-4373-40DD-878B-6A82C8EA7DA5}" name="Column7530"/>
    <tableColumn id="7558" xr3:uid="{46E8B508-F187-4BBE-90E9-38AA89C020DF}" name="Column7531"/>
    <tableColumn id="7559" xr3:uid="{B79885AA-FD79-4701-8DEE-35C585844179}" name="Column7532"/>
    <tableColumn id="7560" xr3:uid="{CCF97719-C8BB-47B2-861F-7DCB91AB2D05}" name="Column7533"/>
    <tableColumn id="7561" xr3:uid="{823F6750-99DA-474E-84D3-C3338E194A5C}" name="Column7534"/>
    <tableColumn id="7562" xr3:uid="{5CF1DE64-220B-4A82-B7BF-CEFC1880BA91}" name="Column7535"/>
    <tableColumn id="7563" xr3:uid="{40782773-CB47-4639-8182-81B25ABA8FB5}" name="Column7536"/>
    <tableColumn id="7564" xr3:uid="{431ACBE5-5A48-45AA-BE3A-C062535B7EC8}" name="Column7537"/>
    <tableColumn id="7565" xr3:uid="{AB2137BA-E828-421B-9C31-24EF1FE8FCC7}" name="Column7538"/>
    <tableColumn id="7566" xr3:uid="{5ACEAB0D-F36A-49E4-B948-179B7CCC7BE0}" name="Column7539"/>
    <tableColumn id="7567" xr3:uid="{3F33F942-6B7F-492F-8277-897A5B024F01}" name="Column7540"/>
    <tableColumn id="7568" xr3:uid="{E456589B-507D-4B86-BFB2-CEAA86CAE847}" name="Column7541"/>
    <tableColumn id="7569" xr3:uid="{709D7D78-C666-4F23-9237-900B040F39DF}" name="Column7542"/>
    <tableColumn id="7570" xr3:uid="{61D51E31-C308-4355-B709-A00628F894CF}" name="Column7543"/>
    <tableColumn id="7571" xr3:uid="{950191C0-3DD3-4574-A63E-C48D64B2E102}" name="Column7544"/>
    <tableColumn id="7572" xr3:uid="{833A3E31-03F4-479D-AC2B-915F26B3E89F}" name="Column7545"/>
    <tableColumn id="7573" xr3:uid="{86264CA2-80EF-48A5-8D55-E31D2E767C6F}" name="Column7546"/>
    <tableColumn id="7574" xr3:uid="{6FCAEED2-1731-40FF-8D1E-A51F1621D926}" name="Column7547"/>
    <tableColumn id="7575" xr3:uid="{E12DFACE-A1FB-4B55-B143-49E35B687B84}" name="Column7548"/>
    <tableColumn id="7576" xr3:uid="{5EB9DAF3-FDA6-44DE-A836-15F5A03B37AC}" name="Column7549"/>
    <tableColumn id="7577" xr3:uid="{C0B64C6F-E5B2-46E1-B27D-55A3BF39409F}" name="Column7550"/>
    <tableColumn id="7578" xr3:uid="{7BB90DC0-D8FB-48C0-A5E7-6EBBA3345CEB}" name="Column7551"/>
    <tableColumn id="7579" xr3:uid="{9D055CD9-B3EA-412B-AE07-DE580E5847EE}" name="Column7552"/>
    <tableColumn id="7580" xr3:uid="{18489832-7AC4-4250-B8B2-38815874D9C4}" name="Column7553"/>
    <tableColumn id="7581" xr3:uid="{C79A4D79-D697-4E92-9356-E6BEC4A4D127}" name="Column7554"/>
    <tableColumn id="7582" xr3:uid="{952A44B8-F25A-448E-BBB2-6D391127F6D6}" name="Column7555"/>
    <tableColumn id="7583" xr3:uid="{0DC2EC8D-E6BA-4060-952F-9BEF7076245D}" name="Column7556"/>
    <tableColumn id="7584" xr3:uid="{476EB34D-AF99-4C6F-951F-03400C64600D}" name="Column7557"/>
    <tableColumn id="7585" xr3:uid="{955E7544-5219-4A45-8DB0-53EBC2736A09}" name="Column7558"/>
    <tableColumn id="7586" xr3:uid="{24D41FBD-02BC-40DE-AE82-4B2472B6CB24}" name="Column7559"/>
    <tableColumn id="7587" xr3:uid="{17193A8B-CA2D-48BB-A178-0E74B14F3853}" name="Column7560"/>
    <tableColumn id="7588" xr3:uid="{89A18AD0-AF3D-47A0-A6E7-6A7BBF6CCF04}" name="Column7561"/>
    <tableColumn id="7589" xr3:uid="{2FF27ABB-2BE1-4E35-A49A-2654855B1028}" name="Column7562"/>
    <tableColumn id="7590" xr3:uid="{D66ECB19-BE15-4870-B04C-81629193C18D}" name="Column7563"/>
    <tableColumn id="7591" xr3:uid="{79847D75-8B10-4F3D-9855-4B74AA143D29}" name="Column7564"/>
    <tableColumn id="7592" xr3:uid="{3A9DE42F-2354-4FBA-8E97-621AFC3AA7F0}" name="Column7565"/>
    <tableColumn id="7593" xr3:uid="{53D1F85C-72ED-426F-9F30-7A9373661EAE}" name="Column7566"/>
    <tableColumn id="7594" xr3:uid="{30AC496D-780F-4653-9DA3-D317F17435F8}" name="Column7567"/>
    <tableColumn id="7595" xr3:uid="{9227B499-A445-4630-94DE-D05B01F9087E}" name="Column7568"/>
    <tableColumn id="7596" xr3:uid="{03000CB8-4F67-4065-BB80-E79378D1AE96}" name="Column7569"/>
    <tableColumn id="7597" xr3:uid="{1884B693-8810-4751-AD35-B62FF4FE6BC4}" name="Column7570"/>
    <tableColumn id="7598" xr3:uid="{DB0643E0-327F-4914-B03C-02CD9C2EBAA2}" name="Column7571"/>
    <tableColumn id="7599" xr3:uid="{4464A77A-1A11-463A-841A-69829E58E65A}" name="Column7572"/>
    <tableColumn id="7600" xr3:uid="{06E0D132-C777-4822-821D-3E8720660A53}" name="Column7573"/>
    <tableColumn id="7601" xr3:uid="{9E206E87-C9A3-4F3C-955D-B960E605D927}" name="Column7574"/>
    <tableColumn id="7602" xr3:uid="{648FF79C-F27A-4960-AB73-47F734EBA159}" name="Column7575"/>
    <tableColumn id="7603" xr3:uid="{700F5455-CE3C-4D1A-B5E9-8954319B17C1}" name="Column7576"/>
    <tableColumn id="7604" xr3:uid="{CC37D150-E61A-4DD5-A52C-9684721BEB5E}" name="Column7577"/>
    <tableColumn id="7605" xr3:uid="{BBC7386D-B9C1-4B29-B018-3C3273C703AE}" name="Column7578"/>
    <tableColumn id="7606" xr3:uid="{C92A4098-2F06-4C92-910F-A58915726C13}" name="Column7579"/>
    <tableColumn id="7607" xr3:uid="{58EE23D7-6191-4CE0-B112-C5D60BAA9D98}" name="Column7580"/>
    <tableColumn id="7608" xr3:uid="{7820B114-2E18-435F-B452-9EFD6E2730FE}" name="Column7581"/>
    <tableColumn id="7609" xr3:uid="{4967BE8D-FAE6-45CF-BBCE-26D8F7F368C0}" name="Column7582"/>
    <tableColumn id="7610" xr3:uid="{DCA8E0C4-C745-426D-AF7F-F736E51049D7}" name="Column7583"/>
    <tableColumn id="7611" xr3:uid="{462A162B-FF7F-44B2-BA45-8CD1A60167F5}" name="Column7584"/>
    <tableColumn id="7612" xr3:uid="{D3E141B6-C5BE-4CFE-B1A9-C786EC198D1C}" name="Column7585"/>
    <tableColumn id="7613" xr3:uid="{A2D7D27D-59AB-42D1-913F-B873C109B6CA}" name="Column7586"/>
    <tableColumn id="7614" xr3:uid="{6B224EA3-B834-4075-89AE-BEC2F420D073}" name="Column7587"/>
    <tableColumn id="7615" xr3:uid="{EEA2D847-A5B7-418D-A3AC-09CF1D795B5D}" name="Column7588"/>
    <tableColumn id="7616" xr3:uid="{B635DBCF-4E1F-4FEE-952B-0DE83E941A62}" name="Column7589"/>
    <tableColumn id="7617" xr3:uid="{657760AA-78DF-4BF0-8374-1B09BD0606D7}" name="Column7590"/>
    <tableColumn id="7618" xr3:uid="{6EAC1083-EA39-4FB3-94A3-211A99C8153B}" name="Column7591"/>
    <tableColumn id="7619" xr3:uid="{70EF9022-7F22-4FCC-B27C-B3562F58F3D5}" name="Column7592"/>
    <tableColumn id="7620" xr3:uid="{9D2A836A-735E-41C0-A34A-C90B9EFC5AD4}" name="Column7593"/>
    <tableColumn id="7621" xr3:uid="{C7164C9B-2A5D-4F43-9184-8CF2DE3449A2}" name="Column7594"/>
    <tableColumn id="7622" xr3:uid="{F5C282E8-C3CF-4EDF-B6A2-7C5ECEB68639}" name="Column7595"/>
    <tableColumn id="7623" xr3:uid="{5A47883B-31F3-443A-8527-4F1C667D7864}" name="Column7596"/>
    <tableColumn id="7624" xr3:uid="{A64EF2D8-BE37-418A-B5D2-C9C4AC370286}" name="Column7597"/>
    <tableColumn id="7625" xr3:uid="{16702F69-5E56-4717-A499-81A1319017D3}" name="Column7598"/>
    <tableColumn id="7626" xr3:uid="{106EF159-780D-44A0-A207-4777C83AB432}" name="Column7599"/>
    <tableColumn id="7627" xr3:uid="{5C1C8DE9-CDBB-4127-81F9-E7B00CA51473}" name="Column7600"/>
    <tableColumn id="7628" xr3:uid="{B9C76F6A-3806-4E12-B2B7-6D139C30EC29}" name="Column7601"/>
    <tableColumn id="7629" xr3:uid="{D15FC100-1690-490E-98A3-D42F15B0E204}" name="Column7602"/>
    <tableColumn id="7630" xr3:uid="{61D8062E-71F8-4BD0-BD4F-A2B37E742CFF}" name="Column7603"/>
    <tableColumn id="7631" xr3:uid="{57F73AD8-28B5-43FC-8873-E850DCD96439}" name="Column7604"/>
    <tableColumn id="7632" xr3:uid="{9FEEED20-7BBE-4DA3-BE7A-D732235470BF}" name="Column7605"/>
    <tableColumn id="7633" xr3:uid="{5B108B73-B360-4EC2-AE5F-0565FD0A419F}" name="Column7606"/>
    <tableColumn id="7634" xr3:uid="{8A17846B-AE66-4966-8FBD-F6A76DC1045B}" name="Column7607"/>
    <tableColumn id="7635" xr3:uid="{995BC0AA-B43D-41F3-BEE9-AB4959055646}" name="Column7608"/>
    <tableColumn id="7636" xr3:uid="{29DB1521-7005-4299-AAEB-2ABDEDCD822D}" name="Column7609"/>
    <tableColumn id="7637" xr3:uid="{1BF5A9D0-C134-49E6-ABB2-50A4EB7AA982}" name="Column7610"/>
    <tableColumn id="7638" xr3:uid="{1D8506D9-225B-431B-A059-090C54BD187A}" name="Column7611"/>
    <tableColumn id="7639" xr3:uid="{9748566F-E61E-42C7-9055-C4E10885FDC3}" name="Column7612"/>
    <tableColumn id="7640" xr3:uid="{7B34F83D-D0C3-40C3-8F9F-2A6B7DC3833F}" name="Column7613"/>
    <tableColumn id="7641" xr3:uid="{347E8CA7-515B-482C-AE97-D526923D76BC}" name="Column7614"/>
    <tableColumn id="7642" xr3:uid="{3D7E0570-675E-4A69-88D1-738DC6B90F91}" name="Column7615"/>
    <tableColumn id="7643" xr3:uid="{C757617C-B0DF-4797-B1C0-25FC21E224F8}" name="Column7616"/>
    <tableColumn id="7644" xr3:uid="{D50806B3-31A1-41E9-9045-A9B47C46603F}" name="Column7617"/>
    <tableColumn id="7645" xr3:uid="{A375A7D0-D006-4858-BB23-1513318D5FC3}" name="Column7618"/>
    <tableColumn id="7646" xr3:uid="{203FEC07-B7EF-4D24-868D-809C9B43E4E1}" name="Column7619"/>
    <tableColumn id="7647" xr3:uid="{EB6FA773-2D49-4891-AFCE-4FA22DC034A2}" name="Column7620"/>
    <tableColumn id="7648" xr3:uid="{2FD5AF9A-89C2-4BD8-A72C-E90FA97B7165}" name="Column7621"/>
    <tableColumn id="7649" xr3:uid="{B170FA10-4877-444D-B0BD-44108F0748F0}" name="Column7622"/>
    <tableColumn id="7650" xr3:uid="{36F04722-DC3B-4CFD-B1F0-2BCFE71CAE15}" name="Column7623"/>
    <tableColumn id="7651" xr3:uid="{72029A23-5506-46F6-8ED0-A9056E371D7B}" name="Column7624"/>
    <tableColumn id="7652" xr3:uid="{9F413C97-55E3-4078-B076-5E2DF02A7C05}" name="Column7625"/>
    <tableColumn id="7653" xr3:uid="{5F5F602B-EB79-482B-B14A-D824B94237AC}" name="Column7626"/>
    <tableColumn id="7654" xr3:uid="{DB281D88-53E4-4AB4-89FB-B656164DBCFF}" name="Column7627"/>
    <tableColumn id="7655" xr3:uid="{D70DE2C7-4126-4CDA-A773-251F8DA2B997}" name="Column7628"/>
    <tableColumn id="7656" xr3:uid="{150D0E4B-0339-4129-A9E0-21D9B5488BA4}" name="Column7629"/>
    <tableColumn id="7657" xr3:uid="{3B7A2351-8EB8-4B30-AAD4-BFFF089A8FD7}" name="Column7630"/>
    <tableColumn id="7658" xr3:uid="{51249D73-6C6A-4C87-BEE6-C26E971BBA1F}" name="Column7631"/>
    <tableColumn id="7659" xr3:uid="{633125CA-82AC-4AE3-8F03-9E7EDEC93610}" name="Column7632"/>
    <tableColumn id="7660" xr3:uid="{F0A5B963-7034-4A36-98E5-DF27DA0BBA3B}" name="Column7633"/>
    <tableColumn id="7661" xr3:uid="{14495E77-20C5-47EB-9F9B-31B69F722174}" name="Column7634"/>
    <tableColumn id="7662" xr3:uid="{CCD517EE-1822-4B9E-A4AF-E6D8B7A9D601}" name="Column7635"/>
    <tableColumn id="7663" xr3:uid="{7072E0F8-794C-4BE5-B069-988B8E10C88C}" name="Column7636"/>
    <tableColumn id="7664" xr3:uid="{CD38AD4C-116C-4F40-AFD5-09D1A4C3E4F9}" name="Column7637"/>
    <tableColumn id="7665" xr3:uid="{B2A3BDCD-53F2-43A4-B578-5B67B57A6C8B}" name="Column7638"/>
    <tableColumn id="7666" xr3:uid="{B514C958-A414-4659-879F-78E987429E8E}" name="Column7639"/>
    <tableColumn id="7667" xr3:uid="{86838587-745D-42D4-8637-2D190094C534}" name="Column7640"/>
    <tableColumn id="7668" xr3:uid="{D54645FC-BA95-40C6-86CE-FA9CBAC2FD7A}" name="Column7641"/>
    <tableColumn id="7669" xr3:uid="{C5714B52-36EE-4EDB-8182-168D91F68830}" name="Column7642"/>
    <tableColumn id="7670" xr3:uid="{04BFD5FD-E0D9-4B2B-93B4-4D5824077CB8}" name="Column7643"/>
    <tableColumn id="7671" xr3:uid="{23DA3775-6528-46BF-A53D-410BC573E0E8}" name="Column7644"/>
    <tableColumn id="7672" xr3:uid="{D366F6BD-911D-4096-B5CB-82CE8E91ADB2}" name="Column7645"/>
    <tableColumn id="7673" xr3:uid="{EAB56EFC-D28B-408E-9715-5BD49762B343}" name="Column7646"/>
    <tableColumn id="7674" xr3:uid="{EEAD8E8F-E5DF-4342-8A5F-5A81AEEDCF59}" name="Column7647"/>
    <tableColumn id="7675" xr3:uid="{F8AD3C69-CB53-412D-84A1-C0DDE11A1616}" name="Column7648"/>
    <tableColumn id="7676" xr3:uid="{89563967-36F7-4B2B-85CF-B7978BE4BEEF}" name="Column7649"/>
    <tableColumn id="7677" xr3:uid="{206F2CCA-DAE3-47FA-B423-A7B19E6E3C47}" name="Column7650"/>
    <tableColumn id="7678" xr3:uid="{6C74FE8B-E851-43BB-B645-2B0347C983BC}" name="Column7651"/>
    <tableColumn id="7679" xr3:uid="{ADCDA0A3-CDAE-44DE-B00C-315E10F3BEC6}" name="Column7652"/>
    <tableColumn id="7680" xr3:uid="{9CCA3247-528F-4FE8-B7A6-6C63E371A081}" name="Column7653"/>
    <tableColumn id="7681" xr3:uid="{2446B453-3F3D-42C0-BB4E-F1696759FB98}" name="Column7654"/>
    <tableColumn id="7682" xr3:uid="{0104582E-38AA-4E74-B256-DDEE441F2822}" name="Column7655"/>
    <tableColumn id="7683" xr3:uid="{931C22B9-3A6D-4AFD-92FC-053C814945C8}" name="Column7656"/>
    <tableColumn id="7684" xr3:uid="{2E80A606-589C-4286-9686-C389FEB9877C}" name="Column7657"/>
    <tableColumn id="7685" xr3:uid="{3937B318-E019-4F90-94BC-16EDF34E62B6}" name="Column7658"/>
    <tableColumn id="7686" xr3:uid="{732710B8-7F50-44F4-AB08-BF0243B4D03C}" name="Column7659"/>
    <tableColumn id="7687" xr3:uid="{25F3849F-43B3-4307-981C-D0DBFD8BC6CB}" name="Column7660"/>
    <tableColumn id="7688" xr3:uid="{AA830C59-CD77-4CA1-BF51-17335ADBE140}" name="Column7661"/>
    <tableColumn id="7689" xr3:uid="{40A41E8D-0880-41B9-85A8-A1CB19754A42}" name="Column7662"/>
    <tableColumn id="7690" xr3:uid="{FEE2BA5C-EB85-4DA1-B0C8-CA93FED39AF0}" name="Column7663"/>
    <tableColumn id="7691" xr3:uid="{6087A106-4277-4015-A0A2-5C9229F20C17}" name="Column7664"/>
    <tableColumn id="7692" xr3:uid="{590B93E2-E564-4124-BFA7-C1C275FC072E}" name="Column7665"/>
    <tableColumn id="7693" xr3:uid="{C33D9387-B315-426F-B83F-66D9550F69F7}" name="Column7666"/>
    <tableColumn id="7694" xr3:uid="{16F9D0F3-C850-4799-B482-1DFDF2C7DD21}" name="Column7667"/>
    <tableColumn id="7695" xr3:uid="{3FDCA367-F232-4F6B-8C76-318673CCEF9E}" name="Column7668"/>
    <tableColumn id="7696" xr3:uid="{18DED4FE-BA30-4C56-A611-1C1FB1549E97}" name="Column7669"/>
    <tableColumn id="7697" xr3:uid="{889FBE90-0821-4664-BD1B-27A6D6904907}" name="Column7670"/>
    <tableColumn id="7698" xr3:uid="{7D198670-1FFF-4D8B-9E2C-3E3B2B88C914}" name="Column7671"/>
    <tableColumn id="7699" xr3:uid="{3702461D-E6E4-4555-BC37-8486E44DF2A5}" name="Column7672"/>
    <tableColumn id="7700" xr3:uid="{692D6198-9806-4CB5-BB22-C82B326ADF16}" name="Column7673"/>
    <tableColumn id="7701" xr3:uid="{B7E95C44-FF42-48DB-ABA4-9DA892E9E005}" name="Column7674"/>
    <tableColumn id="7702" xr3:uid="{C550250E-113B-4720-928F-7533A0CEEAA1}" name="Column7675"/>
    <tableColumn id="7703" xr3:uid="{503C7566-68AC-46BA-9CD7-661B61A95836}" name="Column7676"/>
    <tableColumn id="7704" xr3:uid="{B604DD94-987B-4793-99E4-447769194DB2}" name="Column7677"/>
    <tableColumn id="7705" xr3:uid="{BDD3FBB9-CD69-488F-B01A-07C2D1BA200A}" name="Column7678"/>
    <tableColumn id="7706" xr3:uid="{29CA924E-CAF7-480C-A0C9-61D32A0DA130}" name="Column7679"/>
    <tableColumn id="7707" xr3:uid="{DCF12171-AC2C-4787-8896-DE43D89DB7DD}" name="Column7680"/>
    <tableColumn id="7708" xr3:uid="{EB112FCF-7A0A-4DB8-862F-52B6744DEEA8}" name="Column7681"/>
    <tableColumn id="7709" xr3:uid="{2DDDE43F-029B-4BFC-8F01-97E5E97D8804}" name="Column7682"/>
    <tableColumn id="7710" xr3:uid="{79FB0B4D-1998-42CF-98A5-D00C10DAD8EC}" name="Column7683"/>
    <tableColumn id="7711" xr3:uid="{843F46A6-BD67-42FC-962B-745E999EF1A5}" name="Column7684"/>
    <tableColumn id="7712" xr3:uid="{9D06934C-38CC-460E-87AD-68B4B7F7A1AD}" name="Column7685"/>
    <tableColumn id="7713" xr3:uid="{85D3160E-1FD6-4262-89C9-0CA8822C463C}" name="Column7686"/>
    <tableColumn id="7714" xr3:uid="{70A3D313-F5BE-4BDE-A59E-D83464F50DA7}" name="Column7687"/>
    <tableColumn id="7715" xr3:uid="{0D6B0D69-A89E-4B1E-9AA3-107D7A5A881E}" name="Column7688"/>
    <tableColumn id="7716" xr3:uid="{0B21E0B0-35A4-4156-8AD9-D5B6120A5D7B}" name="Column7689"/>
    <tableColumn id="7717" xr3:uid="{FC6D971B-AACB-44BB-8426-5A5B3FC3A570}" name="Column7690"/>
    <tableColumn id="7718" xr3:uid="{888EE70E-87B2-49F4-9977-F671747E9B1D}" name="Column7691"/>
    <tableColumn id="7719" xr3:uid="{FD96C9F0-EAB5-45C3-A078-931FDF9296FB}" name="Column7692"/>
    <tableColumn id="7720" xr3:uid="{A79C68A2-1058-4C9A-9449-42301A056BE5}" name="Column7693"/>
    <tableColumn id="7721" xr3:uid="{A112CD67-A94A-458E-8598-1B29663D6F33}" name="Column7694"/>
    <tableColumn id="7722" xr3:uid="{3D1C0967-6A11-4C2E-BBE9-84B0A2C67D61}" name="Column7695"/>
    <tableColumn id="7723" xr3:uid="{913D37CF-92B3-43D8-8E8F-EC79B71EA227}" name="Column7696"/>
    <tableColumn id="7724" xr3:uid="{FC87EA47-2889-4B9F-80C4-2E97A024F3CE}" name="Column7697"/>
    <tableColumn id="7725" xr3:uid="{B9F25953-BFCF-4982-BEAD-571CCDA15633}" name="Column7698"/>
    <tableColumn id="7726" xr3:uid="{DB20A9ED-694F-476F-9662-2BF96DF328A8}" name="Column7699"/>
    <tableColumn id="7727" xr3:uid="{8C008AB7-6F50-4EB7-8799-5F8A91FD3811}" name="Column7700"/>
    <tableColumn id="7728" xr3:uid="{A72BB04B-6560-48CB-B6E4-BEC02E1E1F18}" name="Column7701"/>
    <tableColumn id="7729" xr3:uid="{76D6146D-B84F-44D8-A128-1BA093BE59FF}" name="Column7702"/>
    <tableColumn id="7730" xr3:uid="{FA8F9638-4B4C-4950-B39E-B506C0EEFF9A}" name="Column7703"/>
    <tableColumn id="7731" xr3:uid="{CE1D5E49-5BAF-45B6-AE8E-75539647A749}" name="Column7704"/>
    <tableColumn id="7732" xr3:uid="{012B2F43-6433-4105-995C-F8B998240F13}" name="Column7705"/>
    <tableColumn id="7733" xr3:uid="{02397574-7CCC-41D0-B5B1-C569B4116ECC}" name="Column7706"/>
    <tableColumn id="7734" xr3:uid="{F79FEBCA-E2D4-4E49-AED2-163447990C01}" name="Column7707"/>
    <tableColumn id="7735" xr3:uid="{BCFE5A18-47C1-4FE8-8209-AFF990ABF6E1}" name="Column7708"/>
    <tableColumn id="7736" xr3:uid="{32BC10C6-80F8-41D4-B2BB-2932C16FE2EC}" name="Column7709"/>
    <tableColumn id="7737" xr3:uid="{18194375-F33B-4DA5-B620-ED4EAEED1841}" name="Column7710"/>
    <tableColumn id="7738" xr3:uid="{B101C233-415D-4473-9122-446AEF81F7F3}" name="Column7711"/>
    <tableColumn id="7739" xr3:uid="{42812FC0-676A-45BE-9DC1-6A2594EA6317}" name="Column7712"/>
    <tableColumn id="7740" xr3:uid="{A03DDBC0-A07E-4BF4-92C5-CB8717F18D38}" name="Column7713"/>
    <tableColumn id="7741" xr3:uid="{6A47CB63-5637-4476-ACF9-F053D77F47C3}" name="Column7714"/>
    <tableColumn id="7742" xr3:uid="{5FE3AEEC-BF6D-45EB-82D9-56409AB0E23E}" name="Column7715"/>
    <tableColumn id="7743" xr3:uid="{7EBAB1E7-E4B7-4549-9EF9-3C492E68771F}" name="Column7716"/>
    <tableColumn id="7744" xr3:uid="{6B75620E-B4BC-4878-8AFA-5C13443F649D}" name="Column7717"/>
    <tableColumn id="7745" xr3:uid="{C08AE568-DEB2-4C6E-BB46-1353AFD6F196}" name="Column7718"/>
    <tableColumn id="7746" xr3:uid="{E66DBF24-87E0-4631-AB52-A021B5D584F2}" name="Column7719"/>
    <tableColumn id="7747" xr3:uid="{DA005505-0602-4B28-AEAD-9D97030C7EBC}" name="Column7720"/>
    <tableColumn id="7748" xr3:uid="{5F0192C5-FF67-4870-9EA2-C0A996809064}" name="Column7721"/>
    <tableColumn id="7749" xr3:uid="{5E1EFF86-DCE1-431D-8808-F57A5B8BACAE}" name="Column7722"/>
    <tableColumn id="7750" xr3:uid="{21C0AC2B-0373-49D2-AD04-53968CC64165}" name="Column7723"/>
    <tableColumn id="7751" xr3:uid="{29B076B6-2788-4361-8E5B-94C8E25203B4}" name="Column7724"/>
    <tableColumn id="7752" xr3:uid="{7890FC24-7D29-47E1-B570-6E347C926090}" name="Column7725"/>
    <tableColumn id="7753" xr3:uid="{D1609135-1A17-4651-AEBF-998C568F7AD2}" name="Column7726"/>
    <tableColumn id="7754" xr3:uid="{BA04CB55-6615-4187-AB20-48DEF888EBA0}" name="Column7727"/>
    <tableColumn id="7755" xr3:uid="{419BD2C8-9386-4CA4-980B-1D8857FD13DD}" name="Column7728"/>
    <tableColumn id="7756" xr3:uid="{41AA8243-9FF2-47D9-82F9-4724BAE6F363}" name="Column7729"/>
    <tableColumn id="7757" xr3:uid="{A90D716F-BB95-444F-A405-4B0B1BB80D66}" name="Column7730"/>
    <tableColumn id="7758" xr3:uid="{0890DD94-7742-488C-A4C7-860D0CF3D948}" name="Column7731"/>
    <tableColumn id="7759" xr3:uid="{0B465DD2-D6DA-43A4-944A-00D4580BC90A}" name="Column7732"/>
    <tableColumn id="7760" xr3:uid="{B971FA5D-B677-4825-952F-F60230FDB131}" name="Column7733"/>
    <tableColumn id="7761" xr3:uid="{8917BF13-0B84-4B13-A4E4-031AA59D4AA6}" name="Column7734"/>
    <tableColumn id="7762" xr3:uid="{2C2DE89E-2752-4836-B867-134A5233E0A8}" name="Column7735"/>
    <tableColumn id="7763" xr3:uid="{A1F665AB-BADD-4217-9FB4-1F909BBB7204}" name="Column7736"/>
    <tableColumn id="7764" xr3:uid="{1183035A-C5D9-4EF9-9D91-D2C69B959B3D}" name="Column7737"/>
    <tableColumn id="7765" xr3:uid="{3DD1E6F1-17EE-4B1A-92FE-E574E8E7B71F}" name="Column7738"/>
    <tableColumn id="7766" xr3:uid="{B071119C-2EDD-45C1-8D9B-3AB9F6F67EDA}" name="Column7739"/>
    <tableColumn id="7767" xr3:uid="{025B32C2-EFBB-4CEC-9CCB-A3A7815EB43A}" name="Column7740"/>
    <tableColumn id="7768" xr3:uid="{A1A82DB4-02B2-4381-96C7-B49E4183BAB0}" name="Column7741"/>
    <tableColumn id="7769" xr3:uid="{F2FACBF3-6F8A-44DD-82A2-8FACE71CCF76}" name="Column7742"/>
    <tableColumn id="7770" xr3:uid="{DC76CEFB-307D-4F43-9946-27456A3B591E}" name="Column7743"/>
    <tableColumn id="7771" xr3:uid="{EF6D4DF0-B274-4C2D-B6DB-CEDC3C2FC484}" name="Column7744"/>
    <tableColumn id="7772" xr3:uid="{A0193166-6AFB-4880-B18A-E541067D19E1}" name="Column7745"/>
    <tableColumn id="7773" xr3:uid="{D3EE405B-466A-4DD8-901A-F408E93A6A4B}" name="Column7746"/>
    <tableColumn id="7774" xr3:uid="{3D9CC41C-B1BA-4525-B0DA-46D86194A0C5}" name="Column7747"/>
    <tableColumn id="7775" xr3:uid="{716A7761-E425-42D0-B03A-3C28FF165E20}" name="Column7748"/>
    <tableColumn id="7776" xr3:uid="{17AFC32F-A92A-44E5-8348-A0568AB2F443}" name="Column7749"/>
    <tableColumn id="7777" xr3:uid="{28594668-E5FE-4FFA-86FA-5AF05FFE7C5B}" name="Column7750"/>
    <tableColumn id="7778" xr3:uid="{9956B859-4A2F-4574-AAC6-5CE7417D5D6A}" name="Column7751"/>
    <tableColumn id="7779" xr3:uid="{2FE7ADF8-E8F2-4D20-B0EE-17A2ADF6165B}" name="Column7752"/>
    <tableColumn id="7780" xr3:uid="{7CEBF7F9-D2BA-4181-A3C1-D81C19502B01}" name="Column7753"/>
    <tableColumn id="7781" xr3:uid="{1319AD4D-FCF8-48D1-BAC8-59861F671784}" name="Column7754"/>
    <tableColumn id="7782" xr3:uid="{E3D5C86C-74CD-4487-BC70-31C88F44F36B}" name="Column7755"/>
    <tableColumn id="7783" xr3:uid="{2E3FD58F-BBBE-47E2-9822-DA52D9F25402}" name="Column7756"/>
    <tableColumn id="7784" xr3:uid="{6D699243-9BC6-4339-B4C1-74261D84E384}" name="Column7757"/>
    <tableColumn id="7785" xr3:uid="{96A68285-BEEC-43AB-9BDE-8FF19AECDB2E}" name="Column7758"/>
    <tableColumn id="7786" xr3:uid="{210ABF53-9D1E-4EEF-B022-C0E69F25C5A6}" name="Column7759"/>
    <tableColumn id="7787" xr3:uid="{5D157161-367C-4FB5-A14E-A0CC1407BDBA}" name="Column7760"/>
    <tableColumn id="7788" xr3:uid="{51363725-13C2-49F9-9766-2AE99D5F19B9}" name="Column7761"/>
    <tableColumn id="7789" xr3:uid="{BB2B41E0-FA38-49CF-A2C6-7A03B193B303}" name="Column7762"/>
    <tableColumn id="7790" xr3:uid="{1251F248-5760-4F7B-8D2E-674BC7C03DC3}" name="Column7763"/>
    <tableColumn id="7791" xr3:uid="{8BEEC458-E032-493A-93BB-97E242574549}" name="Column7764"/>
    <tableColumn id="7792" xr3:uid="{2BABCA58-0ECE-4357-9751-88A83C75860A}" name="Column7765"/>
    <tableColumn id="7793" xr3:uid="{AE5CC7DA-4C8B-4E45-ADCC-836CA7A1216D}" name="Column7766"/>
    <tableColumn id="7794" xr3:uid="{EAF31864-D546-4F1B-ADAF-381E40970C3B}" name="Column7767"/>
    <tableColumn id="7795" xr3:uid="{AA6531BF-5312-453C-95CB-B16AE9A76F2D}" name="Column7768"/>
    <tableColumn id="7796" xr3:uid="{2872CA06-AFE9-4BF4-9008-B0E7E4314068}" name="Column7769"/>
    <tableColumn id="7797" xr3:uid="{2CF1FF38-279D-4DCD-9E2F-FAF155EE6470}" name="Column7770"/>
    <tableColumn id="7798" xr3:uid="{F829BAF4-F113-4AE5-98D2-DDC253AD069A}" name="Column7771"/>
    <tableColumn id="7799" xr3:uid="{A719EC88-7042-4EA9-AD5A-B3BCDDE77C0E}" name="Column7772"/>
    <tableColumn id="7800" xr3:uid="{21E68FF3-5F82-40F4-BB11-2F024AF61BB7}" name="Column7773"/>
    <tableColumn id="7801" xr3:uid="{EED59B3F-DF7C-49D0-AFFE-CF31E648EDFD}" name="Column7774"/>
    <tableColumn id="7802" xr3:uid="{B1B758CF-DC0E-44AA-B84A-86618E255E8B}" name="Column7775"/>
    <tableColumn id="7803" xr3:uid="{2239E47D-5977-4E65-88D5-23AD8DC6114F}" name="Column7776"/>
    <tableColumn id="7804" xr3:uid="{DAA6F5F6-7C5A-47E2-8AF0-C81D90A82AFC}" name="Column7777"/>
    <tableColumn id="7805" xr3:uid="{7D33917E-AE22-461E-9BDF-53DEE26C6486}" name="Column7778"/>
    <tableColumn id="7806" xr3:uid="{D34FA4DB-375F-4D21-84AC-6097E5F7331A}" name="Column7779"/>
    <tableColumn id="7807" xr3:uid="{774D4493-FA35-4B14-AA39-8DCC52ECFE2D}" name="Column7780"/>
    <tableColumn id="7808" xr3:uid="{3444DFCD-CFAC-4E37-B8B3-4A7F5488AC16}" name="Column7781"/>
    <tableColumn id="7809" xr3:uid="{CC229AAA-AF25-43E2-9CBD-3E7B03BC0BD9}" name="Column7782"/>
    <tableColumn id="7810" xr3:uid="{9DBA496D-CB16-4E4A-9AD2-0A20DBA18AD3}" name="Column7783"/>
    <tableColumn id="7811" xr3:uid="{FD6AE823-D697-4B7B-8DC2-BA29565AF971}" name="Column7784"/>
    <tableColumn id="7812" xr3:uid="{3122CCF1-178D-475C-A3D5-FF93CB00D61B}" name="Column7785"/>
    <tableColumn id="7813" xr3:uid="{A22C0F3E-50C3-44C5-A889-B46D57176EA4}" name="Column7786"/>
    <tableColumn id="7814" xr3:uid="{A34AC7B4-54A3-4FDE-8D91-646E23C05FA3}" name="Column7787"/>
    <tableColumn id="7815" xr3:uid="{9FAA669C-48F0-4098-91E7-C4823442E88F}" name="Column7788"/>
    <tableColumn id="7816" xr3:uid="{75F553A9-9153-414B-9F12-D94ED24889E8}" name="Column7789"/>
    <tableColumn id="7817" xr3:uid="{2FF0B7FC-677B-4F55-A15F-73839280AD25}" name="Column7790"/>
    <tableColumn id="7818" xr3:uid="{1924F3AB-8961-4BD3-B133-CFDB21C2746F}" name="Column7791"/>
    <tableColumn id="7819" xr3:uid="{0557B8EE-E6B0-4808-9BDA-4B1D9773B6B4}" name="Column7792"/>
    <tableColumn id="7820" xr3:uid="{AA4B62EA-5037-42BD-8BD2-44B88CD39863}" name="Column7793"/>
    <tableColumn id="7821" xr3:uid="{C0982840-0653-4A61-95D5-533DCED0A6F3}" name="Column7794"/>
    <tableColumn id="7822" xr3:uid="{7170E61B-A981-4155-8B23-39C81048A79A}" name="Column7795"/>
    <tableColumn id="7823" xr3:uid="{9407BB04-1188-451B-B72E-885AD5FEF025}" name="Column7796"/>
    <tableColumn id="7824" xr3:uid="{817D93EC-AB38-4203-9E06-DE5270472503}" name="Column7797"/>
    <tableColumn id="7825" xr3:uid="{E4C5F2C9-3857-4B3D-AD06-CD5FA84AEB5B}" name="Column7798"/>
    <tableColumn id="7826" xr3:uid="{164F605A-DA4F-4E51-B804-9E209A7AC422}" name="Column7799"/>
    <tableColumn id="7827" xr3:uid="{FB376DB3-7EBF-4360-A407-E5DCE844072B}" name="Column7800"/>
    <tableColumn id="7828" xr3:uid="{03AD0C9A-D24F-4F1C-AE74-5844D634FDB7}" name="Column7801"/>
    <tableColumn id="7829" xr3:uid="{FFD7DC79-B9F2-4C56-ADD9-68488959898F}" name="Column7802"/>
    <tableColumn id="7830" xr3:uid="{37F14DA6-E3E5-497D-A9C0-77BA2F5A717F}" name="Column7803"/>
    <tableColumn id="7831" xr3:uid="{1EB968DF-43D5-4D38-93D2-E267615D307C}" name="Column7804"/>
    <tableColumn id="7832" xr3:uid="{5B74B036-7EA1-4471-B773-D8A7DABF3B9A}" name="Column7805"/>
    <tableColumn id="7833" xr3:uid="{3F9AFA1A-DD20-40A6-B3FD-C2460BD3D4F8}" name="Column7806"/>
    <tableColumn id="7834" xr3:uid="{273179F7-6CDA-4EC4-B438-3FF4A15EDCC5}" name="Column7807"/>
    <tableColumn id="7835" xr3:uid="{400E4F6B-A0C2-4ECE-A246-3E515562D2E8}" name="Column7808"/>
    <tableColumn id="7836" xr3:uid="{2580551F-646F-4142-8B48-EF87842C856D}" name="Column7809"/>
    <tableColumn id="7837" xr3:uid="{A7ED5A48-F0E2-43D0-92BC-AEF6CC6289E7}" name="Column7810"/>
    <tableColumn id="7838" xr3:uid="{EBDB09C7-4049-4598-8D63-FFC2AAFDAE9B}" name="Column7811"/>
    <tableColumn id="7839" xr3:uid="{768B9F0D-D294-4BEE-88E7-0C8EAC6BEDEF}" name="Column7812"/>
    <tableColumn id="7840" xr3:uid="{30E51C7C-9766-4977-8C41-2E122B823E48}" name="Column7813"/>
    <tableColumn id="7841" xr3:uid="{1A8D7519-D4E6-4BD2-8F52-4E810589DAF9}" name="Column7814"/>
    <tableColumn id="7842" xr3:uid="{ABA6345D-AD8E-4108-AAB1-5B5560FA586C}" name="Column7815"/>
    <tableColumn id="7843" xr3:uid="{C5CB7662-E3EE-498D-BCB9-DFA863508B4F}" name="Column7816"/>
    <tableColumn id="7844" xr3:uid="{B067A50D-97A8-4201-B20C-A6FF93AB947E}" name="Column7817"/>
    <tableColumn id="7845" xr3:uid="{A8DACB9F-CFBC-4FE8-A50F-2A6B20C1978C}" name="Column7818"/>
    <tableColumn id="7846" xr3:uid="{9C74C015-6BD9-48F6-B548-1CD27DBD4B46}" name="Column7819"/>
    <tableColumn id="7847" xr3:uid="{B170C7D6-856C-4AE9-8084-85C0FF994A10}" name="Column7820"/>
    <tableColumn id="7848" xr3:uid="{ECFA84F2-4E50-47AF-AE2E-58F788B4FD08}" name="Column7821"/>
    <tableColumn id="7849" xr3:uid="{D5E604C6-F2AD-4AC1-AB40-91047BAC7FD0}" name="Column7822"/>
    <tableColumn id="7850" xr3:uid="{B7DDFB89-54FA-4679-878C-9AEA302B10C4}" name="Column7823"/>
    <tableColumn id="7851" xr3:uid="{C141D37F-2521-4F3F-B7EC-5D9CFAFB3AF9}" name="Column7824"/>
    <tableColumn id="7852" xr3:uid="{E9CD6FEC-92CA-4B29-A2B0-420D3014A906}" name="Column7825"/>
    <tableColumn id="7853" xr3:uid="{BD29358C-E91E-4C36-9659-26703DCA2671}" name="Column7826"/>
    <tableColumn id="7854" xr3:uid="{ACAFD8A3-8C83-4CC5-A884-521C792136B1}" name="Column7827"/>
    <tableColumn id="7855" xr3:uid="{0F7F2E91-8316-412F-B341-14F974D51BCC}" name="Column7828"/>
    <tableColumn id="7856" xr3:uid="{04CE944E-D0C6-4870-8070-BC1D2F051B65}" name="Column7829"/>
    <tableColumn id="7857" xr3:uid="{CC0EEDC5-3821-4638-9D77-90D8F772942A}" name="Column7830"/>
    <tableColumn id="7858" xr3:uid="{49E99E5B-8AC9-4E99-9B13-57473A8F3BE1}" name="Column7831"/>
    <tableColumn id="7859" xr3:uid="{F721076F-1EA7-423C-83B7-2F14BB0652D6}" name="Column7832"/>
    <tableColumn id="7860" xr3:uid="{01E25B11-5567-448D-B338-34B0DFE88988}" name="Column7833"/>
    <tableColumn id="7861" xr3:uid="{2D9BBC1C-EB9F-426F-AFEE-9D486CDE2073}" name="Column7834"/>
    <tableColumn id="7862" xr3:uid="{39478E2E-0FA4-425F-B8EC-F929E2DD3FAB}" name="Column7835"/>
    <tableColumn id="7863" xr3:uid="{AFCDCEE6-9DD1-4678-9AD8-2E62AF152167}" name="Column7836"/>
    <tableColumn id="7864" xr3:uid="{49C6F079-6C0C-4D5C-A975-82E0B6D42FF4}" name="Column7837"/>
    <tableColumn id="7865" xr3:uid="{3E5BA596-A417-4C7C-8D58-8400C77F1E0D}" name="Column7838"/>
    <tableColumn id="7866" xr3:uid="{C50BEC32-0C5B-4BAB-8637-BBCCCF50AB72}" name="Column7839"/>
    <tableColumn id="7867" xr3:uid="{3A463955-262E-4A9F-855D-AC4E0BA6D4DB}" name="Column7840"/>
    <tableColumn id="7868" xr3:uid="{E19CCEE1-3FDE-4EC6-9C8A-F5ADFCF85C19}" name="Column7841"/>
    <tableColumn id="7869" xr3:uid="{46E359D0-D678-4120-B909-26DFB4CFE836}" name="Column7842"/>
    <tableColumn id="7870" xr3:uid="{B7AD80DF-8FAA-42D7-BF77-5991B48B694D}" name="Column7843"/>
    <tableColumn id="7871" xr3:uid="{251C4AD7-5CA1-441B-9A5B-54128333570C}" name="Column7844"/>
    <tableColumn id="7872" xr3:uid="{12CC9494-1CD2-49F8-AE44-41C53A1F3E29}" name="Column7845"/>
    <tableColumn id="7873" xr3:uid="{7A42C24C-7B3B-41BB-8DC5-1B05C2F4C9FA}" name="Column7846"/>
    <tableColumn id="7874" xr3:uid="{6785D79C-FCF6-4D78-B8E0-CBEC5B67AC46}" name="Column7847"/>
    <tableColumn id="7875" xr3:uid="{C740F922-2165-4679-A8ED-0C625BD85A7E}" name="Column7848"/>
    <tableColumn id="7876" xr3:uid="{90B5186A-05C7-4F69-82B6-9233808C303B}" name="Column7849"/>
    <tableColumn id="7877" xr3:uid="{9E2DA655-35DA-49F0-A998-52A4D11D5282}" name="Column7850"/>
    <tableColumn id="7878" xr3:uid="{FD53C2AB-FB63-43A5-8D4E-5C74C18B2887}" name="Column7851"/>
    <tableColumn id="7879" xr3:uid="{DB3F6625-CC21-4F00-8138-DC9A35CD0161}" name="Column7852"/>
    <tableColumn id="7880" xr3:uid="{7AB94ADD-94F4-4028-9DEB-91AE664E5394}" name="Column7853"/>
    <tableColumn id="7881" xr3:uid="{CC00B614-F020-4C0F-9ABC-8F50130A2B35}" name="Column7854"/>
    <tableColumn id="7882" xr3:uid="{68E6644D-0830-4FF3-B394-D1332C1F8940}" name="Column7855"/>
    <tableColumn id="7883" xr3:uid="{2AE0A86A-0EA6-44B3-ABA6-A895F2C8B0E5}" name="Column7856"/>
    <tableColumn id="7884" xr3:uid="{D911B350-40A9-40BD-9B94-50C402C9873C}" name="Column7857"/>
    <tableColumn id="7885" xr3:uid="{F9A273CB-B1AE-4975-A791-415F1FA98865}" name="Column7858"/>
    <tableColumn id="7886" xr3:uid="{3123B427-C53D-4153-9964-E8894539829F}" name="Column7859"/>
    <tableColumn id="7887" xr3:uid="{A6AB868A-969A-49B5-BFFE-F81C3D7B5C7E}" name="Column7860"/>
    <tableColumn id="7888" xr3:uid="{2D8D89A4-107D-4C5F-A569-F6E6AE75F7A4}" name="Column7861"/>
    <tableColumn id="7889" xr3:uid="{33E71146-8707-4266-9E6A-6B7B78F3F8BB}" name="Column7862"/>
    <tableColumn id="7890" xr3:uid="{BC1AA0B6-9FC2-4435-BAA9-65BBED4C3073}" name="Column7863"/>
    <tableColumn id="7891" xr3:uid="{A56AA684-D1C6-4BE7-B425-7EB66E341F6D}" name="Column7864"/>
    <tableColumn id="7892" xr3:uid="{8FC851A4-9904-410F-8BF2-61E7C895B5EF}" name="Column7865"/>
    <tableColumn id="7893" xr3:uid="{998AE8C7-DB55-411B-B4B5-400066B46F86}" name="Column7866"/>
    <tableColumn id="7894" xr3:uid="{4ED3C906-76CD-4A39-BC90-8B9AEB33FEDC}" name="Column7867"/>
    <tableColumn id="7895" xr3:uid="{3EF23C32-C433-4700-B26D-B254F61F0F5D}" name="Column7868"/>
    <tableColumn id="7896" xr3:uid="{9D3056D1-326D-4F07-A55C-02E19A56F17A}" name="Column7869"/>
    <tableColumn id="7897" xr3:uid="{929A4333-1158-4490-BBE8-3AEFFA1FEFA0}" name="Column7870"/>
    <tableColumn id="7898" xr3:uid="{C4FD0F49-D560-4E67-9AD8-4B2616B123E7}" name="Column7871"/>
    <tableColumn id="7899" xr3:uid="{784C0BF7-4F49-43BC-9B3E-59149F8E6E34}" name="Column7872"/>
    <tableColumn id="7900" xr3:uid="{D854870D-D9CC-4E25-9DB4-3149F8D4C6BD}" name="Column7873"/>
    <tableColumn id="7901" xr3:uid="{2CAA0DB6-E2AB-4597-AD2D-CABDEDA53B68}" name="Column7874"/>
    <tableColumn id="7902" xr3:uid="{F1B60642-7DDA-4FA3-8F1C-D7AAAE6FBE30}" name="Column7875"/>
    <tableColumn id="7903" xr3:uid="{C09B55C3-E4B0-46F2-81B1-2F8EDEFB6B24}" name="Column7876"/>
    <tableColumn id="7904" xr3:uid="{E96EEDA6-605C-4DDF-AA27-E7FE570869F5}" name="Column7877"/>
    <tableColumn id="7905" xr3:uid="{B19EA171-BC2B-4FB6-A1D7-C1F64BAB78C3}" name="Column7878"/>
    <tableColumn id="7906" xr3:uid="{6370D738-1098-400F-B095-25B929B6FB01}" name="Column7879"/>
    <tableColumn id="7907" xr3:uid="{722372B7-4DB9-43FB-AB1B-905678FC9AFC}" name="Column7880"/>
    <tableColumn id="7908" xr3:uid="{CAC2FE91-9743-4F55-A9D9-97AC23EF88C7}" name="Column7881"/>
    <tableColumn id="7909" xr3:uid="{995DE9B5-18F6-41F3-A838-3B180EFE44BC}" name="Column7882"/>
    <tableColumn id="7910" xr3:uid="{970AB39F-E5E9-446A-B752-C41DA9628F36}" name="Column7883"/>
    <tableColumn id="7911" xr3:uid="{C64F94EB-EDD7-404E-9BDC-6ECFC7893542}" name="Column7884"/>
    <tableColumn id="7912" xr3:uid="{BC3A0185-3B98-4DF8-8B0B-4FFEF65D457F}" name="Column7885"/>
    <tableColumn id="7913" xr3:uid="{0A1C4260-58BD-4250-85AD-C376CD1A6414}" name="Column7886"/>
    <tableColumn id="7914" xr3:uid="{785A8874-1968-4711-A6CD-E86481406A8B}" name="Column7887"/>
    <tableColumn id="7915" xr3:uid="{045DCAA2-718F-4402-918A-7CC756477EA7}" name="Column7888"/>
    <tableColumn id="7916" xr3:uid="{24723FF3-6F95-4A56-BAFB-7F0FE540625F}" name="Column7889"/>
    <tableColumn id="7917" xr3:uid="{9F7E2864-0943-41EA-ACF7-7918B05044B8}" name="Column7890"/>
    <tableColumn id="7918" xr3:uid="{1FCFACCD-7F48-4E41-BFEA-D0763BC7C78E}" name="Column7891"/>
    <tableColumn id="7919" xr3:uid="{1A94AA98-324D-48DC-BE6F-129C1CEEDEBF}" name="Column7892"/>
    <tableColumn id="7920" xr3:uid="{6D096F45-DC25-4D7B-9918-480EE6424CA4}" name="Column7893"/>
    <tableColumn id="7921" xr3:uid="{3890615E-FB08-4A3E-ABD2-83A9C4240BDB}" name="Column7894"/>
    <tableColumn id="7922" xr3:uid="{6F798DD6-9A58-488E-8476-B150453CF815}" name="Column7895"/>
    <tableColumn id="7923" xr3:uid="{1097556C-E68E-4DC7-8906-3801A96F3E59}" name="Column7896"/>
    <tableColumn id="7924" xr3:uid="{D154A26F-C3A1-474F-8695-43479F27DB28}" name="Column7897"/>
    <tableColumn id="7925" xr3:uid="{69F4EF65-ED96-4BCA-AA06-C9637950BB3A}" name="Column7898"/>
    <tableColumn id="7926" xr3:uid="{531B5584-05CE-4ECB-B7D3-B45FC00FBE69}" name="Column7899"/>
    <tableColumn id="7927" xr3:uid="{AB0B4A15-BCB6-4C8E-9863-5EE4861AED5B}" name="Column7900"/>
    <tableColumn id="7928" xr3:uid="{95FF8301-6655-4A80-B92A-6235922B233D}" name="Column7901"/>
    <tableColumn id="7929" xr3:uid="{C388BABC-B90B-4397-B133-E350B02430D5}" name="Column7902"/>
    <tableColumn id="7930" xr3:uid="{D03EF534-9D82-4940-89C2-660A2537C24A}" name="Column7903"/>
    <tableColumn id="7931" xr3:uid="{896E0F4E-1BC9-4317-9A4B-E33985A382E7}" name="Column7904"/>
    <tableColumn id="7932" xr3:uid="{ECD23FF2-B6C8-4882-8BFF-227E1B3A3133}" name="Column7905"/>
    <tableColumn id="7933" xr3:uid="{0E47D1D3-CB87-40D5-B5E0-042D3A801A2A}" name="Column7906"/>
    <tableColumn id="7934" xr3:uid="{AE4CC0E2-BB7E-429D-B189-68C3794D0276}" name="Column7907"/>
    <tableColumn id="7935" xr3:uid="{53FF571A-0D01-47CD-B152-D4B44A67FF66}" name="Column7908"/>
    <tableColumn id="7936" xr3:uid="{E8F94567-9104-4F83-AD11-F4D60BAC0670}" name="Column7909"/>
    <tableColumn id="7937" xr3:uid="{E755EA47-2237-4F74-AB96-98E7B59986F5}" name="Column7910"/>
    <tableColumn id="7938" xr3:uid="{5F328C1B-124D-47A9-9A5E-0E6E0E092F96}" name="Column7911"/>
    <tableColumn id="7939" xr3:uid="{1240D447-ABC6-4E6E-80A8-ADF271F17756}" name="Column7912"/>
    <tableColumn id="7940" xr3:uid="{7D725521-0A72-4B73-9EFD-F10E2E186949}" name="Column7913"/>
    <tableColumn id="7941" xr3:uid="{28D4818B-4FAB-460F-8880-2E680A1FC1C3}" name="Column7914"/>
    <tableColumn id="7942" xr3:uid="{0A897762-84CA-4111-9AAE-3666C2BAC19E}" name="Column7915"/>
    <tableColumn id="7943" xr3:uid="{8BCB9F08-380E-4F6D-83EC-CAC7057DB0D0}" name="Column7916"/>
    <tableColumn id="7944" xr3:uid="{BCE2A2AE-139D-442A-B16F-8C8E50F123EF}" name="Column7917"/>
    <tableColumn id="7945" xr3:uid="{2F2B9C20-F1E2-4FE3-84AB-E39DAA024B81}" name="Column7918"/>
    <tableColumn id="7946" xr3:uid="{9532DA44-3EEF-4776-941A-4CCDB814AB9F}" name="Column7919"/>
    <tableColumn id="7947" xr3:uid="{F1DE91EA-18A9-46A8-A585-313FC9A9FA66}" name="Column7920"/>
    <tableColumn id="7948" xr3:uid="{6EB8638F-328E-4AC7-89E0-5BF59F349FB2}" name="Column7921"/>
    <tableColumn id="7949" xr3:uid="{DF9EC258-7875-46E6-B1D5-E187C391D521}" name="Column7922"/>
    <tableColumn id="7950" xr3:uid="{FBEC237D-AC5D-4190-B9BD-E45FC976EDEC}" name="Column7923"/>
    <tableColumn id="7951" xr3:uid="{C1B2F3DF-04B3-467E-8163-37E02841DCF2}" name="Column7924"/>
    <tableColumn id="7952" xr3:uid="{9720AB9A-9A75-462C-B7D5-A25B1F1E0839}" name="Column7925"/>
    <tableColumn id="7953" xr3:uid="{A6EABF9C-0B46-4ACF-84F9-67A6380B4BE2}" name="Column7926"/>
    <tableColumn id="7954" xr3:uid="{319E3F36-9E1B-420D-86D5-FEE658146F6F}" name="Column7927"/>
    <tableColumn id="7955" xr3:uid="{C813A500-C806-4097-89F2-0235CFF077C4}" name="Column7928"/>
    <tableColumn id="7956" xr3:uid="{197D43FC-DC6D-41BA-A802-14CE8ED0B8B6}" name="Column7929"/>
    <tableColumn id="7957" xr3:uid="{881805A1-513D-4891-B867-51BFA350D40B}" name="Column7930"/>
    <tableColumn id="7958" xr3:uid="{58C6A4C9-7534-4339-9406-7961A2F84148}" name="Column7931"/>
    <tableColumn id="7959" xr3:uid="{E9A8B072-5B5B-41FB-9D61-A77FC89060E2}" name="Column7932"/>
    <tableColumn id="7960" xr3:uid="{F28F6C38-7080-410A-B0DF-47CBB450549B}" name="Column7933"/>
    <tableColumn id="7961" xr3:uid="{11D4B309-DE36-4F2A-AC0F-7560612D93DF}" name="Column7934"/>
    <tableColumn id="7962" xr3:uid="{1A8B98EF-FF97-421E-B6CD-F4AE410704FE}" name="Column7935"/>
    <tableColumn id="7963" xr3:uid="{06F50560-0273-46B6-BE7C-B66BBB2BEC80}" name="Column7936"/>
    <tableColumn id="7964" xr3:uid="{9B4C2B56-CDF1-4144-BF11-F8A5954851F9}" name="Column7937"/>
    <tableColumn id="7965" xr3:uid="{59B4FEC0-EDBA-44CF-8B1E-2E7B7C319F3B}" name="Column7938"/>
    <tableColumn id="7966" xr3:uid="{FEE2136D-F24C-48E2-8117-88745F0DDD09}" name="Column7939"/>
    <tableColumn id="7967" xr3:uid="{AB667153-5870-4B86-B28F-5394E6FF976A}" name="Column7940"/>
    <tableColumn id="7968" xr3:uid="{2F6F8634-F580-4931-9ACC-ED9408B4BADA}" name="Column7941"/>
    <tableColumn id="7969" xr3:uid="{40A596BC-BA2C-45AC-9596-679092AE281E}" name="Column7942"/>
    <tableColumn id="7970" xr3:uid="{4F3FD9E1-722F-4747-964A-7A52208AC6C6}" name="Column7943"/>
    <tableColumn id="7971" xr3:uid="{84348229-DC03-48EC-A8B8-339B42082C05}" name="Column7944"/>
    <tableColumn id="7972" xr3:uid="{F432E126-CDE4-43E9-B643-7A6490AAB757}" name="Column7945"/>
    <tableColumn id="7973" xr3:uid="{68D55398-C37B-4053-801B-A95960FA8AB3}" name="Column7946"/>
    <tableColumn id="7974" xr3:uid="{98377F16-426D-43F6-9DE3-C3AD3C5AE4C2}" name="Column7947"/>
    <tableColumn id="7975" xr3:uid="{DD18D054-E967-43DB-8108-15625F8B7803}" name="Column7948"/>
    <tableColumn id="7976" xr3:uid="{DE16D4F0-82EA-480E-9C19-5A4D908C5A71}" name="Column7949"/>
    <tableColumn id="7977" xr3:uid="{D5D1FA5D-2BDA-4E90-94EE-1821F1A75096}" name="Column7950"/>
    <tableColumn id="7978" xr3:uid="{5E9BE56A-A8A7-4545-9985-1DAD6CE0EFFD}" name="Column7951"/>
    <tableColumn id="7979" xr3:uid="{E32AB726-C972-459E-B0EC-9F6559810233}" name="Column7952"/>
    <tableColumn id="7980" xr3:uid="{47EAA669-FE0E-4EC8-982F-89F0B4750AF3}" name="Column7953"/>
    <tableColumn id="7981" xr3:uid="{DC6B0808-C9D4-46FC-A36F-A2CE1C07F881}" name="Column7954"/>
    <tableColumn id="7982" xr3:uid="{AE9EDC9A-A545-480D-9EAB-A0C8568B7FA4}" name="Column7955"/>
    <tableColumn id="7983" xr3:uid="{42D9972A-1B2C-440B-9749-983CA42AF3AD}" name="Column7956"/>
    <tableColumn id="7984" xr3:uid="{2CFBF4BE-5A0D-4072-BAA9-98436618B71B}" name="Column7957"/>
    <tableColumn id="7985" xr3:uid="{1378DDC1-DA3D-4973-B026-FCAE91609047}" name="Column7958"/>
    <tableColumn id="7986" xr3:uid="{32400173-4552-4335-A0D1-5A547ACE11F2}" name="Column7959"/>
    <tableColumn id="7987" xr3:uid="{AE814859-AAF5-43ED-AA58-8148BC0925E1}" name="Column7960"/>
    <tableColumn id="7988" xr3:uid="{AB10FCDD-40FF-4B24-95BC-BECB48551320}" name="Column7961"/>
    <tableColumn id="7989" xr3:uid="{91408662-85BC-470B-971A-C0EE393E31DD}" name="Column7962"/>
    <tableColumn id="7990" xr3:uid="{6475506F-4DB7-4162-A13D-0B73B3E8055B}" name="Column7963"/>
    <tableColumn id="7991" xr3:uid="{56925999-61CF-43F2-A4BE-DEBF2656FEFD}" name="Column7964"/>
    <tableColumn id="7992" xr3:uid="{07EDD75E-FDF0-4755-B0DA-238A7F39EB11}" name="Column7965"/>
    <tableColumn id="7993" xr3:uid="{13D6AADF-3A5B-4C2E-9C52-035113AE7119}" name="Column7966"/>
    <tableColumn id="7994" xr3:uid="{398ECD62-D5E3-4D63-9DE5-F4FC586BEA33}" name="Column7967"/>
    <tableColumn id="7995" xr3:uid="{81F8BAB0-9886-45E1-BA5E-5F7C1904780B}" name="Column7968"/>
    <tableColumn id="7996" xr3:uid="{6FB7A067-BA9A-4BA3-8F7B-AF1A2CE013BD}" name="Column7969"/>
    <tableColumn id="7997" xr3:uid="{8D9D86F4-1096-4880-91EA-995938B3F917}" name="Column7970"/>
    <tableColumn id="7998" xr3:uid="{49924AB6-6DC4-41B0-9D18-44EE0F635BE5}" name="Column7971"/>
    <tableColumn id="7999" xr3:uid="{5C884A77-5D18-448B-ABE4-FD563558AABE}" name="Column7972"/>
    <tableColumn id="8000" xr3:uid="{3B335438-047C-4A8D-9211-3F1C9F06C233}" name="Column7973"/>
    <tableColumn id="8001" xr3:uid="{4216A7EF-429E-452C-9962-6E030DDE4C6A}" name="Column7974"/>
    <tableColumn id="8002" xr3:uid="{045885D6-17C7-4D1C-9B50-05B3C6D472BA}" name="Column7975"/>
    <tableColumn id="8003" xr3:uid="{8EC5DD82-AE84-4C95-9282-65D2B26ED46D}" name="Column7976"/>
    <tableColumn id="8004" xr3:uid="{B5B6E953-D1FA-4AAB-95EF-8CC7B95B8E27}" name="Column7977"/>
    <tableColumn id="8005" xr3:uid="{64F33CB9-2F4F-4824-8361-FBD8BA49C024}" name="Column7978"/>
    <tableColumn id="8006" xr3:uid="{E5867714-6F91-4496-829B-62D97CA4FC07}" name="Column7979"/>
    <tableColumn id="8007" xr3:uid="{6034BB12-BA47-40DF-854A-BC9782C6EC39}" name="Column7980"/>
    <tableColumn id="8008" xr3:uid="{53BFDA29-E5FB-437F-BFF6-1DC04EAEF7B2}" name="Column7981"/>
    <tableColumn id="8009" xr3:uid="{0868000A-85C2-4992-9D2C-62A2925ED59C}" name="Column7982"/>
    <tableColumn id="8010" xr3:uid="{BB2652AD-EA74-4F4E-805A-5B0C2E575C0F}" name="Column7983"/>
    <tableColumn id="8011" xr3:uid="{614EB350-CEE7-41B3-865E-7C27FA4F0780}" name="Column7984"/>
    <tableColumn id="8012" xr3:uid="{7225CBBC-D6B3-43A6-A724-19CD2EA83A66}" name="Column7985"/>
    <tableColumn id="8013" xr3:uid="{FE0C0C2C-114E-4C24-BA99-61C2C52E3C6C}" name="Column7986"/>
    <tableColumn id="8014" xr3:uid="{BFCF809B-2304-4365-B7BC-351D868E0079}" name="Column7987"/>
    <tableColumn id="8015" xr3:uid="{4156169C-2E22-48F4-BEC4-42EC6D775375}" name="Column7988"/>
    <tableColumn id="8016" xr3:uid="{08E80821-4F4B-4CB0-80E3-3B63C36627F2}" name="Column7989"/>
    <tableColumn id="8017" xr3:uid="{637CBB92-CE83-44F7-BDE2-70BF9CB053CA}" name="Column7990"/>
    <tableColumn id="8018" xr3:uid="{E2F62482-D6A3-450D-8BAB-A4AD1DAF5DDD}" name="Column7991"/>
    <tableColumn id="8019" xr3:uid="{54A2824B-E3F7-4968-A423-3C0A94BD610B}" name="Column7992"/>
    <tableColumn id="8020" xr3:uid="{061F594A-DC0D-4DF9-BF2E-2E70EE534543}" name="Column7993"/>
    <tableColumn id="8021" xr3:uid="{20E3E3D2-6496-443F-803E-E3EE9E9677E4}" name="Column7994"/>
    <tableColumn id="8022" xr3:uid="{B00695D7-6851-44B0-BC1F-5867224CBA85}" name="Column7995"/>
    <tableColumn id="8023" xr3:uid="{C0965C63-6B10-4547-BBD5-6A04B47230BD}" name="Column7996"/>
    <tableColumn id="8024" xr3:uid="{EB4B8DB1-5DE7-4C43-A0D2-87F128A1E56F}" name="Column7997"/>
    <tableColumn id="8025" xr3:uid="{810F9535-E208-49EA-85D8-5EFD9313F49D}" name="Column7998"/>
    <tableColumn id="8026" xr3:uid="{9DFBC494-B010-4EFB-8854-E1DCEE849574}" name="Column7999"/>
    <tableColumn id="8027" xr3:uid="{E2AD1FA6-7BF5-417B-8DEA-12DEFBF0F3EC}" name="Column8000"/>
    <tableColumn id="8028" xr3:uid="{E402421B-6652-4EBB-B891-8660C28E11F9}" name="Column8001"/>
    <tableColumn id="8029" xr3:uid="{24A39645-DB67-4F37-94AC-C3807EF250F0}" name="Column8002"/>
    <tableColumn id="8030" xr3:uid="{297E9A52-80F5-464F-B7C7-7F1258699E2D}" name="Column8003"/>
    <tableColumn id="8031" xr3:uid="{92505DCD-1E70-4F05-889C-B2A890AA3FF1}" name="Column8004"/>
    <tableColumn id="8032" xr3:uid="{53086570-4D80-4665-81F8-4C2398D02A7A}" name="Column8005"/>
    <tableColumn id="8033" xr3:uid="{91A24250-472B-464A-82EC-C6D2E4529E5D}" name="Column8006"/>
    <tableColumn id="8034" xr3:uid="{98B84D8C-EE32-47CE-884E-3B66427A581D}" name="Column8007"/>
    <tableColumn id="8035" xr3:uid="{2C0F0774-0A71-4CA0-8B39-EB5EBC35DE77}" name="Column8008"/>
    <tableColumn id="8036" xr3:uid="{CE9BB159-CC34-412A-9112-3AB7C08D4B0A}" name="Column8009"/>
    <tableColumn id="8037" xr3:uid="{D585A4D9-967B-4DE6-930C-EEB0A4B88BE6}" name="Column8010"/>
    <tableColumn id="8038" xr3:uid="{02FDD14B-15B5-43FA-A4E4-980F6690CF5F}" name="Column8011"/>
    <tableColumn id="8039" xr3:uid="{11613BAA-DB4E-43A4-A121-897112CF1733}" name="Column8012"/>
    <tableColumn id="8040" xr3:uid="{4DEF2198-F474-4845-B674-7DB9093F6F68}" name="Column8013"/>
    <tableColumn id="8041" xr3:uid="{C5A9079F-85D9-4D6E-A4C7-5C4D9EFAB65F}" name="Column8014"/>
    <tableColumn id="8042" xr3:uid="{F8047B96-264B-4DEC-8F84-CB76E441A762}" name="Column8015"/>
    <tableColumn id="8043" xr3:uid="{6D3893AB-81A9-48A9-8EA8-0075A0D50BD4}" name="Column8016"/>
    <tableColumn id="8044" xr3:uid="{47B2EC9F-90A0-4550-A99A-CDD9F59EDF3E}" name="Column8017"/>
    <tableColumn id="8045" xr3:uid="{60A6C9EE-EA50-479F-A4BC-41802BA6C7B8}" name="Column8018"/>
    <tableColumn id="8046" xr3:uid="{70350B0E-CD21-46A6-8014-F6957C8B050B}" name="Column8019"/>
    <tableColumn id="8047" xr3:uid="{22994AA3-6337-4D55-ABE2-3C8FA91B094D}" name="Column8020"/>
    <tableColumn id="8048" xr3:uid="{908B82C7-8016-4F46-8B1A-EF725896F534}" name="Column8021"/>
    <tableColumn id="8049" xr3:uid="{B145EB73-18BE-42A3-9F9C-7D3A04720E42}" name="Column8022"/>
    <tableColumn id="8050" xr3:uid="{ED777EE8-2F78-4EC7-96EB-657CBB6E7FBF}" name="Column8023"/>
    <tableColumn id="8051" xr3:uid="{4562CDB0-1E5B-40A1-B9FF-7A270D328FE7}" name="Column8024"/>
    <tableColumn id="8052" xr3:uid="{4B66B616-E77E-4C99-9566-FB796C44E4CA}" name="Column8025"/>
    <tableColumn id="8053" xr3:uid="{C585FC19-351F-426F-A8F9-4B8F962D58AA}" name="Column8026"/>
    <tableColumn id="8054" xr3:uid="{0D49DF17-CE22-4391-92CD-80C98466B3F2}" name="Column8027"/>
    <tableColumn id="8055" xr3:uid="{054C60B4-C0DD-44F8-82EE-63E63BB6370F}" name="Column8028"/>
    <tableColumn id="8056" xr3:uid="{342CEE60-542F-4B5F-806C-97EEDC6E4B22}" name="Column8029"/>
    <tableColumn id="8057" xr3:uid="{E59BCFEE-BB16-4B25-BE4F-DED256A1B2CE}" name="Column8030"/>
    <tableColumn id="8058" xr3:uid="{A25F9FCD-1040-4CD5-9694-D17E0BC65D14}" name="Column8031"/>
    <tableColumn id="8059" xr3:uid="{7E38B0D8-5347-4B33-8D72-95633A7A53A1}" name="Column8032"/>
    <tableColumn id="8060" xr3:uid="{D6FEFAC7-66BC-4E18-90DD-AD51D66A252C}" name="Column8033"/>
    <tableColumn id="8061" xr3:uid="{2153950F-4216-4EC7-8E9D-531FA049EB1E}" name="Column8034"/>
    <tableColumn id="8062" xr3:uid="{458343E2-C297-4DD7-8ED5-0BFF36309D9E}" name="Column8035"/>
    <tableColumn id="8063" xr3:uid="{4BD44FDF-2117-47EF-9A1E-D1F12DFAB0E7}" name="Column8036"/>
    <tableColumn id="8064" xr3:uid="{A8A7ACF8-1A23-4975-A3C4-B3D4B8F686FF}" name="Column8037"/>
    <tableColumn id="8065" xr3:uid="{F8404E2B-DF2F-4841-936F-9A5C8A9BFAEB}" name="Column8038"/>
    <tableColumn id="8066" xr3:uid="{D07D305A-008B-4B94-A4E8-A4706CA9D0C0}" name="Column8039"/>
    <tableColumn id="8067" xr3:uid="{6A41FD59-8023-486E-92A5-4B73B3416ED8}" name="Column8040"/>
    <tableColumn id="8068" xr3:uid="{69351FBE-BAF9-450B-96F5-AC17AC54AE2C}" name="Column8041"/>
    <tableColumn id="8069" xr3:uid="{D590F7C6-EB47-4946-8C9D-74B77DF17861}" name="Column8042"/>
    <tableColumn id="8070" xr3:uid="{635BDFAC-7CC7-49EB-845B-57379CBE1CD0}" name="Column8043"/>
    <tableColumn id="8071" xr3:uid="{2A03C71E-0F57-4E1E-AF3B-349F61CDD90D}" name="Column8044"/>
    <tableColumn id="8072" xr3:uid="{19668E67-D44F-464B-86C8-FFD2E58CE174}" name="Column8045"/>
    <tableColumn id="8073" xr3:uid="{8F2DC260-410F-40FB-953F-021A22C34E04}" name="Column8046"/>
    <tableColumn id="8074" xr3:uid="{8FA52540-05C3-471C-AAEE-B8914B18DCEE}" name="Column8047"/>
    <tableColumn id="8075" xr3:uid="{44F26EAA-A8A3-4B83-AC88-1F24DAC4DB2E}" name="Column8048"/>
    <tableColumn id="8076" xr3:uid="{2642653C-2718-4CF0-AEAE-0A020BB81C5C}" name="Column8049"/>
    <tableColumn id="8077" xr3:uid="{2055A395-A58E-4ED4-BFF7-D98250572532}" name="Column8050"/>
    <tableColumn id="8078" xr3:uid="{9B72B0F3-78B2-4218-9EF5-F0C5BE68A4C4}" name="Column8051"/>
    <tableColumn id="8079" xr3:uid="{7573053B-94C2-49F7-8769-F79728253C45}" name="Column8052"/>
    <tableColumn id="8080" xr3:uid="{07237077-DC21-46B2-92EB-C9A3DB1C2D5A}" name="Column8053"/>
    <tableColumn id="8081" xr3:uid="{8B8F4076-8DD9-4303-981D-A53ACDD37DE8}" name="Column8054"/>
    <tableColumn id="8082" xr3:uid="{EA6A201E-E8D4-4D1D-899F-F46D3566F748}" name="Column8055"/>
    <tableColumn id="8083" xr3:uid="{9F1C853D-0A6A-4543-81E2-43E66888E820}" name="Column8056"/>
    <tableColumn id="8084" xr3:uid="{2132392B-B55B-4854-B5D4-BAD5135D821D}" name="Column8057"/>
    <tableColumn id="8085" xr3:uid="{47E1615C-21F8-4A95-B62C-4F30AF177CF6}" name="Column8058"/>
    <tableColumn id="8086" xr3:uid="{C56F68E1-6E35-479E-836A-087D232B3E11}" name="Column8059"/>
    <tableColumn id="8087" xr3:uid="{54515DCB-12F0-4DC1-9DA0-46A56CAAD00C}" name="Column8060"/>
    <tableColumn id="8088" xr3:uid="{B786A8F3-599D-4ED4-B77E-BB4EE37BCF87}" name="Column8061"/>
    <tableColumn id="8089" xr3:uid="{6D09822C-7CA6-4ED2-A0E9-41F5559BB6B4}" name="Column8062"/>
    <tableColumn id="8090" xr3:uid="{F99C2B2A-AA48-4ABD-87F7-4C2A4CA10C14}" name="Column8063"/>
    <tableColumn id="8091" xr3:uid="{193329D6-E76E-4D30-943E-A4E3F2DB213A}" name="Column8064"/>
    <tableColumn id="8092" xr3:uid="{A9363925-80C3-4739-9980-7BA47632CB5F}" name="Column8065"/>
    <tableColumn id="8093" xr3:uid="{41A5D3D0-FCA9-4BE3-81FD-BFC1AED8A8AA}" name="Column8066"/>
    <tableColumn id="8094" xr3:uid="{621E7B6F-7FBB-4BC2-BF89-10408A5F2FF7}" name="Column8067"/>
    <tableColumn id="8095" xr3:uid="{5EAD6B8A-3D70-45B8-9479-91B3C267DC1F}" name="Column8068"/>
    <tableColumn id="8096" xr3:uid="{841DCD3E-4488-4110-9402-4489918A20F2}" name="Column8069"/>
    <tableColumn id="8097" xr3:uid="{AEA3C3B7-C0C2-449B-A54F-B6F20351EACD}" name="Column8070"/>
    <tableColumn id="8098" xr3:uid="{FB3A7AFC-6A55-4AB9-8FB9-49B418FD1DF3}" name="Column8071"/>
    <tableColumn id="8099" xr3:uid="{755DA88B-467E-4A54-92FF-09F82C647CAC}" name="Column8072"/>
    <tableColumn id="8100" xr3:uid="{948EDC18-85F6-4574-A9B5-20B4CF16C092}" name="Column8073"/>
    <tableColumn id="8101" xr3:uid="{DD8E51C7-9589-463F-8EAE-75D01DA3C985}" name="Column8074"/>
    <tableColumn id="8102" xr3:uid="{202AE6E2-AD78-473C-83C2-C229A1494589}" name="Column8075"/>
    <tableColumn id="8103" xr3:uid="{51B76600-8EDB-45F6-B2AE-2946E4D5C856}" name="Column8076"/>
    <tableColumn id="8104" xr3:uid="{F7B34662-5DE1-4EDD-896C-981E48DBA657}" name="Column8077"/>
    <tableColumn id="8105" xr3:uid="{115B6DD0-D807-4C4F-8376-E9868631343E}" name="Column8078"/>
    <tableColumn id="8106" xr3:uid="{1EAA0172-01C0-46BD-900B-F578F5ED414A}" name="Column8079"/>
    <tableColumn id="8107" xr3:uid="{2EC0D3EC-EE01-4826-A490-33368B1BEBBD}" name="Column8080"/>
    <tableColumn id="8108" xr3:uid="{6ECAA82F-5B47-46E8-8A67-30AD2F7A641A}" name="Column8081"/>
    <tableColumn id="8109" xr3:uid="{8FC757ED-7AB8-4BFA-9993-35006A816E78}" name="Column8082"/>
    <tableColumn id="8110" xr3:uid="{CA5C2451-612A-4D91-A2C3-5BEBD263E813}" name="Column8083"/>
    <tableColumn id="8111" xr3:uid="{832E69AB-45BE-4E67-8A57-6825CE7B4C7C}" name="Column8084"/>
    <tableColumn id="8112" xr3:uid="{0C039426-8658-407E-9D5F-3E6D1290C541}" name="Column8085"/>
    <tableColumn id="8113" xr3:uid="{FBFD0ED9-3564-4198-B663-85218A16DF75}" name="Column8086"/>
    <tableColumn id="8114" xr3:uid="{78819B30-450E-4298-A6CB-65B1C2CC2DC8}" name="Column8087"/>
    <tableColumn id="8115" xr3:uid="{B8D3BCF0-44EB-4981-9827-CA14D67D2B0B}" name="Column8088"/>
    <tableColumn id="8116" xr3:uid="{F8A8B333-BC93-4C5C-A7EC-E9752E6BC1D1}" name="Column8089"/>
    <tableColumn id="8117" xr3:uid="{FA3A61F6-EA5B-437F-BB1C-7A7AF96106CE}" name="Column8090"/>
    <tableColumn id="8118" xr3:uid="{EBCBD591-CA55-44BC-A31E-158764F2009F}" name="Column8091"/>
    <tableColumn id="8119" xr3:uid="{9C71F1E6-7A64-4650-8D3F-CCB4C139A8E9}" name="Column8092"/>
    <tableColumn id="8120" xr3:uid="{9716850B-F518-4A05-A974-5CB4D7D5A25F}" name="Column8093"/>
    <tableColumn id="8121" xr3:uid="{BACF5F7E-FF11-4B63-BD53-19C6D086B637}" name="Column8094"/>
    <tableColumn id="8122" xr3:uid="{EC518F7B-7438-45BD-8944-7BE1D355306B}" name="Column8095"/>
    <tableColumn id="8123" xr3:uid="{DC37B7B9-EF60-4B41-A0A5-E120600DD593}" name="Column8096"/>
    <tableColumn id="8124" xr3:uid="{CA06FC40-FCB8-46C2-A8EF-8EA51D372187}" name="Column8097"/>
    <tableColumn id="8125" xr3:uid="{8A3C11D9-6E47-4FA8-8280-1695B58A8BF0}" name="Column8098"/>
    <tableColumn id="8126" xr3:uid="{A61436B5-89F0-42CB-B211-316AB9956A3C}" name="Column8099"/>
    <tableColumn id="8127" xr3:uid="{E1DFB0BE-3CA9-4CFC-B397-2D7BAF99D54D}" name="Column8100"/>
    <tableColumn id="8128" xr3:uid="{519E10E5-E7B3-4A28-87CF-E64A34597519}" name="Column8101"/>
    <tableColumn id="8129" xr3:uid="{AFF8A5CA-AE84-4605-AC55-58EBAFA8673F}" name="Column8102"/>
    <tableColumn id="8130" xr3:uid="{EC719620-FD2B-4834-9929-9DEA3A722747}" name="Column8103"/>
    <tableColumn id="8131" xr3:uid="{D77FA4B1-A856-4786-954B-23A6554805F0}" name="Column8104"/>
    <tableColumn id="8132" xr3:uid="{BAE8D6A8-2B84-4A5A-A9FB-BC4C40433E5F}" name="Column8105"/>
    <tableColumn id="8133" xr3:uid="{D1AFD9EE-230B-492F-83BB-3610127E235B}" name="Column8106"/>
    <tableColumn id="8134" xr3:uid="{3FC72E6C-DD4D-408D-A5E2-A86796365286}" name="Column8107"/>
    <tableColumn id="8135" xr3:uid="{D6C06141-7DF0-47BF-B9D5-790180A874C5}" name="Column8108"/>
    <tableColumn id="8136" xr3:uid="{1055E8B3-AC3D-4D92-A6EA-034637BF8984}" name="Column8109"/>
    <tableColumn id="8137" xr3:uid="{CAF2935D-80D5-4186-B1DA-EFB298859F38}" name="Column8110"/>
    <tableColumn id="8138" xr3:uid="{A0B8A30A-C47E-49A5-885A-EB2BE0EEED56}" name="Column8111"/>
    <tableColumn id="8139" xr3:uid="{B64E4F3F-5B75-4ACC-8563-AFAB2269831B}" name="Column8112"/>
    <tableColumn id="8140" xr3:uid="{3FEC2B6D-5F4A-4099-B630-2ECA70F69BAF}" name="Column8113"/>
    <tableColumn id="8141" xr3:uid="{BF2C02D5-86AA-4287-AE13-263022302634}" name="Column8114"/>
    <tableColumn id="8142" xr3:uid="{676729E0-5C1A-43CC-8DE1-27203C826D47}" name="Column8115"/>
    <tableColumn id="8143" xr3:uid="{49E0B445-4CEA-448A-8714-F725D7CA65EB}" name="Column8116"/>
    <tableColumn id="8144" xr3:uid="{C8043ADC-6E5D-414F-BD71-F32D73D7EE4B}" name="Column8117"/>
    <tableColumn id="8145" xr3:uid="{D73E4A37-8018-41C0-A559-1BC5AB38B7E7}" name="Column8118"/>
    <tableColumn id="8146" xr3:uid="{81E80186-58D8-4BA8-BB63-680ADDC24EC6}" name="Column8119"/>
    <tableColumn id="8147" xr3:uid="{D4CE1060-D917-4FF4-BA49-6E716C31A3AF}" name="Column8120"/>
    <tableColumn id="8148" xr3:uid="{0FCB4BC8-40B9-4C0F-BAF9-089CCD4E2A58}" name="Column8121"/>
    <tableColumn id="8149" xr3:uid="{7B189926-FA07-4BF1-AB72-72D67BB030BC}" name="Column8122"/>
    <tableColumn id="8150" xr3:uid="{C779ECC8-456A-4DF7-89A1-43FF6632485F}" name="Column8123"/>
    <tableColumn id="8151" xr3:uid="{F417235A-4282-4B29-BC14-B340754B97F5}" name="Column8124"/>
    <tableColumn id="8152" xr3:uid="{B69063E5-E261-4799-9946-67FF3E8B6A33}" name="Column8125"/>
    <tableColumn id="8153" xr3:uid="{CDE11AE7-F4BC-40B2-B367-7CB8CB1130D1}" name="Column8126"/>
    <tableColumn id="8154" xr3:uid="{CB6251D1-B970-45A3-91E7-2012B9A0191A}" name="Column8127"/>
    <tableColumn id="8155" xr3:uid="{3BC724A6-CBB5-49E5-B407-8A99F9741B3E}" name="Column8128"/>
    <tableColumn id="8156" xr3:uid="{B11F384E-CE8F-4551-9194-683D8310B9EF}" name="Column8129"/>
    <tableColumn id="8157" xr3:uid="{77607CEB-236C-450C-972B-F1CBC933E09A}" name="Column8130"/>
    <tableColumn id="8158" xr3:uid="{8C30CBF0-4389-49E6-8C10-D48BC8374C3E}" name="Column8131"/>
    <tableColumn id="8159" xr3:uid="{A6D54343-1EB6-4A73-BEF6-93DCE35E8C3F}" name="Column8132"/>
    <tableColumn id="8160" xr3:uid="{6EF11692-20B9-4D3A-9608-6C2FCE67C2D8}" name="Column8133"/>
    <tableColumn id="8161" xr3:uid="{633AD900-62F3-4E1F-BDFC-BC6E520DDBC7}" name="Column8134"/>
    <tableColumn id="8162" xr3:uid="{A2CC1CB8-5187-4C22-A16B-661834BE417A}" name="Column8135"/>
    <tableColumn id="8163" xr3:uid="{D22C6204-800E-4A87-840C-CAF7717C5BE6}" name="Column8136"/>
    <tableColumn id="8164" xr3:uid="{659CA183-555F-45E5-A57F-E8FA2444C06D}" name="Column8137"/>
    <tableColumn id="8165" xr3:uid="{06E739E3-2896-44D5-81AF-A160F834264D}" name="Column8138"/>
    <tableColumn id="8166" xr3:uid="{5B7D923D-137E-40B3-A7AA-59163877B4E9}" name="Column8139"/>
    <tableColumn id="8167" xr3:uid="{8654D03E-F5AE-48E2-BA57-05153B987E65}" name="Column8140"/>
    <tableColumn id="8168" xr3:uid="{5975E01F-F73E-472F-BB2E-A5822BB0C44C}" name="Column8141"/>
    <tableColumn id="8169" xr3:uid="{52378EE5-C460-4759-93D6-9E5CEBC267B3}" name="Column8142"/>
    <tableColumn id="8170" xr3:uid="{ACF5C117-6797-4493-9340-3033F63D2358}" name="Column8143"/>
    <tableColumn id="8171" xr3:uid="{5B442374-7D27-4806-9386-96EAFFD62239}" name="Column8144"/>
    <tableColumn id="8172" xr3:uid="{B7D7C95E-9AE0-4A4F-8003-5EABC0F16B02}" name="Column8145"/>
    <tableColumn id="8173" xr3:uid="{32DA2AF3-D8E7-463E-8B00-CADEFE9BDF33}" name="Column8146"/>
    <tableColumn id="8174" xr3:uid="{0F6B6284-E56B-4052-AB08-FA0E6F07EC8F}" name="Column8147"/>
    <tableColumn id="8175" xr3:uid="{7AECF1CE-CADD-48F1-9C38-4AD219C5E850}" name="Column8148"/>
    <tableColumn id="8176" xr3:uid="{3E4367A2-0EAC-49A2-A5E4-4AA79E402A06}" name="Column8149"/>
    <tableColumn id="8177" xr3:uid="{A8B88773-CBD7-45DC-AF1F-CD214E2D6C3B}" name="Column8150"/>
    <tableColumn id="8178" xr3:uid="{58A538D9-28CA-4F9B-A82A-3B58CBE11815}" name="Column8151"/>
    <tableColumn id="8179" xr3:uid="{774C92D2-7BCA-4F61-A441-FE265A2391B3}" name="Column8152"/>
    <tableColumn id="8180" xr3:uid="{5BAD247D-8129-4963-B994-F871E238379C}" name="Column8153"/>
    <tableColumn id="8181" xr3:uid="{B8F2E130-6973-4302-8ED5-4BC978CC5AA6}" name="Column8154"/>
    <tableColumn id="8182" xr3:uid="{ADC7EC77-1B46-4FB4-A8A3-B18612CBAD64}" name="Column8155"/>
    <tableColumn id="8183" xr3:uid="{A2419F05-3DB7-403B-A48E-A56B9F545163}" name="Column8156"/>
    <tableColumn id="8184" xr3:uid="{1532370B-472A-4DE8-8155-493ACB53825F}" name="Column8157"/>
    <tableColumn id="8185" xr3:uid="{1DBCE25C-891A-476C-A613-1BC3FDCAA07B}" name="Column8158"/>
    <tableColumn id="8186" xr3:uid="{81655A34-295C-4DF7-8A42-1A7462AB17B3}" name="Column8159"/>
    <tableColumn id="8187" xr3:uid="{307F5BC6-07E5-4B0E-B673-81D1B70D2B39}" name="Column8160"/>
    <tableColumn id="8188" xr3:uid="{6163230D-A464-4379-9592-6BE139606AB2}" name="Column8161"/>
    <tableColumn id="8189" xr3:uid="{5166783D-08D4-4D4B-ADC6-B5B1C6A1F6BB}" name="Column8162"/>
    <tableColumn id="8190" xr3:uid="{BF7AC622-620C-43EC-AE11-5B9EEBB1188B}" name="Column8163"/>
    <tableColumn id="8191" xr3:uid="{F9D4F845-E20C-4871-A7A5-E4E498B25873}" name="Column8164"/>
    <tableColumn id="8192" xr3:uid="{9D1BED52-ADB2-4185-9627-89BDB3F31F29}" name="Column8165"/>
    <tableColumn id="8193" xr3:uid="{E58A697F-9AFB-4D8D-9F1A-58EF74FE5AB2}" name="Column8166"/>
    <tableColumn id="8194" xr3:uid="{0C2718BC-131A-4264-869F-4ACB350EAB26}" name="Column8167"/>
    <tableColumn id="8195" xr3:uid="{E2C3BED1-A81D-40BA-9C60-9CCB6BD4D218}" name="Column8168"/>
    <tableColumn id="8196" xr3:uid="{A15F9210-B1A8-4AF7-A4B0-A4E4FF80DA4F}" name="Column8169"/>
    <tableColumn id="8197" xr3:uid="{16143B65-8602-4FDE-ACFC-91FC2BD44135}" name="Column8170"/>
    <tableColumn id="8198" xr3:uid="{D2B4CB0E-1DC2-4A56-BF4E-4C07DC0D8A41}" name="Column8171"/>
    <tableColumn id="8199" xr3:uid="{FC0EFA7E-4BE5-4DFC-B161-914989561A4A}" name="Column8172"/>
    <tableColumn id="8200" xr3:uid="{302C73BE-DADC-427E-B032-132F4C8F836D}" name="Column8173"/>
    <tableColumn id="8201" xr3:uid="{7D80725C-ABC7-4E91-A56C-4E40B9E6A0F6}" name="Column8174"/>
    <tableColumn id="8202" xr3:uid="{DEE9CCBE-5F74-47FA-8470-E6406A4AA644}" name="Column8175"/>
    <tableColumn id="8203" xr3:uid="{67E19F9B-4300-4C7E-9B26-621C2A8238F4}" name="Column8176"/>
    <tableColumn id="8204" xr3:uid="{ADCA8DD3-86C1-44E5-8B1A-B5B0EAF39175}" name="Column8177"/>
    <tableColumn id="8205" xr3:uid="{8EA6EA4C-1C7A-4D07-A803-1F0870F9263E}" name="Column8178"/>
    <tableColumn id="8206" xr3:uid="{4F81EBD5-2988-4B05-970C-74122C689027}" name="Column8179"/>
    <tableColumn id="8207" xr3:uid="{36A8F701-7DBF-4BF5-ABF4-B57CC37E1037}" name="Column8180"/>
    <tableColumn id="8208" xr3:uid="{BF8EC5EA-059F-495A-B0C6-E2B69A35D18E}" name="Column8181"/>
    <tableColumn id="8209" xr3:uid="{AD75FED7-9196-4769-94AE-38F176C1E55A}" name="Column8182"/>
    <tableColumn id="8210" xr3:uid="{94075E8F-9195-44F1-AB4D-70DED71D140A}" name="Column8183"/>
    <tableColumn id="8211" xr3:uid="{213D763F-D4AB-4537-A35F-A71A4DECEE47}" name="Column8184"/>
    <tableColumn id="8212" xr3:uid="{DB13B58E-FC6F-42A6-AF11-89DCCB84BB68}" name="Column8185"/>
    <tableColumn id="8213" xr3:uid="{D432CC04-21CE-4D9D-BBE2-01AD6383D295}" name="Column8186"/>
    <tableColumn id="8214" xr3:uid="{4374B19A-5640-4817-898D-0E13E1AD7011}" name="Column8187"/>
    <tableColumn id="8215" xr3:uid="{18AF5827-E1C2-4EAE-84A7-07C94F9B746C}" name="Column8188"/>
    <tableColumn id="8216" xr3:uid="{0F13E725-6865-4ED5-8370-52FA59EF3146}" name="Column8189"/>
    <tableColumn id="8217" xr3:uid="{9E753CEC-C9BA-407A-A65C-39644F62156B}" name="Column8190"/>
    <tableColumn id="8218" xr3:uid="{99F55467-CA73-48AF-B232-D97EDCC5FDF0}" name="Column8191"/>
    <tableColumn id="8219" xr3:uid="{BA0255DC-7EC2-4BE6-8165-122EB9E81A3E}" name="Column8192"/>
    <tableColumn id="8220" xr3:uid="{8F779296-A6DE-480C-A89D-030F30FB54AB}" name="Column8193"/>
    <tableColumn id="8221" xr3:uid="{CB2028C8-38F2-483B-A8BF-1AFD806C9773}" name="Column8194"/>
    <tableColumn id="8222" xr3:uid="{1016EEE7-5A01-497A-92FC-96BC9BCCDB5B}" name="Column8195"/>
    <tableColumn id="8223" xr3:uid="{DA7F3F1D-5BFD-40F4-BEAC-95D064A38669}" name="Column8196"/>
    <tableColumn id="8224" xr3:uid="{A8CD5FFB-68B9-483B-AC12-93BB30A772D3}" name="Column8197"/>
    <tableColumn id="8225" xr3:uid="{FF8740E6-1307-42DD-8D81-B619A5153948}" name="Column8198"/>
    <tableColumn id="8226" xr3:uid="{F8C673AC-C452-42EB-83D7-48A46659BE84}" name="Column8199"/>
    <tableColumn id="8227" xr3:uid="{ADF8970C-BD66-46B9-A237-42467E5C0B8F}" name="Column8200"/>
    <tableColumn id="8228" xr3:uid="{B0FC323D-D8AD-4947-BDF5-C9824227FF83}" name="Column8201"/>
    <tableColumn id="8229" xr3:uid="{CA0A8484-79C7-4CB2-8DB1-DCE21037F491}" name="Column8202"/>
    <tableColumn id="8230" xr3:uid="{1D942010-9B0A-4D2F-9DA2-EBDBED7803F6}" name="Column8203"/>
    <tableColumn id="8231" xr3:uid="{0395DD7C-AD83-493F-9F6A-6536331007C3}" name="Column8204"/>
    <tableColumn id="8232" xr3:uid="{00A749CD-390E-413E-8A80-807D9F9920ED}" name="Column8205"/>
    <tableColumn id="8233" xr3:uid="{AE19A8AF-EC89-4E6F-8FE7-F98B45DB4206}" name="Column8206"/>
    <tableColumn id="8234" xr3:uid="{9D9F7230-394B-4DE2-B321-4329D29187F5}" name="Column8207"/>
    <tableColumn id="8235" xr3:uid="{E45C7867-8C5D-424F-926D-0A8E48B6D3BE}" name="Column8208"/>
    <tableColumn id="8236" xr3:uid="{9CEDA9A6-8CEF-46D6-AFAA-2DFDE0392D0E}" name="Column8209"/>
    <tableColumn id="8237" xr3:uid="{92704288-FF47-40C7-A8E6-E92C4F2618B8}" name="Column8210"/>
    <tableColumn id="8238" xr3:uid="{42757EE7-2457-486C-B340-5CB88255E0BB}" name="Column8211"/>
    <tableColumn id="8239" xr3:uid="{D6DE66CF-970F-414A-99F5-43DC3186787C}" name="Column8212"/>
    <tableColumn id="8240" xr3:uid="{C07FE22F-B2D4-409D-87A0-45EC0C24184B}" name="Column8213"/>
    <tableColumn id="8241" xr3:uid="{4D6363DF-DDEA-4FE1-B2BB-33BFA37FE645}" name="Column8214"/>
    <tableColumn id="8242" xr3:uid="{8A7F77C7-7577-4657-A2A7-57F1CC6467D0}" name="Column8215"/>
    <tableColumn id="8243" xr3:uid="{B67B0A1B-3A92-455C-B151-24C8777CF1BC}" name="Column8216"/>
    <tableColumn id="8244" xr3:uid="{3564210B-2180-448F-B467-6325F0098AB1}" name="Column8217"/>
    <tableColumn id="8245" xr3:uid="{77BD90B7-DCB6-401C-AC81-10D374A25677}" name="Column8218"/>
    <tableColumn id="8246" xr3:uid="{40899309-B4A5-4C8C-AB13-2E880D148600}" name="Column8219"/>
    <tableColumn id="8247" xr3:uid="{0E00DEC0-CAA2-4FD1-9DBD-7FF24ECAE252}" name="Column8220"/>
    <tableColumn id="8248" xr3:uid="{4533F2DB-731F-4F25-9F6E-98C86887CF81}" name="Column8221"/>
    <tableColumn id="8249" xr3:uid="{AF258D03-0A93-415B-85F3-AC250B281C4E}" name="Column8222"/>
    <tableColumn id="8250" xr3:uid="{69949815-CEFC-4733-B47F-D489052A2406}" name="Column8223"/>
    <tableColumn id="8251" xr3:uid="{DC64B1E7-6523-4C83-9298-EA51CBB61197}" name="Column8224"/>
    <tableColumn id="8252" xr3:uid="{0D1D2F8D-9DD4-4694-884D-EBEC864D7B69}" name="Column8225"/>
    <tableColumn id="8253" xr3:uid="{BE48DF80-894C-4752-8A53-55EC46FFE758}" name="Column8226"/>
    <tableColumn id="8254" xr3:uid="{243343AA-F92C-4098-B178-9A00E934E9DF}" name="Column8227"/>
    <tableColumn id="8255" xr3:uid="{8DA49EB3-AAE8-4BFB-88FF-4A278EFDBABF}" name="Column8228"/>
    <tableColumn id="8256" xr3:uid="{6EFF8E01-F99D-498B-B45D-AF466A027F5D}" name="Column8229"/>
    <tableColumn id="8257" xr3:uid="{F5488A3F-6BDA-4BB7-8F99-BD65666EEF5C}" name="Column8230"/>
    <tableColumn id="8258" xr3:uid="{4BB2527B-49B7-42BE-A51A-A0B74530CDD8}" name="Column8231"/>
    <tableColumn id="8259" xr3:uid="{817C0491-5C63-4A32-A359-BF50FD7BDA8D}" name="Column8232"/>
    <tableColumn id="8260" xr3:uid="{E537367A-F0FC-4D4E-9389-FA8B737D494F}" name="Column8233"/>
    <tableColumn id="8261" xr3:uid="{C2BF82A9-E627-4B14-96BD-322A3FED2DAC}" name="Column8234"/>
    <tableColumn id="8262" xr3:uid="{C0C561D8-80D1-4AB2-B7C8-44DE0786F0A0}" name="Column8235"/>
    <tableColumn id="8263" xr3:uid="{095B3282-4E93-48C9-B09B-BE1037A07945}" name="Column8236"/>
    <tableColumn id="8264" xr3:uid="{8CDA2D7B-4691-46AA-B0A8-C21EB299E1A2}" name="Column8237"/>
    <tableColumn id="8265" xr3:uid="{E932983F-1302-4CB3-A2BF-06C633BDFC47}" name="Column8238"/>
    <tableColumn id="8266" xr3:uid="{542FD8E2-D4B6-4A8C-B5B1-C13D005B2A2B}" name="Column8239"/>
    <tableColumn id="8267" xr3:uid="{F04DB6D0-A94A-4C6A-B615-5CA74B50586B}" name="Column8240"/>
    <tableColumn id="8268" xr3:uid="{CD326622-75F9-4800-984E-DD8EB1ED68C4}" name="Column8241"/>
    <tableColumn id="8269" xr3:uid="{B453E663-90E0-4D93-BFF7-D0BED6D0ECB1}" name="Column8242"/>
    <tableColumn id="8270" xr3:uid="{05078761-84C2-4563-9D6D-63389FADBC93}" name="Column8243"/>
    <tableColumn id="8271" xr3:uid="{FB946321-B120-4A12-8168-B0E17A5984E2}" name="Column8244"/>
    <tableColumn id="8272" xr3:uid="{1343B5BF-55D2-4091-8EE3-90DE7CBAE9E3}" name="Column8245"/>
    <tableColumn id="8273" xr3:uid="{5A54A114-E1BC-45D7-87DC-76FEF85E1D22}" name="Column8246"/>
    <tableColumn id="8274" xr3:uid="{52AD97D9-97CC-4E10-B6BA-2088BF296EEB}" name="Column8247"/>
    <tableColumn id="8275" xr3:uid="{9079394F-DEB9-496E-9D57-36C314832EAD}" name="Column8248"/>
    <tableColumn id="8276" xr3:uid="{037C50D4-7400-4227-BA19-CD3374286BE9}" name="Column8249"/>
    <tableColumn id="8277" xr3:uid="{2D25BD84-088B-4BBA-A735-37F512E2D025}" name="Column8250"/>
    <tableColumn id="8278" xr3:uid="{FA735B15-8629-4200-97E2-44CD66E6C82A}" name="Column8251"/>
    <tableColumn id="8279" xr3:uid="{3AEFD680-3C59-4515-BDCE-466A9A881772}" name="Column8252"/>
    <tableColumn id="8280" xr3:uid="{958D3126-1AEB-47E5-BE54-FD3154E23450}" name="Column8253"/>
    <tableColumn id="8281" xr3:uid="{4ADD2A58-5744-4632-B866-630E585A5084}" name="Column8254"/>
    <tableColumn id="8282" xr3:uid="{92E48ED8-6F35-4253-B681-D62443B35712}" name="Column8255"/>
    <tableColumn id="8283" xr3:uid="{4FC6EA7E-5C56-406B-868E-EB3CC025F24C}" name="Column8256"/>
    <tableColumn id="8284" xr3:uid="{78023AA8-B1C4-4EEB-8845-C7111F3FA833}" name="Column8257"/>
    <tableColumn id="8285" xr3:uid="{0A55F0E2-EB17-4FD9-8C5D-E03E31EC8A54}" name="Column8258"/>
    <tableColumn id="8286" xr3:uid="{3FE37B57-F38C-43B9-B684-D9962C47BDB3}" name="Column8259"/>
    <tableColumn id="8287" xr3:uid="{8AD88837-6BBC-44E6-B7C2-6775DC15AC08}" name="Column8260"/>
    <tableColumn id="8288" xr3:uid="{D8541114-D8D0-4D3D-8E14-88653DE59785}" name="Column8261"/>
    <tableColumn id="8289" xr3:uid="{21908050-2D73-439D-8656-70D424508DE1}" name="Column8262"/>
    <tableColumn id="8290" xr3:uid="{9B6694CC-E00A-46B8-97E5-875108D67482}" name="Column8263"/>
    <tableColumn id="8291" xr3:uid="{70421FE7-C4EC-4887-9473-1CF5CE7B7325}" name="Column8264"/>
    <tableColumn id="8292" xr3:uid="{31D40819-DD8B-4174-A543-33BFBFAA2B96}" name="Column8265"/>
    <tableColumn id="8293" xr3:uid="{9C1F3678-0AE6-4B27-A581-5EADADD3D696}" name="Column8266"/>
    <tableColumn id="8294" xr3:uid="{EE6F4BBB-FB1A-48F0-9AE5-FD5A33964EDE}" name="Column8267"/>
    <tableColumn id="8295" xr3:uid="{836CA035-38E7-4C2E-ACC6-2C87FE032688}" name="Column8268"/>
    <tableColumn id="8296" xr3:uid="{4E4CF725-A0E9-4ECB-A093-891B5CEFC4EB}" name="Column8269"/>
    <tableColumn id="8297" xr3:uid="{2B10ECF7-3766-45AB-A98E-20B76CFCB643}" name="Column8270"/>
    <tableColumn id="8298" xr3:uid="{4B5B644B-A6DE-4EF4-9D7B-ECE15A0F55F3}" name="Column8271"/>
    <tableColumn id="8299" xr3:uid="{27A8AFA8-5A93-45BA-992F-26E086D6CFAE}" name="Column8272"/>
    <tableColumn id="8300" xr3:uid="{A095329E-EB4A-4E74-B5ED-E7BBE4C76E7F}" name="Column8273"/>
    <tableColumn id="8301" xr3:uid="{6499EE5E-B127-43F1-9E50-BAF6A90EAE60}" name="Column8274"/>
    <tableColumn id="8302" xr3:uid="{CA70F65E-44DB-4974-B75D-24CD5E0DDFA6}" name="Column8275"/>
    <tableColumn id="8303" xr3:uid="{EE43C38B-FFFB-446B-B1EF-DB4896184C68}" name="Column8276"/>
    <tableColumn id="8304" xr3:uid="{884FABED-6967-4326-846A-3032327A747D}" name="Column8277"/>
    <tableColumn id="8305" xr3:uid="{795F5065-5417-46E5-8C2C-AC388B07D66F}" name="Column8278"/>
    <tableColumn id="8306" xr3:uid="{35A26DA1-7DDC-4B52-9925-E6EE97BA93B7}" name="Column8279"/>
    <tableColumn id="8307" xr3:uid="{6FD88D15-50BC-4159-A18B-0816DFA72EB3}" name="Column8280"/>
    <tableColumn id="8308" xr3:uid="{DF2164EA-DD29-47E2-B910-1F61B4AC5D06}" name="Column8281"/>
    <tableColumn id="8309" xr3:uid="{6F7FF1DF-6066-4DA9-AD5F-73FCBA71123B}" name="Column8282"/>
    <tableColumn id="8310" xr3:uid="{CCE308F2-A37F-41C7-BD02-1B3186823F7B}" name="Column8283"/>
    <tableColumn id="8311" xr3:uid="{2ACCE664-A694-4323-86AC-DD8C5D5B577A}" name="Column8284"/>
    <tableColumn id="8312" xr3:uid="{AFA50F9B-6B8C-420C-B52F-EF1805E4D1AD}" name="Column8285"/>
    <tableColumn id="8313" xr3:uid="{32B328C3-DFEC-4206-8F32-426965F486BF}" name="Column8286"/>
    <tableColumn id="8314" xr3:uid="{1540BBF4-4C18-4426-9C85-179899BD0FFC}" name="Column8287"/>
    <tableColumn id="8315" xr3:uid="{9C6F6492-9E2A-458F-BC12-BFAE7C56FD2D}" name="Column8288"/>
    <tableColumn id="8316" xr3:uid="{9AC6DCCC-B29A-4C1A-94B3-0514F69642BC}" name="Column8289"/>
    <tableColumn id="8317" xr3:uid="{1C715F8D-6272-4C65-828E-A17FF9643E9D}" name="Column8290"/>
    <tableColumn id="8318" xr3:uid="{64B97D6C-A2F9-4137-A2AB-76D6FA7D129B}" name="Column8291"/>
    <tableColumn id="8319" xr3:uid="{EFF09076-4FB6-4545-867C-46F57B00CF3B}" name="Column8292"/>
    <tableColumn id="8320" xr3:uid="{71B79BD5-58D1-4DE1-A9CD-2128FB25E54E}" name="Column8293"/>
    <tableColumn id="8321" xr3:uid="{D15DFE30-8F29-48E2-9684-FA2EA8AA0073}" name="Column8294"/>
    <tableColumn id="8322" xr3:uid="{950377BC-3EC5-4E83-8076-560CF0F464A2}" name="Column8295"/>
    <tableColumn id="8323" xr3:uid="{54590FEA-CF05-4A34-94BF-1B2D9333793C}" name="Column8296"/>
    <tableColumn id="8324" xr3:uid="{F94927D4-386D-49BF-ADAE-B3C9C70F69F6}" name="Column8297"/>
    <tableColumn id="8325" xr3:uid="{FD51798A-1FBC-4478-BCB6-87F10A9EF886}" name="Column8298"/>
    <tableColumn id="8326" xr3:uid="{B84A762C-28AE-4852-A63D-A59EF7E13FBE}" name="Column8299"/>
    <tableColumn id="8327" xr3:uid="{AA9DA48D-D6A6-4209-B863-4BD6A9A97315}" name="Column8300"/>
    <tableColumn id="8328" xr3:uid="{70D5D92C-E2FE-4DF5-AAB4-4EE592D68EE5}" name="Column8301"/>
    <tableColumn id="8329" xr3:uid="{DE5ECA43-0464-4CBA-B2DF-337D9839416C}" name="Column8302"/>
    <tableColumn id="8330" xr3:uid="{9076D80E-6C4E-4F04-84AC-EAB24C21B175}" name="Column8303"/>
    <tableColumn id="8331" xr3:uid="{71BE79EF-DABD-4975-8237-2DE5754C1A21}" name="Column8304"/>
    <tableColumn id="8332" xr3:uid="{14EE6481-83DF-422B-9146-4DB4EE13BBF1}" name="Column8305"/>
    <tableColumn id="8333" xr3:uid="{76B540BE-698F-4DAC-AAB2-5DEBD3794287}" name="Column8306"/>
    <tableColumn id="8334" xr3:uid="{3739423B-61B3-4E08-932A-D161F418FEF3}" name="Column8307"/>
    <tableColumn id="8335" xr3:uid="{412F883E-E4C4-4903-8134-3CD130A06D57}" name="Column8308"/>
    <tableColumn id="8336" xr3:uid="{8894CF55-CBD5-4710-AAE6-C0F366405313}" name="Column8309"/>
    <tableColumn id="8337" xr3:uid="{55B38299-2E56-4EAD-A31A-EDD4F3F073E2}" name="Column8310"/>
    <tableColumn id="8338" xr3:uid="{66D061F0-3888-499E-A871-462A99D2103E}" name="Column8311"/>
    <tableColumn id="8339" xr3:uid="{988D9317-F490-4329-81AD-1CDC51D76325}" name="Column8312"/>
    <tableColumn id="8340" xr3:uid="{D218BC20-6795-40C5-AD5E-8D0C630EEBA1}" name="Column8313"/>
    <tableColumn id="8341" xr3:uid="{57639535-227E-4098-BAF0-5423E824F90E}" name="Column8314"/>
    <tableColumn id="8342" xr3:uid="{DF5EA304-1927-45E1-847E-969C6B9F77E5}" name="Column8315"/>
    <tableColumn id="8343" xr3:uid="{A0F6B7CB-C8C0-484D-B120-56ECFF047B32}" name="Column8316"/>
    <tableColumn id="8344" xr3:uid="{9B11975D-8E7A-4BB7-9D63-83AEBBB2FE67}" name="Column8317"/>
    <tableColumn id="8345" xr3:uid="{34A252D2-2909-416E-B8C0-4620620A8CA0}" name="Column8318"/>
    <tableColumn id="8346" xr3:uid="{39EE2F78-BEFD-4BDE-8483-B219DD11F4BC}" name="Column8319"/>
    <tableColumn id="8347" xr3:uid="{910EE006-F49B-43B7-A4EA-D0B95C68F402}" name="Column8320"/>
    <tableColumn id="8348" xr3:uid="{26FE1307-2C2A-411B-9A1E-83DDA79A9829}" name="Column8321"/>
    <tableColumn id="8349" xr3:uid="{18081DBC-9EF4-410D-AB83-6B8FF94498DE}" name="Column8322"/>
    <tableColumn id="8350" xr3:uid="{451CC2A3-FF36-4B31-A461-657F0D64B84B}" name="Column8323"/>
    <tableColumn id="8351" xr3:uid="{ACF361BC-140A-430C-A16B-275D1DFD32E9}" name="Column8324"/>
    <tableColumn id="8352" xr3:uid="{67FE033B-09CE-4FBE-96CC-1F519732E226}" name="Column8325"/>
    <tableColumn id="8353" xr3:uid="{3A87D3BB-0F00-47BB-98CA-B270A47D9371}" name="Column8326"/>
    <tableColumn id="8354" xr3:uid="{B54F3264-229E-4ED9-B94C-CC15659E03B3}" name="Column8327"/>
    <tableColumn id="8355" xr3:uid="{1EEFB794-D1E7-4761-8A91-14E728DC6E4B}" name="Column8328"/>
    <tableColumn id="8356" xr3:uid="{B2942CFB-D9AA-49B0-85C5-B9B347DA3BA8}" name="Column8329"/>
    <tableColumn id="8357" xr3:uid="{617CF456-3F59-4435-807C-636C403D4390}" name="Column8330"/>
    <tableColumn id="8358" xr3:uid="{A89A7560-25B1-4BD7-B8B9-C39204BFA540}" name="Column8331"/>
    <tableColumn id="8359" xr3:uid="{296E1FDD-13DC-44C5-B1A0-B34C7862432D}" name="Column8332"/>
    <tableColumn id="8360" xr3:uid="{274DF7D3-747F-4AB4-8040-6286E22659C7}" name="Column8333"/>
    <tableColumn id="8361" xr3:uid="{627A7196-3C4C-402F-9309-4929609E1978}" name="Column8334"/>
    <tableColumn id="8362" xr3:uid="{C3091AB5-03B2-41B6-91B8-C19F01F8E0B5}" name="Column8335"/>
    <tableColumn id="8363" xr3:uid="{144288A9-A45C-448B-B167-0F513A2D6BD6}" name="Column8336"/>
    <tableColumn id="8364" xr3:uid="{1E986A7E-665D-45F1-B3BF-6306148DD9F5}" name="Column8337"/>
    <tableColumn id="8365" xr3:uid="{405EA2E5-6F90-4D5B-8CAB-58574481F847}" name="Column8338"/>
    <tableColumn id="8366" xr3:uid="{9CDDA4E5-8C86-4412-9349-D89A998FE00E}" name="Column8339"/>
    <tableColumn id="8367" xr3:uid="{52306F4F-7978-4D61-9CE7-26B47AB511EE}" name="Column8340"/>
    <tableColumn id="8368" xr3:uid="{FCBD48D4-F9A0-4948-9640-82FE40790615}" name="Column8341"/>
    <tableColumn id="8369" xr3:uid="{F5C87759-73C3-4CD8-A282-FAA04ED7CE04}" name="Column8342"/>
    <tableColumn id="8370" xr3:uid="{A59BC784-EE87-4353-9B36-BDD39C45EBDC}" name="Column8343"/>
    <tableColumn id="8371" xr3:uid="{425588C8-4DAE-4DDC-BDCE-ACC45C367B35}" name="Column8344"/>
    <tableColumn id="8372" xr3:uid="{C5E297D1-0166-40E0-BECD-EA229786B99A}" name="Column8345"/>
    <tableColumn id="8373" xr3:uid="{9D53C68D-8276-4C65-BD78-DEF109391E39}" name="Column8346"/>
    <tableColumn id="8374" xr3:uid="{E677C7CB-7A85-48EC-9A18-3D0C9EBA378B}" name="Column8347"/>
    <tableColumn id="8375" xr3:uid="{DADB698C-3364-49C1-AA19-B44835C8F280}" name="Column8348"/>
    <tableColumn id="8376" xr3:uid="{CA1BBA6A-CAE1-44C4-A977-10E65CC07A96}" name="Column8349"/>
    <tableColumn id="8377" xr3:uid="{5DAD8790-E6E1-438C-99BB-B7E456498883}" name="Column8350"/>
    <tableColumn id="8378" xr3:uid="{97763A9E-EF58-4D04-B794-77D535813084}" name="Column8351"/>
    <tableColumn id="8379" xr3:uid="{9047D6AA-3B1C-4DD4-87FA-3B1CBEBF6682}" name="Column8352"/>
    <tableColumn id="8380" xr3:uid="{C4DE08B2-9397-40C7-AEF2-8C6312C1661A}" name="Column8353"/>
    <tableColumn id="8381" xr3:uid="{57EEA1D2-3E02-4A7A-9223-8A938645760D}" name="Column8354"/>
    <tableColumn id="8382" xr3:uid="{A756B0EF-3CB6-43AF-8780-27B5CED0B6C9}" name="Column8355"/>
    <tableColumn id="8383" xr3:uid="{413726F2-3E9D-4557-B8DD-ADCDBDA35168}" name="Column8356"/>
    <tableColumn id="8384" xr3:uid="{10D5A6AB-1C22-4B29-AAAA-4C77EE35598F}" name="Column8357"/>
    <tableColumn id="8385" xr3:uid="{9A7B465D-7F2F-4AFF-9DF8-A7F7B6715851}" name="Column8358"/>
    <tableColumn id="8386" xr3:uid="{58918E77-F599-46E6-877B-1E430A0B8024}" name="Column8359"/>
    <tableColumn id="8387" xr3:uid="{09E89650-8943-43AD-AE34-645CC96FE4B7}" name="Column8360"/>
    <tableColumn id="8388" xr3:uid="{27825C29-1C45-4B78-89AB-2699ED5B682E}" name="Column8361"/>
    <tableColumn id="8389" xr3:uid="{C074260F-76A2-42EA-AC54-5DB54841AE3B}" name="Column8362"/>
    <tableColumn id="8390" xr3:uid="{C6C3C87B-7805-4998-86DB-B162FB0A3363}" name="Column8363"/>
    <tableColumn id="8391" xr3:uid="{AAEDF337-D939-42D4-9048-8C55F3F0F372}" name="Column8364"/>
    <tableColumn id="8392" xr3:uid="{8DE63221-94DE-4218-9041-CD82EAC60827}" name="Column8365"/>
    <tableColumn id="8393" xr3:uid="{76EACF33-4C2A-41B7-9B17-1144644869EF}" name="Column8366"/>
    <tableColumn id="8394" xr3:uid="{C7A28D7E-C8A3-48BC-8475-275D04B3DD25}" name="Column8367"/>
    <tableColumn id="8395" xr3:uid="{0C25FB89-21C1-489A-8014-446CD2249153}" name="Column8368"/>
    <tableColumn id="8396" xr3:uid="{6A33973B-48FD-4B7B-8D53-B7125115352A}" name="Column8369"/>
    <tableColumn id="8397" xr3:uid="{C860DD9A-0135-4435-8E6A-E450FF508026}" name="Column8370"/>
    <tableColumn id="8398" xr3:uid="{08C294C8-CC01-445D-B71F-E599BFF2D60E}" name="Column8371"/>
    <tableColumn id="8399" xr3:uid="{B6E7672A-5C3D-4A14-9CF0-9B354F1BED7F}" name="Column8372"/>
    <tableColumn id="8400" xr3:uid="{5A9999CE-931A-4279-828E-47E96DBA2B46}" name="Column8373"/>
    <tableColumn id="8401" xr3:uid="{DA32B069-5222-48BE-B82B-4B8307A3E29B}" name="Column8374"/>
    <tableColumn id="8402" xr3:uid="{36364054-38E9-4A51-8F35-8AB83391F060}" name="Column8375"/>
    <tableColumn id="8403" xr3:uid="{B3ECAC77-8925-4244-9C63-7748A8238C3E}" name="Column8376"/>
    <tableColumn id="8404" xr3:uid="{C61DF77C-3A12-4CA5-B734-405EA8D76681}" name="Column8377"/>
    <tableColumn id="8405" xr3:uid="{93BB24C0-7C72-4147-8698-2197FB53EC9C}" name="Column8378"/>
    <tableColumn id="8406" xr3:uid="{82F08F25-EA9E-4404-929D-9EC8A95EBE89}" name="Column8379"/>
    <tableColumn id="8407" xr3:uid="{501C9299-53B6-4566-BC0E-4284CA4CDFDE}" name="Column8380"/>
    <tableColumn id="8408" xr3:uid="{9404C54D-7160-4646-A7E1-B48F6CAA7D87}" name="Column8381"/>
    <tableColumn id="8409" xr3:uid="{B8516E69-61A4-4180-9779-0BBF119427A1}" name="Column8382"/>
    <tableColumn id="8410" xr3:uid="{4D046F37-CCF5-4D92-8DBB-DA6600FE498F}" name="Column8383"/>
    <tableColumn id="8411" xr3:uid="{B4801D8B-8DB5-4613-8CED-A17859F5CBFE}" name="Column8384"/>
    <tableColumn id="8412" xr3:uid="{09396064-5FF7-4ED8-9CAB-287BC735620E}" name="Column8385"/>
    <tableColumn id="8413" xr3:uid="{351EE049-08A4-452E-B32B-39ED7D6BD9BB}" name="Column8386"/>
    <tableColumn id="8414" xr3:uid="{988A74CE-0DA4-4A94-9294-9A2514F135BC}" name="Column8387"/>
    <tableColumn id="8415" xr3:uid="{840D29F8-8BC7-4930-9833-30F6DCEC2388}" name="Column8388"/>
    <tableColumn id="8416" xr3:uid="{1A6A9641-DF7C-41D0-A23D-F025770695C1}" name="Column8389"/>
    <tableColumn id="8417" xr3:uid="{45D5B77B-1784-4543-AB9C-6A9A3B513C87}" name="Column8390"/>
    <tableColumn id="8418" xr3:uid="{5B8B1A65-2483-4D91-8026-A0BAB8446CD9}" name="Column8391"/>
    <tableColumn id="8419" xr3:uid="{44DE796D-AECA-427E-AE8D-B7EA2D67ABFA}" name="Column8392"/>
    <tableColumn id="8420" xr3:uid="{632E8202-5476-448D-8313-AE2F29AEB468}" name="Column8393"/>
    <tableColumn id="8421" xr3:uid="{6A580EBA-D0DD-4EDE-A97F-CD54456880EF}" name="Column8394"/>
    <tableColumn id="8422" xr3:uid="{6DEE7F60-1A4C-4A8F-8335-88BC8D88E547}" name="Column8395"/>
    <tableColumn id="8423" xr3:uid="{305BECB6-585A-4424-B601-F2B9F4B1F3DF}" name="Column8396"/>
    <tableColumn id="8424" xr3:uid="{0931D2C9-ED2E-414B-8F2D-A025C2996503}" name="Column8397"/>
    <tableColumn id="8425" xr3:uid="{3BFAD251-5FF8-4766-9BD1-A67B49905004}" name="Column8398"/>
    <tableColumn id="8426" xr3:uid="{3FB4845F-2F54-4333-960E-5B3CE67D3C52}" name="Column8399"/>
    <tableColumn id="8427" xr3:uid="{B3FF7DD7-1946-450B-A827-F8B94A34CAC7}" name="Column8400"/>
    <tableColumn id="8428" xr3:uid="{5683C961-249C-4A50-8960-612A8A73A56D}" name="Column8401"/>
    <tableColumn id="8429" xr3:uid="{2FD7D9BB-4509-4DA0-BE17-360171341397}" name="Column8402"/>
    <tableColumn id="8430" xr3:uid="{FE7A5330-9044-477A-8B12-7BF31A538CF4}" name="Column8403"/>
    <tableColumn id="8431" xr3:uid="{89295A7F-ED2A-4F88-9B92-B80939E0152C}" name="Column8404"/>
    <tableColumn id="8432" xr3:uid="{B07BBECF-F04B-4B7E-97A8-269C4102BF4C}" name="Column8405"/>
    <tableColumn id="8433" xr3:uid="{842AB522-D3BF-490E-A159-5E6EDA5AF074}" name="Column8406"/>
    <tableColumn id="8434" xr3:uid="{8DBB135B-EBF4-4679-9BD7-4B6C416D03C9}" name="Column8407"/>
    <tableColumn id="8435" xr3:uid="{4A0EA6F7-2304-42F2-BCE6-97434F7EABBF}" name="Column8408"/>
    <tableColumn id="8436" xr3:uid="{784ACB5C-CA52-4303-ABB2-9870A80BE5A0}" name="Column8409"/>
    <tableColumn id="8437" xr3:uid="{663F5AE6-DCEA-46A8-9415-62CDDFB618CF}" name="Column8410"/>
    <tableColumn id="8438" xr3:uid="{55EFF85D-016E-40B7-B896-834A102F98A2}" name="Column8411"/>
    <tableColumn id="8439" xr3:uid="{A0253BF9-3ACC-46DE-87E7-43155483E311}" name="Column8412"/>
    <tableColumn id="8440" xr3:uid="{3FD72B5B-C2F8-4284-BD38-A83173A10BA4}" name="Column8413"/>
    <tableColumn id="8441" xr3:uid="{449FE72D-68AF-4277-BA7E-D1B693A78C4B}" name="Column8414"/>
    <tableColumn id="8442" xr3:uid="{2DDCFF45-A63D-427E-8A39-332059213921}" name="Column8415"/>
    <tableColumn id="8443" xr3:uid="{EDE31D77-45D8-412F-B702-ADDEA0A5FCFB}" name="Column8416"/>
    <tableColumn id="8444" xr3:uid="{C85ADB83-BB56-437E-BD1A-8F6E851A714A}" name="Column8417"/>
    <tableColumn id="8445" xr3:uid="{AFFFCA56-886E-41F5-BF6A-E621D0CEDBFF}" name="Column8418"/>
    <tableColumn id="8446" xr3:uid="{00AF7ACD-1F9C-4803-AF19-3205FC65CFE6}" name="Column8419"/>
    <tableColumn id="8447" xr3:uid="{4D85EB48-5698-4CF5-98F6-B4BFB8A88C10}" name="Column8420"/>
    <tableColumn id="8448" xr3:uid="{9A3274B7-7906-4B0D-9D4F-819F7E88AD94}" name="Column8421"/>
    <tableColumn id="8449" xr3:uid="{539A170E-F216-4529-926F-57BBC3276933}" name="Column8422"/>
    <tableColumn id="8450" xr3:uid="{B248CDD0-2408-4DED-B942-33922A16FF30}" name="Column8423"/>
    <tableColumn id="8451" xr3:uid="{3C88D1E4-F3E5-47B9-ABA1-EEB7C2F3D010}" name="Column8424"/>
    <tableColumn id="8452" xr3:uid="{7E955D37-947D-4CB7-AEEF-DE85F8A910A1}" name="Column8425"/>
    <tableColumn id="8453" xr3:uid="{AE306E56-123F-4249-B843-41727652D91C}" name="Column8426"/>
    <tableColumn id="8454" xr3:uid="{C24AF428-2A95-481B-A479-2405F8B77054}" name="Column8427"/>
    <tableColumn id="8455" xr3:uid="{BCE90A0E-FDD4-49A8-ADE7-12DBAFFCC160}" name="Column8428"/>
    <tableColumn id="8456" xr3:uid="{ABC17D25-7766-42D5-AA6D-9960D2D162C6}" name="Column8429"/>
    <tableColumn id="8457" xr3:uid="{36219FB4-6787-4D51-A481-1FEDC746138B}" name="Column8430"/>
    <tableColumn id="8458" xr3:uid="{7D38AFB9-204A-45AF-AB1C-CB99331D121F}" name="Column8431"/>
    <tableColumn id="8459" xr3:uid="{B587CD4A-0220-4B02-9BD6-085730692787}" name="Column8432"/>
    <tableColumn id="8460" xr3:uid="{98908B08-2949-4AFD-B8BE-C418CD640B21}" name="Column8433"/>
    <tableColumn id="8461" xr3:uid="{8B377112-58B5-4B9D-848F-050F629DBF55}" name="Column8434"/>
    <tableColumn id="8462" xr3:uid="{D66529C3-70B8-46F0-A64D-935D843EDF38}" name="Column8435"/>
    <tableColumn id="8463" xr3:uid="{D152C233-C39A-46C0-A10A-ED194C3B6082}" name="Column8436"/>
    <tableColumn id="8464" xr3:uid="{7192416D-D09A-416C-B3ED-BE3C96692A29}" name="Column8437"/>
    <tableColumn id="8465" xr3:uid="{E57CB3A1-3ED4-4DE0-B62F-07CE0AA9A0C6}" name="Column8438"/>
    <tableColumn id="8466" xr3:uid="{EFFFBF04-8E6E-485A-980C-6373983DFB57}" name="Column8439"/>
    <tableColumn id="8467" xr3:uid="{BE7ED2F6-6430-438F-A271-FAC73A636A8A}" name="Column8440"/>
    <tableColumn id="8468" xr3:uid="{051131D9-0E41-4636-8F88-A16A02E76328}" name="Column8441"/>
    <tableColumn id="8469" xr3:uid="{E814D5F6-F240-4E1A-BC3B-3EE037FA01EE}" name="Column8442"/>
    <tableColumn id="8470" xr3:uid="{62149F1D-1795-408A-8933-6DA3D3897E74}" name="Column8443"/>
    <tableColumn id="8471" xr3:uid="{0CD976F5-23B4-4EA4-8675-EF3A6F0F0D1A}" name="Column8444"/>
    <tableColumn id="8472" xr3:uid="{BD89E0DD-A627-44D4-8523-1F94258BDABB}" name="Column8445"/>
    <tableColumn id="8473" xr3:uid="{BC344764-67AB-4983-921C-5680472340FA}" name="Column8446"/>
    <tableColumn id="8474" xr3:uid="{46E66D8F-79C0-4A9D-B71C-10782552AEF2}" name="Column8447"/>
    <tableColumn id="8475" xr3:uid="{9FB188FE-069A-4AB1-8631-B7BE13F94152}" name="Column8448"/>
    <tableColumn id="8476" xr3:uid="{F7EE698F-930E-4D81-9DA4-2ECF5746782B}" name="Column8449"/>
    <tableColumn id="8477" xr3:uid="{81E1C64F-36E3-42FC-B77D-A5A18B7A389B}" name="Column8450"/>
    <tableColumn id="8478" xr3:uid="{F66ABC49-4A4C-4D07-9EA2-DFA8F8F54800}" name="Column8451"/>
    <tableColumn id="8479" xr3:uid="{9FFFADE1-9B29-4501-89A4-01D2B0F8EE05}" name="Column8452"/>
    <tableColumn id="8480" xr3:uid="{0A56E490-D565-4AFA-AD82-F9307D2523AB}" name="Column8453"/>
    <tableColumn id="8481" xr3:uid="{8B2B5E0E-1EA2-494E-888C-6576B2170694}" name="Column8454"/>
    <tableColumn id="8482" xr3:uid="{9DE6E942-B141-4A1D-B29A-4B7BC46D7ED9}" name="Column8455"/>
    <tableColumn id="8483" xr3:uid="{E42F4096-F088-4DB6-AB58-D0BEB362CEAF}" name="Column8456"/>
    <tableColumn id="8484" xr3:uid="{23A02DF9-DD75-4788-B62B-1A93E697CFB3}" name="Column8457"/>
    <tableColumn id="8485" xr3:uid="{3C2E4B67-5242-487D-AFB9-B6A489C8C240}" name="Column8458"/>
    <tableColumn id="8486" xr3:uid="{173D27A9-018D-444F-B43D-2D6857A057B4}" name="Column8459"/>
    <tableColumn id="8487" xr3:uid="{DEAEC6D9-CF46-4CB1-8DB5-739FBF859807}" name="Column8460"/>
    <tableColumn id="8488" xr3:uid="{6E4FB881-9A69-4C44-A15C-F902AFCB6DA6}" name="Column8461"/>
    <tableColumn id="8489" xr3:uid="{0CCC1EAD-5BBA-4DF2-90F6-B63222A0D249}" name="Column8462"/>
    <tableColumn id="8490" xr3:uid="{C6BCF7FF-EE47-45F4-B609-37530B202913}" name="Column8463"/>
    <tableColumn id="8491" xr3:uid="{ED2A5F00-6D27-4FB5-B5D4-A6ACCDD23069}" name="Column8464"/>
    <tableColumn id="8492" xr3:uid="{E7C8AFB7-8A0F-41A3-950F-1368515C65B5}" name="Column8465"/>
    <tableColumn id="8493" xr3:uid="{F8B002CA-FB38-4153-8BC9-348DCDF03676}" name="Column8466"/>
    <tableColumn id="8494" xr3:uid="{3C5102A7-7143-4AB3-876F-A07E6DFD2C80}" name="Column8467"/>
    <tableColumn id="8495" xr3:uid="{BADA300E-D5F9-4D8E-A0C6-64CC717C6CC1}" name="Column8468"/>
    <tableColumn id="8496" xr3:uid="{64113F8E-ECBD-47E5-9C07-FE7711B70957}" name="Column8469"/>
    <tableColumn id="8497" xr3:uid="{DEA53DBA-4803-4CEB-8261-8A3C63AF0948}" name="Column8470"/>
    <tableColumn id="8498" xr3:uid="{6FB433C0-051D-46CB-85C4-53222727BB62}" name="Column8471"/>
    <tableColumn id="8499" xr3:uid="{9EB44652-A080-496C-B4CC-A294D40BDC4F}" name="Column8472"/>
    <tableColumn id="8500" xr3:uid="{373669C5-FBFF-4E9C-91ED-896BF649847F}" name="Column8473"/>
    <tableColumn id="8501" xr3:uid="{1EEB68BD-95BA-4CD6-9FD8-0DBE327D9625}" name="Column8474"/>
    <tableColumn id="8502" xr3:uid="{9633DAA6-0030-4B0B-9FDD-2BFD03FE7E70}" name="Column8475"/>
    <tableColumn id="8503" xr3:uid="{824E216E-4727-49ED-B52D-2F1EC7C14331}" name="Column8476"/>
    <tableColumn id="8504" xr3:uid="{FF24C420-F5AE-4F25-942D-B480244F6EC8}" name="Column8477"/>
    <tableColumn id="8505" xr3:uid="{8410FB2C-CC48-47D8-A219-8C595F408783}" name="Column8478"/>
    <tableColumn id="8506" xr3:uid="{EB899210-E10E-4F1A-AAE2-287249051240}" name="Column8479"/>
    <tableColumn id="8507" xr3:uid="{0409E168-EF84-42F8-9EF5-977734353C59}" name="Column8480"/>
    <tableColumn id="8508" xr3:uid="{BBFD9445-A213-438D-8007-D038FDB6109E}" name="Column8481"/>
    <tableColumn id="8509" xr3:uid="{18B1623E-B109-4E07-A776-3492DC4F6620}" name="Column8482"/>
    <tableColumn id="8510" xr3:uid="{E1816A3E-C6AA-4BA9-A1A8-2D94E585C086}" name="Column8483"/>
    <tableColumn id="8511" xr3:uid="{3F337194-C2B2-4F64-BB80-E5ABF4B68436}" name="Column8484"/>
    <tableColumn id="8512" xr3:uid="{0F9EF601-B7FD-4859-B57D-E77473DE32A1}" name="Column8485"/>
    <tableColumn id="8513" xr3:uid="{D905279D-1FE8-474C-A6C8-436B3BC08C1C}" name="Column8486"/>
    <tableColumn id="8514" xr3:uid="{9A9C8FFE-09E4-4DE1-9E15-CBE997C3E7CA}" name="Column8487"/>
    <tableColumn id="8515" xr3:uid="{A1389BC1-CCD3-4C72-8B3C-87A5B2647B6E}" name="Column8488"/>
    <tableColumn id="8516" xr3:uid="{DDE8618F-0DB6-4AD5-A398-C64ACEDBD393}" name="Column8489"/>
    <tableColumn id="8517" xr3:uid="{2AEFB261-DAA7-49EA-A446-3D07CDF6FC7C}" name="Column8490"/>
    <tableColumn id="8518" xr3:uid="{D5FBFE28-9A5D-4D69-90BC-905AE677FD93}" name="Column8491"/>
    <tableColumn id="8519" xr3:uid="{2DF5791D-920F-46E1-B854-BA4FF61723A2}" name="Column8492"/>
    <tableColumn id="8520" xr3:uid="{D2D155A3-A2AD-47D1-B770-8B99F0C6384C}" name="Column8493"/>
    <tableColumn id="8521" xr3:uid="{92DD3853-F386-4AE0-A42F-55389C7753F2}" name="Column8494"/>
    <tableColumn id="8522" xr3:uid="{B304A031-AC08-4B9A-84B4-AE9160F0949F}" name="Column8495"/>
    <tableColumn id="8523" xr3:uid="{60A277B1-186F-4B95-B8FB-477302C9531E}" name="Column8496"/>
    <tableColumn id="8524" xr3:uid="{2FF1B553-1EED-4D20-B15A-33F8A10603E5}" name="Column8497"/>
    <tableColumn id="8525" xr3:uid="{DA7FEDE0-DFDF-4AF1-8494-4258687C858B}" name="Column8498"/>
    <tableColumn id="8526" xr3:uid="{46069584-09C6-4256-99C5-DB3CFD4721DA}" name="Column8499"/>
    <tableColumn id="8527" xr3:uid="{99B9B04E-FC63-4982-8022-11503B726D3D}" name="Column8500"/>
    <tableColumn id="8528" xr3:uid="{67554AC8-ACB1-4BE6-ACA4-A091928C2E54}" name="Column8501"/>
    <tableColumn id="8529" xr3:uid="{756C2AEE-570D-4B43-83FE-FA9F08E0E4C9}" name="Column8502"/>
    <tableColumn id="8530" xr3:uid="{31501A49-C014-4851-B7DA-1F5365D403BE}" name="Column8503"/>
    <tableColumn id="8531" xr3:uid="{A0185FDD-41DA-49DC-BA6F-ACE191E94BA3}" name="Column8504"/>
    <tableColumn id="8532" xr3:uid="{2D348C84-EEB5-4197-B0E4-D397C638CEE3}" name="Column8505"/>
    <tableColumn id="8533" xr3:uid="{9160CB85-A447-49D3-A64C-35A8B171F173}" name="Column8506"/>
    <tableColumn id="8534" xr3:uid="{5F25C93D-3F93-4C0E-9D16-FE9A3D7C21BE}" name="Column8507"/>
    <tableColumn id="8535" xr3:uid="{9DCBAE7E-5B23-4CA0-8DB5-17A1E34AD3C4}" name="Column8508"/>
    <tableColumn id="8536" xr3:uid="{0A918B95-98F9-496C-A4E0-4BF458810519}" name="Column8509"/>
    <tableColumn id="8537" xr3:uid="{674C5D4F-41AB-4349-AFC8-0E04AD329F11}" name="Column8510"/>
    <tableColumn id="8538" xr3:uid="{3EAD56F5-D43E-4EB0-B29E-28DE15C1D077}" name="Column8511"/>
    <tableColumn id="8539" xr3:uid="{6324345F-1C47-4F08-B13B-59ED223FB32F}" name="Column8512"/>
    <tableColumn id="8540" xr3:uid="{8BD8215A-50D7-4747-B71D-4EBA8C17AC09}" name="Column8513"/>
    <tableColumn id="8541" xr3:uid="{EFF0E999-76C0-4630-88AC-59D318BE92AA}" name="Column8514"/>
    <tableColumn id="8542" xr3:uid="{A1A80144-A4F4-4905-A64F-4E68989E2737}" name="Column8515"/>
    <tableColumn id="8543" xr3:uid="{00799AD2-81C5-4F33-AC08-324881C5A948}" name="Column8516"/>
    <tableColumn id="8544" xr3:uid="{FA2F6D51-8918-42B1-B8DE-6219C5F6B700}" name="Column8517"/>
    <tableColumn id="8545" xr3:uid="{6B0D15BE-E0B8-47E5-9DB6-0DC3F4E38A1F}" name="Column8518"/>
    <tableColumn id="8546" xr3:uid="{9332DB91-4866-4FE5-ADE4-BB664203A243}" name="Column8519"/>
    <tableColumn id="8547" xr3:uid="{F4100D69-BEF3-4E25-AEF4-72783448575B}" name="Column8520"/>
    <tableColumn id="8548" xr3:uid="{6E7CD156-F40D-462F-9493-5D1B2E3BEEC8}" name="Column8521"/>
    <tableColumn id="8549" xr3:uid="{5F5ED980-4721-4C94-ACD6-AC467FFA9CF4}" name="Column8522"/>
    <tableColumn id="8550" xr3:uid="{1948532A-CC25-4B04-AB89-7418289D07B9}" name="Column8523"/>
    <tableColumn id="8551" xr3:uid="{C5147931-B8A7-467A-8783-E4758565CBC0}" name="Column8524"/>
    <tableColumn id="8552" xr3:uid="{DC6D5655-4ACB-43C5-9327-FEA1AE9CC42F}" name="Column8525"/>
    <tableColumn id="8553" xr3:uid="{9A7776DD-8803-4EFB-B28F-155059FB52BF}" name="Column8526"/>
    <tableColumn id="8554" xr3:uid="{C580CB8A-A4E6-489C-A049-106B0A9514F7}" name="Column8527"/>
    <tableColumn id="8555" xr3:uid="{E863EC47-481A-48F4-BDA4-3EDD239E017E}" name="Column8528"/>
    <tableColumn id="8556" xr3:uid="{FB102585-0A7E-4209-BC37-7FD656F350CD}" name="Column8529"/>
    <tableColumn id="8557" xr3:uid="{833851B0-35D4-4CEB-ADA4-E7BC4DFDF959}" name="Column8530"/>
    <tableColumn id="8558" xr3:uid="{0A84A2E3-CA2C-4966-BB25-F8A8A26F8F5E}" name="Column8531"/>
    <tableColumn id="8559" xr3:uid="{5D3CD6C8-40A7-4DDB-BF92-8B67086514DA}" name="Column8532"/>
    <tableColumn id="8560" xr3:uid="{8727D93B-E04A-4FA0-B915-B52A2EB4F97E}" name="Column8533"/>
    <tableColumn id="8561" xr3:uid="{DE3F0275-F2F4-4B88-9770-B130BF2DCE72}" name="Column8534"/>
    <tableColumn id="8562" xr3:uid="{FEE8A715-95C4-44BD-94BD-4F756D31F798}" name="Column8535"/>
    <tableColumn id="8563" xr3:uid="{DB46CB2F-4567-4A21-9B74-490F6AF14D21}" name="Column8536"/>
    <tableColumn id="8564" xr3:uid="{330D5584-B481-4C77-B42C-23E445FC6446}" name="Column8537"/>
    <tableColumn id="8565" xr3:uid="{666CE896-C875-4842-90D7-4FF9B17305A6}" name="Column8538"/>
    <tableColumn id="8566" xr3:uid="{CD97A174-EE6F-41A2-9ECB-771F07560A98}" name="Column8539"/>
    <tableColumn id="8567" xr3:uid="{E3569878-CE54-4BB9-9543-F827930F6AE5}" name="Column8540"/>
    <tableColumn id="8568" xr3:uid="{251C1438-5FFC-4C1C-AC06-190468B30FDE}" name="Column8541"/>
    <tableColumn id="8569" xr3:uid="{A04D7C1F-2111-4F27-8FFE-0022CB140AA5}" name="Column8542"/>
    <tableColumn id="8570" xr3:uid="{D2294F8D-D1DD-44C2-8038-74B795FA0444}" name="Column8543"/>
    <tableColumn id="8571" xr3:uid="{89D75293-98E7-46E7-8DFC-764ED26EC3EF}" name="Column8544"/>
    <tableColumn id="8572" xr3:uid="{13170D19-FE15-42AE-8452-20511961E2A5}" name="Column8545"/>
    <tableColumn id="8573" xr3:uid="{0BF1DB2E-3DC7-481E-BE6C-812231152DA7}" name="Column8546"/>
    <tableColumn id="8574" xr3:uid="{0821329F-6855-4C3B-889D-353D40CEF966}" name="Column8547"/>
    <tableColumn id="8575" xr3:uid="{FE52AB45-E107-4E9D-869D-14CC99E52553}" name="Column8548"/>
    <tableColumn id="8576" xr3:uid="{64BEBF89-2B97-4907-99D8-6A7A3647BFBE}" name="Column8549"/>
    <tableColumn id="8577" xr3:uid="{C36A8948-898C-4FD5-865B-596BCFC39223}" name="Column8550"/>
    <tableColumn id="8578" xr3:uid="{14246B93-E3A1-47A2-A32A-F82BFE5DFF6E}" name="Column8551"/>
    <tableColumn id="8579" xr3:uid="{E16E43CA-791D-4043-A937-F016CA29977E}" name="Column8552"/>
    <tableColumn id="8580" xr3:uid="{2F901B89-A9FA-4AB5-AA07-DDA83E0FF9D4}" name="Column8553"/>
    <tableColumn id="8581" xr3:uid="{BBDF6985-EF39-4CD5-AEFC-6DDE726BB4CE}" name="Column8554"/>
    <tableColumn id="8582" xr3:uid="{976F4FD1-294F-45CA-B898-E1F31854FFD4}" name="Column8555"/>
    <tableColumn id="8583" xr3:uid="{01846009-8F27-477D-BECC-5CAD93B04C4E}" name="Column8556"/>
    <tableColumn id="8584" xr3:uid="{C90F39FF-09E4-4DE8-863E-D17B19751A43}" name="Column8557"/>
    <tableColumn id="8585" xr3:uid="{0E3A692D-EECD-4C72-B44C-F1005AE763A8}" name="Column8558"/>
    <tableColumn id="8586" xr3:uid="{DB87D7D1-782F-4A13-8D1B-D703FC43CBC7}" name="Column8559"/>
    <tableColumn id="8587" xr3:uid="{CCA57E0E-3C3E-4360-A59A-C82DF86883FA}" name="Column8560"/>
    <tableColumn id="8588" xr3:uid="{7255E4B7-15E3-47C6-8ED5-05FBED896C46}" name="Column8561"/>
    <tableColumn id="8589" xr3:uid="{B255FEFD-2176-4FF9-8D72-9EADEBFEB941}" name="Column8562"/>
    <tableColumn id="8590" xr3:uid="{70220113-4515-446B-AB76-20A0748BE705}" name="Column8563"/>
    <tableColumn id="8591" xr3:uid="{780992EA-D9FE-41E6-875D-9A465120F230}" name="Column8564"/>
    <tableColumn id="8592" xr3:uid="{CE48D097-54EB-4581-89C8-A81FC8F10EF3}" name="Column8565"/>
    <tableColumn id="8593" xr3:uid="{F037086C-9BE2-4E5D-A987-E2B388DE3F01}" name="Column8566"/>
    <tableColumn id="8594" xr3:uid="{027FFE83-8A39-43C9-83AA-C3F225C28F10}" name="Column8567"/>
    <tableColumn id="8595" xr3:uid="{72B5B0CC-C7FC-4BAB-8601-8BEB445FA9C9}" name="Column8568"/>
    <tableColumn id="8596" xr3:uid="{4CC362B0-2B64-4D17-AF77-855C232F4802}" name="Column8569"/>
    <tableColumn id="8597" xr3:uid="{7D28ED80-DCA3-4DB6-9224-28261BE6889A}" name="Column8570"/>
    <tableColumn id="8598" xr3:uid="{B946B832-300F-4E0F-B0F7-3E5396EAE5F9}" name="Column8571"/>
    <tableColumn id="8599" xr3:uid="{BD6182FB-AAD5-4326-8306-D432AE1B909B}" name="Column8572"/>
    <tableColumn id="8600" xr3:uid="{1675CF39-42D0-4CF8-886F-76A2A598F2D4}" name="Column8573"/>
    <tableColumn id="8601" xr3:uid="{CA0FCBB5-E091-4CD0-96E1-C56EF1EB0CCD}" name="Column8574"/>
    <tableColumn id="8602" xr3:uid="{EF6BAD38-19C4-4D20-B8BC-E530E2397720}" name="Column8575"/>
    <tableColumn id="8603" xr3:uid="{C92AB80F-EC80-4FC3-8176-E9BE06C681FB}" name="Column8576"/>
    <tableColumn id="8604" xr3:uid="{2F5784B7-C766-4B16-B4C1-153DD2848973}" name="Column8577"/>
    <tableColumn id="8605" xr3:uid="{EC87A003-7BB4-4169-883A-5ACEC0BEFD18}" name="Column8578"/>
    <tableColumn id="8606" xr3:uid="{4D2CBE09-FD77-42BB-953B-1AC9B08EE97B}" name="Column8579"/>
    <tableColumn id="8607" xr3:uid="{57AE3B6D-2385-494C-B53D-97B1586199A5}" name="Column8580"/>
    <tableColumn id="8608" xr3:uid="{7B9C3F7B-D256-46B2-BBFC-58B4C42B32B0}" name="Column8581"/>
    <tableColumn id="8609" xr3:uid="{DFAED79C-C47E-4369-91E2-76BE282E4BB0}" name="Column8582"/>
    <tableColumn id="8610" xr3:uid="{A657F990-2B1E-4222-BE70-E951E703BFF3}" name="Column8583"/>
    <tableColumn id="8611" xr3:uid="{EEB7154E-C67C-4649-A974-CF233E36BDAB}" name="Column8584"/>
    <tableColumn id="8612" xr3:uid="{540B5046-A7F9-4305-848B-4B02DF6F97E7}" name="Column8585"/>
    <tableColumn id="8613" xr3:uid="{12692877-8A42-43E8-86A2-46F6CB6A05DA}" name="Column8586"/>
    <tableColumn id="8614" xr3:uid="{E21EA2A3-624E-4AE2-9DC2-0CEDA2C0DC02}" name="Column8587"/>
    <tableColumn id="8615" xr3:uid="{55AC86FD-AC7C-46B3-BCAE-4EA32E438DE9}" name="Column8588"/>
    <tableColumn id="8616" xr3:uid="{51380CCE-821C-4087-A93F-71FD590B47A2}" name="Column8589"/>
    <tableColumn id="8617" xr3:uid="{6CA91EAE-C5DA-4593-B4F2-8674B0FA18A7}" name="Column8590"/>
    <tableColumn id="8618" xr3:uid="{BC2827E7-8B84-416F-8F5A-7A94693EF447}" name="Column8591"/>
    <tableColumn id="8619" xr3:uid="{BD43731F-51F4-4F48-9A06-8F06BC01C786}" name="Column8592"/>
    <tableColumn id="8620" xr3:uid="{BFA9DC1F-5855-4D92-AC21-994D62E2279F}" name="Column8593"/>
    <tableColumn id="8621" xr3:uid="{E2B94DB8-6F56-4028-A139-0545E95D1D67}" name="Column8594"/>
    <tableColumn id="8622" xr3:uid="{136E2302-844A-4656-98C5-EA7EFBA4C71A}" name="Column8595"/>
    <tableColumn id="8623" xr3:uid="{D9A54430-93E8-4F7F-A41C-512A12FDC0ED}" name="Column8596"/>
    <tableColumn id="8624" xr3:uid="{D16EC3B4-CD03-411E-91BD-8480DD129FDA}" name="Column8597"/>
    <tableColumn id="8625" xr3:uid="{7949EAC5-C28A-4784-9EBD-15989079C155}" name="Column8598"/>
    <tableColumn id="8626" xr3:uid="{CF73EEC5-13DB-4500-9FD4-20438B4073B8}" name="Column8599"/>
    <tableColumn id="8627" xr3:uid="{C85EDFDE-2C95-4F0B-885D-B987DB552C72}" name="Column8600"/>
    <tableColumn id="8628" xr3:uid="{14ED86C7-7AE0-413B-B747-9EE1515A3B8F}" name="Column8601"/>
    <tableColumn id="8629" xr3:uid="{A5D4E4E6-FF84-44BB-BC26-30626BCBE85A}" name="Column8602"/>
    <tableColumn id="8630" xr3:uid="{E42B3422-7240-4B7E-A7A1-918996B6E8AD}" name="Column8603"/>
    <tableColumn id="8631" xr3:uid="{1995F6DE-898A-4B17-990E-48A43F6CA382}" name="Column8604"/>
    <tableColumn id="8632" xr3:uid="{D377FC94-1BF1-4AAB-8429-F008F554EFE4}" name="Column8605"/>
    <tableColumn id="8633" xr3:uid="{54143EDF-0C45-4757-8336-3FBE2D0619FC}" name="Column8606"/>
    <tableColumn id="8634" xr3:uid="{1B39A7D8-1CA2-4F0D-B45A-449F2E248309}" name="Column8607"/>
    <tableColumn id="8635" xr3:uid="{2618BBA0-3941-47F4-BBFB-4740F1E56F9E}" name="Column8608"/>
    <tableColumn id="8636" xr3:uid="{6474D4E9-3A1C-4F8B-887F-A0D383BC7979}" name="Column8609"/>
    <tableColumn id="8637" xr3:uid="{BE17FC87-45ED-4CD1-99A5-4F91E03436C9}" name="Column8610"/>
    <tableColumn id="8638" xr3:uid="{BD33C9C8-EDFB-4231-8421-BC0A4604DA6E}" name="Column8611"/>
    <tableColumn id="8639" xr3:uid="{1D259075-8C91-4255-A8B8-0375FE38739D}" name="Column8612"/>
    <tableColumn id="8640" xr3:uid="{79F6D448-FBE0-4918-BA4E-79599D27F05E}" name="Column8613"/>
    <tableColumn id="8641" xr3:uid="{9B51D235-5F18-401A-A115-30274322CDF9}" name="Column8614"/>
    <tableColumn id="8642" xr3:uid="{7DA60AF5-3405-4A2B-B9F1-EA394824F258}" name="Column8615"/>
    <tableColumn id="8643" xr3:uid="{268E7D86-2270-45AB-971B-E581B0F2B0AC}" name="Column8616"/>
    <tableColumn id="8644" xr3:uid="{378264E4-447D-4546-895B-7BD3ED1DA4B5}" name="Column8617"/>
    <tableColumn id="8645" xr3:uid="{90048DCC-4F46-49D0-BBBD-10913FE2DD1E}" name="Column8618"/>
    <tableColumn id="8646" xr3:uid="{4FDEE932-4CE0-4D08-A839-BA0C02701A9B}" name="Column8619"/>
    <tableColumn id="8647" xr3:uid="{DEF6F64E-9D1B-493B-8EC5-A42EEA5AB18C}" name="Column8620"/>
    <tableColumn id="8648" xr3:uid="{A6AF839E-9EB4-434D-805B-9DF318A30807}" name="Column8621"/>
    <tableColumn id="8649" xr3:uid="{45FB62AF-0C6C-4CD8-B03F-5F22D3AF186E}" name="Column8622"/>
    <tableColumn id="8650" xr3:uid="{885B9B68-4EB2-4BFF-BB8D-2910C5AB5679}" name="Column8623"/>
    <tableColumn id="8651" xr3:uid="{A5F2DAA0-ADF5-4935-A5C4-0799CE91BC45}" name="Column8624"/>
    <tableColumn id="8652" xr3:uid="{14CBB448-F689-465E-8E58-11666D87EC39}" name="Column8625"/>
    <tableColumn id="8653" xr3:uid="{37DF9E3E-578D-4689-B2FF-9D1DE2832D34}" name="Column8626"/>
    <tableColumn id="8654" xr3:uid="{457867AE-08A7-4002-8220-F2C5FEFA6C1B}" name="Column8627"/>
    <tableColumn id="8655" xr3:uid="{94CA0533-0B56-4511-B6BF-C34EA6E0F5B8}" name="Column8628"/>
    <tableColumn id="8656" xr3:uid="{2986F861-C8DB-4CD3-A1DA-19E3D923DD2E}" name="Column8629"/>
    <tableColumn id="8657" xr3:uid="{67DDD641-A673-4490-A341-55B2823F3722}" name="Column8630"/>
    <tableColumn id="8658" xr3:uid="{526CA1BB-3456-4D01-82FE-10D141F4546C}" name="Column8631"/>
    <tableColumn id="8659" xr3:uid="{0CA02979-444F-4453-96D9-2AFF64C5B56D}" name="Column8632"/>
    <tableColumn id="8660" xr3:uid="{07B55A9A-D9BE-4F14-9518-D4BDA729248F}" name="Column8633"/>
    <tableColumn id="8661" xr3:uid="{CE939140-28AD-4252-B667-0E6066CF8529}" name="Column8634"/>
    <tableColumn id="8662" xr3:uid="{919557EB-5807-4135-8E7A-48CB570C32E2}" name="Column8635"/>
    <tableColumn id="8663" xr3:uid="{FB618881-953B-419D-8EBA-C6E43BB16C8F}" name="Column8636"/>
    <tableColumn id="8664" xr3:uid="{020FEFF7-1F81-41FC-9E9C-DE4D99024FC4}" name="Column8637"/>
    <tableColumn id="8665" xr3:uid="{0A2E4148-9F95-4911-8B29-12533E32EC7A}" name="Column8638"/>
    <tableColumn id="8666" xr3:uid="{5EC43F3D-C064-4903-9B30-E364CC284E56}" name="Column8639"/>
    <tableColumn id="8667" xr3:uid="{6D23AB93-2849-4F1F-BE78-32C2F128461E}" name="Column8640"/>
    <tableColumn id="8668" xr3:uid="{7C7D62EA-0C2B-40EF-9653-85894BCE0AE2}" name="Column8641"/>
    <tableColumn id="8669" xr3:uid="{73327F53-31F5-4CE9-8D13-A3E41E946084}" name="Column8642"/>
    <tableColumn id="8670" xr3:uid="{F1BC8642-1975-4394-87ED-9237E437CE2F}" name="Column8643"/>
    <tableColumn id="8671" xr3:uid="{53791073-FC4B-4F41-A3E0-A34DD550249A}" name="Column8644"/>
    <tableColumn id="8672" xr3:uid="{2C640909-1BD9-4A9F-B07F-BBDED9BE4947}" name="Column8645"/>
    <tableColumn id="8673" xr3:uid="{7B53CA45-4E16-42EE-82CE-7F621332DFA6}" name="Column8646"/>
    <tableColumn id="8674" xr3:uid="{E27428AC-A2CD-4FEC-BAC8-3305F3DB19A3}" name="Column8647"/>
    <tableColumn id="8675" xr3:uid="{56D7D923-652C-4478-9CF0-D7505300D20E}" name="Column8648"/>
    <tableColumn id="8676" xr3:uid="{7A47DDCE-21A9-45EA-9AF2-8137FFAD7F03}" name="Column8649"/>
    <tableColumn id="8677" xr3:uid="{4D4BF801-B1F2-4774-BE33-E2C6FC526788}" name="Column8650"/>
    <tableColumn id="8678" xr3:uid="{8FFE28BF-FD2C-4673-AAD9-450DD2D9AC08}" name="Column8651"/>
    <tableColumn id="8679" xr3:uid="{8D0C84EE-3B5C-45F2-A1FF-DEB5B8E7F0F3}" name="Column8652"/>
    <tableColumn id="8680" xr3:uid="{C9BDB1AD-194A-43DD-8750-DC23F1B2A6DE}" name="Column8653"/>
    <tableColumn id="8681" xr3:uid="{A2064FBB-79CA-4C10-84E1-EBBF382BFB07}" name="Column8654"/>
    <tableColumn id="8682" xr3:uid="{DB1D7DF9-1FE0-4ED6-B98D-681F558F7712}" name="Column8655"/>
    <tableColumn id="8683" xr3:uid="{7F389A60-DF86-4142-A0CE-14A7F69E0736}" name="Column8656"/>
    <tableColumn id="8684" xr3:uid="{67A2DB3A-F281-4155-B344-47A81B6C7BDF}" name="Column8657"/>
    <tableColumn id="8685" xr3:uid="{BB38F8EE-9B5A-4373-B34C-04C1BAF7EDD0}" name="Column8658"/>
    <tableColumn id="8686" xr3:uid="{1F9C9835-2271-4458-9752-BA72EAD5CAC4}" name="Column8659"/>
    <tableColumn id="8687" xr3:uid="{5ABEE443-FD46-42E9-A014-2067822D24A4}" name="Column8660"/>
    <tableColumn id="8688" xr3:uid="{7154DACE-FF71-4C3E-86B8-FF62A8D5DA87}" name="Column8661"/>
    <tableColumn id="8689" xr3:uid="{9D8C63FA-CC52-4B76-8B75-080E8764E0E6}" name="Column8662"/>
    <tableColumn id="8690" xr3:uid="{2A954D00-78E9-46BA-B907-17AF3BC19565}" name="Column8663"/>
    <tableColumn id="8691" xr3:uid="{32239D29-83E9-4529-85A2-235AC2C1F275}" name="Column8664"/>
    <tableColumn id="8692" xr3:uid="{A012958B-0082-4B0A-8E1B-B2B339321692}" name="Column8665"/>
    <tableColumn id="8693" xr3:uid="{A421D9BF-9173-480F-A491-9BEBCD5DD549}" name="Column8666"/>
    <tableColumn id="8694" xr3:uid="{372DAB9F-9FD1-46F4-8A95-2359CC929891}" name="Column8667"/>
    <tableColumn id="8695" xr3:uid="{8115298E-11F9-4956-A5D6-20F3BEC5F603}" name="Column8668"/>
    <tableColumn id="8696" xr3:uid="{BE1FD5F1-B09D-42F9-9F59-679D7D385FAB}" name="Column8669"/>
    <tableColumn id="8697" xr3:uid="{383628BE-B113-444E-BAF9-72B253F06D9D}" name="Column8670"/>
    <tableColumn id="8698" xr3:uid="{9C698AAA-336F-47DC-AFD0-5379362DA873}" name="Column8671"/>
    <tableColumn id="8699" xr3:uid="{7703FF71-9B3A-4D52-80A4-A2587FA410C0}" name="Column8672"/>
    <tableColumn id="8700" xr3:uid="{BFA25983-B3E4-4852-97F4-625B9CD7B247}" name="Column8673"/>
    <tableColumn id="8701" xr3:uid="{AA2411D9-F814-41E0-94BD-EFF3053AFE94}" name="Column8674"/>
    <tableColumn id="8702" xr3:uid="{6B688357-2EB1-4741-BBBE-E49254DB4B81}" name="Column8675"/>
    <tableColumn id="8703" xr3:uid="{C86D4D09-8B8C-4E17-9590-0695D266641D}" name="Column8676"/>
    <tableColumn id="8704" xr3:uid="{EF0A5FCE-4D3A-4B4D-BD8F-3D82693860B8}" name="Column8677"/>
    <tableColumn id="8705" xr3:uid="{B05F4158-8963-413F-B5D3-719B29854FF7}" name="Column8678"/>
    <tableColumn id="8706" xr3:uid="{27DB4661-72A8-4CB6-93F6-53EEE410F6AB}" name="Column8679"/>
    <tableColumn id="8707" xr3:uid="{9518F498-8740-403F-AD83-2BE9B5EDC616}" name="Column8680"/>
    <tableColumn id="8708" xr3:uid="{16D03B63-003A-424E-8B73-F8ED53563927}" name="Column8681"/>
    <tableColumn id="8709" xr3:uid="{D97243C1-D43F-4FCF-9015-2CE21C453EE5}" name="Column8682"/>
    <tableColumn id="8710" xr3:uid="{F0E0C1D7-B7A8-4BDD-9803-1F27F85F2789}" name="Column8683"/>
    <tableColumn id="8711" xr3:uid="{E122019E-720E-458E-81CA-D93E88D125B6}" name="Column8684"/>
    <tableColumn id="8712" xr3:uid="{B6A11098-D7E9-41D7-9D44-D4B9DB40CD8B}" name="Column8685"/>
    <tableColumn id="8713" xr3:uid="{BDE4AEFF-4F61-45D0-8ABA-32483E2244C8}" name="Column8686"/>
    <tableColumn id="8714" xr3:uid="{9F9B0A8D-659E-4810-829D-571FAC369D57}" name="Column8687"/>
    <tableColumn id="8715" xr3:uid="{C4A1903E-C1F4-487B-B209-4CC7BDCBF0FA}" name="Column8688"/>
    <tableColumn id="8716" xr3:uid="{CB7FEA21-795E-4A0E-BEB9-1D1EE096AEBE}" name="Column8689"/>
    <tableColumn id="8717" xr3:uid="{CD64E108-E165-4BDE-9E4E-CF59D60A4696}" name="Column8690"/>
    <tableColumn id="8718" xr3:uid="{53EF2C4F-A012-40BD-9C53-0DFC49D6AC5D}" name="Column8691"/>
    <tableColumn id="8719" xr3:uid="{84D5AA9A-151E-43C4-8374-2EC6B7D7A8B9}" name="Column8692"/>
    <tableColumn id="8720" xr3:uid="{0DA35A3B-DD57-41CF-BB0B-7C8A2A9A7C36}" name="Column8693"/>
    <tableColumn id="8721" xr3:uid="{84FCB00D-CD98-4728-A9B6-5B8274E5EB6F}" name="Column8694"/>
    <tableColumn id="8722" xr3:uid="{F66A63AA-16E6-4C07-B2BD-6B9E6CB6831E}" name="Column8695"/>
    <tableColumn id="8723" xr3:uid="{56169650-94A2-4028-B823-F610EA198DA8}" name="Column8696"/>
    <tableColumn id="8724" xr3:uid="{4F1420CE-8599-4AD7-81EF-6830420CFF52}" name="Column8697"/>
    <tableColumn id="8725" xr3:uid="{8FFF92FC-AF86-4AFA-995D-A9881C6C0969}" name="Column8698"/>
    <tableColumn id="8726" xr3:uid="{BE5B5CAC-BC61-4424-95D2-7995DE5CFBB7}" name="Column8699"/>
    <tableColumn id="8727" xr3:uid="{8CB5E6EB-6516-4E66-A887-BF57D6137BF9}" name="Column8700"/>
    <tableColumn id="8728" xr3:uid="{2A3A5A00-CE99-469F-A926-0B48F401E3E2}" name="Column8701"/>
    <tableColumn id="8729" xr3:uid="{0B162F94-AA88-4776-B470-B8CA64ED67A7}" name="Column8702"/>
    <tableColumn id="8730" xr3:uid="{CA166858-041B-40B7-93BB-8C87BBF24622}" name="Column8703"/>
    <tableColumn id="8731" xr3:uid="{998F3B06-12E3-4950-B955-DCF2D736F232}" name="Column8704"/>
    <tableColumn id="8732" xr3:uid="{C730B87B-FC6D-47F8-8B9F-98458F65643C}" name="Column8705"/>
    <tableColumn id="8733" xr3:uid="{EAE94948-A6A9-4D7A-A656-4BE6CEF37261}" name="Column8706"/>
    <tableColumn id="8734" xr3:uid="{0CDB3FFF-D70F-426A-AC78-8C4C5BE348BE}" name="Column8707"/>
    <tableColumn id="8735" xr3:uid="{6A0598B6-2EC8-4DAA-961C-F4930CE4C687}" name="Column8708"/>
    <tableColumn id="8736" xr3:uid="{EB3B1CF9-5987-41F6-8C97-8E74949DF851}" name="Column8709"/>
    <tableColumn id="8737" xr3:uid="{F9B0A7D6-20A9-4B61-A561-81EE27F6A693}" name="Column8710"/>
    <tableColumn id="8738" xr3:uid="{4FA3B306-7EFE-4E96-8E8B-AEE3C5B6CA8C}" name="Column8711"/>
    <tableColumn id="8739" xr3:uid="{A02B9EA7-18ED-4630-B927-1F760A1F4222}" name="Column8712"/>
    <tableColumn id="8740" xr3:uid="{81132F74-EC4D-42F1-B701-52C44F4D5571}" name="Column8713"/>
    <tableColumn id="8741" xr3:uid="{8A623F56-647F-427D-AD92-4719554DB9AF}" name="Column8714"/>
    <tableColumn id="8742" xr3:uid="{E37BE9E9-3FB1-495C-A8F0-AB2CD3DAB58B}" name="Column8715"/>
    <tableColumn id="8743" xr3:uid="{4FA64FAB-688B-4369-AE7C-84D492F4CBB8}" name="Column8716"/>
    <tableColumn id="8744" xr3:uid="{365B1358-FC89-474B-A6D2-51FDE3F50E54}" name="Column8717"/>
    <tableColumn id="8745" xr3:uid="{E77B038F-7B56-46B1-86FC-9B8FE0184821}" name="Column8718"/>
    <tableColumn id="8746" xr3:uid="{9B7B73B4-DCF0-4F0E-B50B-A7D6D3B7C4C2}" name="Column8719"/>
    <tableColumn id="8747" xr3:uid="{BBC09F9F-DE28-4DC9-92D4-E5E52EE0F9A9}" name="Column8720"/>
    <tableColumn id="8748" xr3:uid="{D10B36A6-E105-4049-9C7E-FEA6B677E348}" name="Column8721"/>
    <tableColumn id="8749" xr3:uid="{92D66E91-DBCC-4E68-A381-36E13D632DE9}" name="Column8722"/>
    <tableColumn id="8750" xr3:uid="{6986DF71-034C-450E-9189-A01769C303D4}" name="Column8723"/>
    <tableColumn id="8751" xr3:uid="{B7DF1988-F33A-46E2-B5A1-53768798711B}" name="Column8724"/>
    <tableColumn id="8752" xr3:uid="{21E78130-0A40-49AF-AFB8-F3F006E0A732}" name="Column8725"/>
    <tableColumn id="8753" xr3:uid="{BA646247-F5EC-48C7-81C6-1CC1FD86825E}" name="Column8726"/>
    <tableColumn id="8754" xr3:uid="{517E1603-19A5-46B3-86BB-9DD8D4245F17}" name="Column8727"/>
    <tableColumn id="8755" xr3:uid="{D38D2C1D-D42F-483B-B80E-FC190561B50F}" name="Column8728"/>
    <tableColumn id="8756" xr3:uid="{C52EA044-4C32-48CF-AAC8-A4794B6C854D}" name="Column8729"/>
    <tableColumn id="8757" xr3:uid="{2C0AC493-E950-4133-80AE-6E7F66D59FC3}" name="Column8730"/>
    <tableColumn id="8758" xr3:uid="{1C08869B-76E0-4F19-877F-1DC9B85107A1}" name="Column8731"/>
    <tableColumn id="8759" xr3:uid="{96AB2D3E-5E7E-45EF-8A28-97B1A2DE5D88}" name="Column8732"/>
    <tableColumn id="8760" xr3:uid="{CE30A47B-B3C4-49A1-8967-694B133655B5}" name="Column8733"/>
    <tableColumn id="8761" xr3:uid="{13F7DC0F-D3CC-4148-9BB8-645F08DA37AE}" name="Column8734"/>
    <tableColumn id="8762" xr3:uid="{62CA6334-9D9E-481E-9240-447EEB7A3581}" name="Column8735"/>
    <tableColumn id="8763" xr3:uid="{43968424-5F5E-489C-8859-AB50623F1691}" name="Column8736"/>
    <tableColumn id="8764" xr3:uid="{031D799E-0D89-4FCC-AF4F-1C149CAFD0BE}" name="Column8737"/>
    <tableColumn id="8765" xr3:uid="{AC07287E-70E9-4705-8688-84C567CD89A4}" name="Column8738"/>
    <tableColumn id="8766" xr3:uid="{7FEAEE11-5DA5-45DA-A941-7D607C45293A}" name="Column8739"/>
    <tableColumn id="8767" xr3:uid="{78594E1B-0F94-4EA1-B341-9D2D882A5A76}" name="Column8740"/>
    <tableColumn id="8768" xr3:uid="{8AFC8908-C9ED-4EA7-8D3B-3518DE8A3447}" name="Column8741"/>
    <tableColumn id="8769" xr3:uid="{B29F8DA7-4683-4A99-B2F6-661D6AF998A7}" name="Column8742"/>
    <tableColumn id="8770" xr3:uid="{83ABD2BF-4D2E-46FD-9214-B4301BAFE870}" name="Column8743"/>
    <tableColumn id="8771" xr3:uid="{AAEF4E28-7140-42AF-81CE-7EE9372D807F}" name="Column8744"/>
    <tableColumn id="8772" xr3:uid="{240D1B83-462B-4A60-A865-8552F2EC1DBA}" name="Column8745"/>
    <tableColumn id="8773" xr3:uid="{4BFB423E-87F2-4877-8E1C-1D91D767407F}" name="Column8746"/>
    <tableColumn id="8774" xr3:uid="{E8D852B2-B71C-494A-AB58-E523A4FBC7AC}" name="Column8747"/>
    <tableColumn id="8775" xr3:uid="{71B9F540-406E-4869-973B-DBDC83D5CFAC}" name="Column8748"/>
    <tableColumn id="8776" xr3:uid="{8AD97D56-8C4D-4814-BFCB-A1C5D7C69495}" name="Column8749"/>
    <tableColumn id="8777" xr3:uid="{9770EBCD-3309-48B8-A26F-3AB8C3FBA369}" name="Column8750"/>
    <tableColumn id="8778" xr3:uid="{CF63DA14-EA68-460D-960B-5968DCBC0D6D}" name="Column8751"/>
    <tableColumn id="8779" xr3:uid="{82E9D591-11B1-4307-A5CA-1CFD0AB68B18}" name="Column8752"/>
    <tableColumn id="8780" xr3:uid="{EC740234-6BFE-4520-9035-0BFD7B6D85C3}" name="Column8753"/>
    <tableColumn id="8781" xr3:uid="{384D4A10-ABC7-49CC-B921-93BDEC109DD4}" name="Column8754"/>
    <tableColumn id="8782" xr3:uid="{DC66C7BF-6FA6-44E5-98BB-402CD0C1C546}" name="Column8755"/>
    <tableColumn id="8783" xr3:uid="{8A9292B5-0350-41A4-BA38-03E83A2A2EBE}" name="Column8756"/>
    <tableColumn id="8784" xr3:uid="{D7F5BEEF-7277-4369-A28B-175D03DA7FAB}" name="Column8757"/>
    <tableColumn id="8785" xr3:uid="{61EBB18A-FEA1-40BF-8DFA-E387CBB981DF}" name="Column8758"/>
    <tableColumn id="8786" xr3:uid="{24F56AA3-16CE-413B-BFD0-43ACAC6F56AE}" name="Column8759"/>
    <tableColumn id="8787" xr3:uid="{576A8FC1-D20B-4868-AB51-72F6EAF0B83E}" name="Column8760"/>
    <tableColumn id="8788" xr3:uid="{6E9B374F-F958-467C-A2A6-9E611DB77414}" name="Column8761"/>
    <tableColumn id="8789" xr3:uid="{4942A1F7-2D6F-435E-A950-9B59F0CC56EA}" name="Column8762"/>
    <tableColumn id="8790" xr3:uid="{7D5B3001-2347-4314-91A2-3B7502391623}" name="Column8763"/>
    <tableColumn id="8791" xr3:uid="{B1266167-D5FD-49FC-8BEC-2AD780CC24A9}" name="Column8764"/>
    <tableColumn id="8792" xr3:uid="{B7D86656-3517-4774-89A5-E29E90CC5210}" name="Column8765"/>
    <tableColumn id="8793" xr3:uid="{FFF1ED4B-A997-49F4-AF57-81BFDCF47A94}" name="Column8766"/>
    <tableColumn id="8794" xr3:uid="{ADD21127-9792-41A5-96A9-BCEDEFB4A522}" name="Column8767"/>
    <tableColumn id="8795" xr3:uid="{F73A334B-0BBA-4F1B-B0E5-7FA427DB0939}" name="Column8768"/>
    <tableColumn id="8796" xr3:uid="{94D64D22-C8F5-4202-920D-F5AB5072977F}" name="Column8769"/>
    <tableColumn id="8797" xr3:uid="{7BF48616-BB1F-4A7E-A98C-1129E6EACED0}" name="Column8770"/>
    <tableColumn id="8798" xr3:uid="{96AB04F5-40CC-4CAA-99E1-F213EE28C246}" name="Column8771"/>
    <tableColumn id="8799" xr3:uid="{0712B8B1-D9C5-413A-8DD7-CFC704401A26}" name="Column8772"/>
    <tableColumn id="8800" xr3:uid="{2694266C-3DF8-4FDE-B7AD-C44D5BEB925A}" name="Column8773"/>
    <tableColumn id="8801" xr3:uid="{5C03DC12-D4FB-4A74-BBBF-E08FD2288CBD}" name="Column8774"/>
    <tableColumn id="8802" xr3:uid="{605790D4-948B-4615-B86C-F0838D241B91}" name="Column8775"/>
    <tableColumn id="8803" xr3:uid="{D6639FCE-DE34-409D-9368-4A0735A56357}" name="Column8776"/>
    <tableColumn id="8804" xr3:uid="{89B25337-4CC1-4908-B672-45AEA3DB80A6}" name="Column8777"/>
    <tableColumn id="8805" xr3:uid="{0678A611-2DB3-45F7-9076-859BC5337C10}" name="Column8778"/>
    <tableColumn id="8806" xr3:uid="{24C972D2-88E5-4D9B-A8EA-B4EBBCCAF554}" name="Column8779"/>
    <tableColumn id="8807" xr3:uid="{BCCDB0F3-7FBE-4FCB-815F-0D1DF736EE42}" name="Column8780"/>
    <tableColumn id="8808" xr3:uid="{B48F0D87-9D4C-49CD-A220-664168E34089}" name="Column8781"/>
    <tableColumn id="8809" xr3:uid="{CEF6488C-2F99-403A-82CE-45F0FB8DA734}" name="Column8782"/>
    <tableColumn id="8810" xr3:uid="{CA160F59-6CC0-4B73-BFEC-D4E8F8E7E955}" name="Column8783"/>
    <tableColumn id="8811" xr3:uid="{85CEA97A-63FF-4209-A679-1F3A6C1A3F95}" name="Column8784"/>
    <tableColumn id="8812" xr3:uid="{0B66A6AA-EA83-4077-96C6-02479072239D}" name="Column8785"/>
    <tableColumn id="8813" xr3:uid="{A8DB755A-7AE8-448A-9CA0-6F04640D5E4D}" name="Column8786"/>
    <tableColumn id="8814" xr3:uid="{92DC1234-99B9-492F-AE1B-10310D832E30}" name="Column8787"/>
    <tableColumn id="8815" xr3:uid="{057E121B-5EE6-43B7-8A7E-ABD5993EEA56}" name="Column8788"/>
    <tableColumn id="8816" xr3:uid="{97E4F834-8681-4F3B-968C-52C8638B6A41}" name="Column8789"/>
    <tableColumn id="8817" xr3:uid="{FE6F2DB8-B118-4920-A1F2-9375D99F56C4}" name="Column8790"/>
    <tableColumn id="8818" xr3:uid="{44C55E55-B8ED-4E36-B5CA-528FC88383D4}" name="Column8791"/>
    <tableColumn id="8819" xr3:uid="{EA13BC9B-9F25-493F-9275-7096954C7999}" name="Column8792"/>
    <tableColumn id="8820" xr3:uid="{77FBCCA4-DD4A-44DD-8409-3AE862873CE9}" name="Column8793"/>
    <tableColumn id="8821" xr3:uid="{B1DCB009-0283-4C80-AFCB-0BCFA85D203F}" name="Column8794"/>
    <tableColumn id="8822" xr3:uid="{23073BEC-541E-47A1-A438-CB1EF05D35BB}" name="Column8795"/>
    <tableColumn id="8823" xr3:uid="{76730386-DF78-4E72-991C-DBF30465ACF6}" name="Column8796"/>
    <tableColumn id="8824" xr3:uid="{21C66F7D-39D3-4802-B4FA-46FB9FDEEC47}" name="Column8797"/>
    <tableColumn id="8825" xr3:uid="{312A834E-3126-49E8-8BA8-4C51FC6BE80D}" name="Column8798"/>
    <tableColumn id="8826" xr3:uid="{509C7B35-3C08-4F9B-86B6-8E1A118F575E}" name="Column8799"/>
    <tableColumn id="8827" xr3:uid="{00F4CCD9-E231-4E89-9B52-EFACEB969727}" name="Column8800"/>
    <tableColumn id="8828" xr3:uid="{E364CBAB-EC1D-4C1B-B6DB-E206699430F4}" name="Column8801"/>
    <tableColumn id="8829" xr3:uid="{F7663E6D-3B7A-481E-9DEF-809C7ABD7E45}" name="Column8802"/>
    <tableColumn id="8830" xr3:uid="{33376138-865D-4186-A9C4-280CC008C3CC}" name="Column8803"/>
    <tableColumn id="8831" xr3:uid="{54DE160A-A8AB-4445-9D16-5E158D3D18F3}" name="Column8804"/>
    <tableColumn id="8832" xr3:uid="{27D30E16-AD64-42C3-B2C3-D44294074354}" name="Column8805"/>
    <tableColumn id="8833" xr3:uid="{F44E24E5-8820-46D5-A6C4-2902A2042FB0}" name="Column8806"/>
    <tableColumn id="8834" xr3:uid="{40F31AFC-A04D-482C-9BE9-296E032A714F}" name="Column8807"/>
    <tableColumn id="8835" xr3:uid="{3389706F-1484-4B6F-B832-88839D17EF3B}" name="Column8808"/>
    <tableColumn id="8836" xr3:uid="{6D133E31-AADA-4993-8013-7BB7F7034347}" name="Column8809"/>
    <tableColumn id="8837" xr3:uid="{1E3FC67F-B4A8-4974-8A5C-0A38343C5907}" name="Column8810"/>
    <tableColumn id="8838" xr3:uid="{E14B81BE-DC3A-4107-BACC-18AF2E97EC14}" name="Column8811"/>
    <tableColumn id="8839" xr3:uid="{2FFA0484-70C8-4F3F-ABBC-BF840B92E075}" name="Column8812"/>
    <tableColumn id="8840" xr3:uid="{9C0FB6CA-C4F4-4805-A5BA-A15FFD5D8853}" name="Column8813"/>
    <tableColumn id="8841" xr3:uid="{74DCE8B5-9218-403D-9054-6D682FFAC12C}" name="Column8814"/>
    <tableColumn id="8842" xr3:uid="{C6CC9C56-6DA6-4645-BDAA-6D9156578699}" name="Column8815"/>
    <tableColumn id="8843" xr3:uid="{649F4095-A324-4CE2-BA70-EDE7F1143912}" name="Column8816"/>
    <tableColumn id="8844" xr3:uid="{28E3BBD9-0154-4449-9DEC-BB81C3F494F5}" name="Column8817"/>
    <tableColumn id="8845" xr3:uid="{038078F6-752D-4101-8297-1F38B309B01C}" name="Column8818"/>
    <tableColumn id="8846" xr3:uid="{B8EB699E-8B1B-488A-B720-71B5C981641A}" name="Column8819"/>
    <tableColumn id="8847" xr3:uid="{46BBEA4B-1418-45CF-ADC2-B478CA8540B4}" name="Column8820"/>
    <tableColumn id="8848" xr3:uid="{9DB8E0A5-8F0B-4DA0-9430-C415E5F28582}" name="Column8821"/>
    <tableColumn id="8849" xr3:uid="{CDBB6046-2915-422A-99A7-C50BB505294C}" name="Column8822"/>
    <tableColumn id="8850" xr3:uid="{EAD5A8DA-E218-43CC-8ADF-6DA6F5C43F7E}" name="Column8823"/>
    <tableColumn id="8851" xr3:uid="{48EF63A7-2BA4-4FEA-A6D3-F91DA35459E1}" name="Column8824"/>
    <tableColumn id="8852" xr3:uid="{D11C3A42-BA07-4F68-AFE4-97DD3861BB4A}" name="Column8825"/>
    <tableColumn id="8853" xr3:uid="{EFDA0345-B280-432C-9F5E-DA65CCE48DA7}" name="Column8826"/>
    <tableColumn id="8854" xr3:uid="{D89441E7-DBBD-4085-A1D4-1FD3EF4F8973}" name="Column8827"/>
    <tableColumn id="8855" xr3:uid="{F4894F4D-052E-4286-80CF-0B165056B971}" name="Column8828"/>
    <tableColumn id="8856" xr3:uid="{AFDB12BC-DBB8-480B-A2C0-B407FFC907FF}" name="Column8829"/>
    <tableColumn id="8857" xr3:uid="{7C07DD45-0771-4D25-BDA9-F5D251F659D0}" name="Column8830"/>
    <tableColumn id="8858" xr3:uid="{977287CC-4B5C-45FB-B77D-B04E7A0A5E77}" name="Column8831"/>
    <tableColumn id="8859" xr3:uid="{40F0225B-B356-45F3-9146-812FF3009314}" name="Column8832"/>
    <tableColumn id="8860" xr3:uid="{EF53E479-E63B-481B-99BC-4CD01E9E45EE}" name="Column8833"/>
    <tableColumn id="8861" xr3:uid="{A4B3DF5D-2AA9-4118-8BEB-3C691B697D1A}" name="Column8834"/>
    <tableColumn id="8862" xr3:uid="{C2B388BD-327D-44D5-9958-54607BF5F2D6}" name="Column8835"/>
    <tableColumn id="8863" xr3:uid="{42ADE901-3669-40A5-ABD0-2DF79770D4AE}" name="Column8836"/>
    <tableColumn id="8864" xr3:uid="{94FF2349-A6F0-41BA-82B0-E8C5E99E262B}" name="Column8837"/>
    <tableColumn id="8865" xr3:uid="{52D1B904-2643-4329-B48A-B33A8B100D15}" name="Column8838"/>
    <tableColumn id="8866" xr3:uid="{46733D4E-4046-45EB-AA1D-4BA7B3B0FC2A}" name="Column8839"/>
    <tableColumn id="8867" xr3:uid="{1850B887-BFE3-4052-A7B5-6544AE4CA0F5}" name="Column8840"/>
    <tableColumn id="8868" xr3:uid="{67BEC1BC-ACF1-4A7C-91BC-0483EBBBA482}" name="Column8841"/>
    <tableColumn id="8869" xr3:uid="{FBFB2486-80CA-4D6E-AA61-7E9D28847D8A}" name="Column8842"/>
    <tableColumn id="8870" xr3:uid="{AD111FD8-26F7-46B8-88E3-9940BF3BFC79}" name="Column8843"/>
    <tableColumn id="8871" xr3:uid="{EBDD6324-2E8B-4C38-B193-D84EFAD307F8}" name="Column8844"/>
    <tableColumn id="8872" xr3:uid="{DA556840-E78C-4E30-8214-D6A274B0C624}" name="Column8845"/>
    <tableColumn id="8873" xr3:uid="{5D9C9437-2ABD-4A44-A4CB-9CDBD8A10136}" name="Column8846"/>
    <tableColumn id="8874" xr3:uid="{8F208701-47B0-410E-BC2A-25165AA40775}" name="Column8847"/>
    <tableColumn id="8875" xr3:uid="{FCA0B1E3-14A6-4326-B6F9-CBC623EDEF47}" name="Column8848"/>
    <tableColumn id="8876" xr3:uid="{94E65ABA-1221-453E-B1FC-EFD8C036738F}" name="Column8849"/>
    <tableColumn id="8877" xr3:uid="{771489DE-507F-41DF-90CA-537264402B78}" name="Column8850"/>
    <tableColumn id="8878" xr3:uid="{76065D77-926E-4BBA-93D0-31C5B645526F}" name="Column8851"/>
    <tableColumn id="8879" xr3:uid="{36EE0FF7-AF18-46A6-AC57-129DD2B28E9F}" name="Column8852"/>
    <tableColumn id="8880" xr3:uid="{98AC4F87-7BA3-4932-B73D-2CA15C36959F}" name="Column8853"/>
    <tableColumn id="8881" xr3:uid="{BD57EB68-A57C-4339-A7DE-16703559854A}" name="Column8854"/>
    <tableColumn id="8882" xr3:uid="{6ACDE70E-C4BD-4803-900A-548598BF6EE8}" name="Column8855"/>
    <tableColumn id="8883" xr3:uid="{C56AF41E-725A-4072-A70A-639E93316B1B}" name="Column8856"/>
    <tableColumn id="8884" xr3:uid="{4D7AD577-743F-4DE9-A76E-57856D134682}" name="Column8857"/>
    <tableColumn id="8885" xr3:uid="{33D51FA0-1434-40E6-8675-05EEB4F9D18C}" name="Column8858"/>
    <tableColumn id="8886" xr3:uid="{E4E6DCEE-5810-4AF4-8E37-70D086240C6B}" name="Column8859"/>
    <tableColumn id="8887" xr3:uid="{2D5722C4-B4DE-4375-8F4C-33F2ECEBF4D8}" name="Column8860"/>
    <tableColumn id="8888" xr3:uid="{346AC173-ADD7-41B9-9D62-BF2BE2F56A9D}" name="Column8861"/>
    <tableColumn id="8889" xr3:uid="{9CA3CC1A-5521-4329-B84B-A7C3B28F51A7}" name="Column8862"/>
    <tableColumn id="8890" xr3:uid="{9561FFFF-C571-4AFE-96FF-ACB4D799BEC7}" name="Column8863"/>
    <tableColumn id="8891" xr3:uid="{51B38684-37AD-4F3C-B4E4-D8B8A3CC2F0F}" name="Column8864"/>
    <tableColumn id="8892" xr3:uid="{CDBD3FBE-B17D-4D91-A993-C6D5B9878CE0}" name="Column8865"/>
    <tableColumn id="8893" xr3:uid="{5BFD5192-6771-4DE2-9343-0D945FB43168}" name="Column8866"/>
    <tableColumn id="8894" xr3:uid="{56A5C649-7D06-4A5D-AC98-788F7D1A1DAF}" name="Column8867"/>
    <tableColumn id="8895" xr3:uid="{5E880CF4-7B1E-4FD1-95CE-A02B2617A4C6}" name="Column8868"/>
    <tableColumn id="8896" xr3:uid="{DF979996-4DF6-4307-8C51-81E3206EE1B0}" name="Column8869"/>
    <tableColumn id="8897" xr3:uid="{8C75290A-D94C-4564-ABA9-1EC84529BAF1}" name="Column8870"/>
    <tableColumn id="8898" xr3:uid="{0FC52469-CC64-43E7-AF4F-A647A0AD2C41}" name="Column8871"/>
    <tableColumn id="8899" xr3:uid="{8C4C7339-2885-4DA1-AEC4-013BE4149F6E}" name="Column8872"/>
    <tableColumn id="8900" xr3:uid="{424BC4C3-4905-488C-887E-4B74EE5417A5}" name="Column8873"/>
    <tableColumn id="8901" xr3:uid="{78650AF8-DB1C-453F-9B26-585FD9C74507}" name="Column8874"/>
    <tableColumn id="8902" xr3:uid="{45F46EFE-22FE-4552-8BAC-A1A25A11E6F2}" name="Column8875"/>
    <tableColumn id="8903" xr3:uid="{54EE31C7-D34E-468B-9342-B038F599C2F0}" name="Column8876"/>
    <tableColumn id="8904" xr3:uid="{BDE9ED7F-D63F-45BF-B291-58449B0AE14E}" name="Column8877"/>
    <tableColumn id="8905" xr3:uid="{7303D9A4-5CAA-470A-908B-F95182BC758D}" name="Column8878"/>
    <tableColumn id="8906" xr3:uid="{55C42878-C649-4381-94C2-13E0B65E5891}" name="Column8879"/>
    <tableColumn id="8907" xr3:uid="{16C59F3D-892C-47CD-8895-111D8E57BC2B}" name="Column8880"/>
    <tableColumn id="8908" xr3:uid="{46B6E669-F98F-45E9-A090-537A2910B7A7}" name="Column8881"/>
    <tableColumn id="8909" xr3:uid="{C5AE1360-DBC5-4DEF-A7BC-B33955E25344}" name="Column8882"/>
    <tableColumn id="8910" xr3:uid="{FB828B2F-BC2D-46E1-A48A-0F39A0623196}" name="Column8883"/>
    <tableColumn id="8911" xr3:uid="{8BB6039B-4D41-413D-B1F1-C5968E767B72}" name="Column8884"/>
    <tableColumn id="8912" xr3:uid="{01AC541B-4AD5-413B-B726-7101BCFF32E0}" name="Column8885"/>
    <tableColumn id="8913" xr3:uid="{D0141A1C-AF6F-48F8-8DC9-536B9FB13502}" name="Column8886"/>
    <tableColumn id="8914" xr3:uid="{E8DBCA77-C5E0-4D1E-A62B-4201178B6D25}" name="Column8887"/>
    <tableColumn id="8915" xr3:uid="{7E1E26A6-CFAA-485A-AAD0-FB9F76858919}" name="Column8888"/>
    <tableColumn id="8916" xr3:uid="{9A90C102-2E00-41A5-956A-DE9273845F1E}" name="Column8889"/>
    <tableColumn id="8917" xr3:uid="{46566139-ABF6-4832-975B-1E20D74F995D}" name="Column8890"/>
    <tableColumn id="8918" xr3:uid="{2B267936-DC8B-43C0-8D7D-531F18D33963}" name="Column8891"/>
    <tableColumn id="8919" xr3:uid="{E8A733C3-5A36-4FE9-994A-95880F12F497}" name="Column8892"/>
    <tableColumn id="8920" xr3:uid="{1A964249-3431-47D1-92BF-1C8A79E8EE1C}" name="Column8893"/>
    <tableColumn id="8921" xr3:uid="{5B66B46D-A7DC-4A7A-A367-06E2BEB4A947}" name="Column8894"/>
    <tableColumn id="8922" xr3:uid="{C9A10D04-0E5B-411C-B6FE-D2BFC415BD91}" name="Column8895"/>
    <tableColumn id="8923" xr3:uid="{AE42CE7B-ED4C-4AEF-81C5-1BDB0440B674}" name="Column8896"/>
    <tableColumn id="8924" xr3:uid="{1CEDC3D3-329B-4C6A-BDD4-B3DD59E052C7}" name="Column8897"/>
    <tableColumn id="8925" xr3:uid="{84ED2D63-EFFA-41F9-A935-975E22658FCD}" name="Column8898"/>
    <tableColumn id="8926" xr3:uid="{A474A415-166A-44CA-8CC3-AC111A34B003}" name="Column8899"/>
    <tableColumn id="8927" xr3:uid="{D3A41152-A66C-4E6D-BF90-E94798BCF46D}" name="Column8900"/>
    <tableColumn id="8928" xr3:uid="{D3076591-DF7F-4933-9C72-ED3A4A60A9EE}" name="Column8901"/>
    <tableColumn id="8929" xr3:uid="{3A65A539-7A2E-4538-ADF8-5871E14660BB}" name="Column8902"/>
    <tableColumn id="8930" xr3:uid="{9F2148DE-B6AF-4186-9CEA-91C4BE1CA0C8}" name="Column8903"/>
    <tableColumn id="8931" xr3:uid="{332E4065-AB59-4F76-AEF6-0289E3E9E340}" name="Column8904"/>
    <tableColumn id="8932" xr3:uid="{5EEE77CC-A8D7-448E-8E1C-99FCB297248B}" name="Column8905"/>
    <tableColumn id="8933" xr3:uid="{AEBF1BE1-C617-4CE7-8873-3FAFE9FE1F03}" name="Column8906"/>
    <tableColumn id="8934" xr3:uid="{A2BA435B-53E1-4E89-A731-28942835D21D}" name="Column8907"/>
    <tableColumn id="8935" xr3:uid="{448E4CFF-E3B7-425A-A5F2-4FC479FFF7CB}" name="Column8908"/>
    <tableColumn id="8936" xr3:uid="{CBC43509-1C94-4EC0-849C-A76C4BC7E830}" name="Column8909"/>
    <tableColumn id="8937" xr3:uid="{9EEE74D7-64FB-4596-8616-46DF01510DF5}" name="Column8910"/>
    <tableColumn id="8938" xr3:uid="{88D1C4FA-46C7-4525-A1FC-B2FB075F4431}" name="Column8911"/>
    <tableColumn id="8939" xr3:uid="{C3151419-C45F-49EF-AD1B-B03F3F5F01EB}" name="Column8912"/>
    <tableColumn id="8940" xr3:uid="{DC7817B1-B85F-4BFA-A4A0-301AA996A47E}" name="Column8913"/>
    <tableColumn id="8941" xr3:uid="{A719256F-A8B8-442D-ABF5-DD508C7B5415}" name="Column8914"/>
    <tableColumn id="8942" xr3:uid="{33213EF7-DF0D-40E6-A674-4B77D7F16E1D}" name="Column8915"/>
    <tableColumn id="8943" xr3:uid="{0D93170F-7E28-4AA9-B9F6-FBCC2ACCDDDD}" name="Column8916"/>
    <tableColumn id="8944" xr3:uid="{0045DEAC-5EC4-407E-B5FB-6A5325B6E5AC}" name="Column8917"/>
    <tableColumn id="8945" xr3:uid="{5FF82833-7D1D-4722-AF05-793C045B0FBD}" name="Column8918"/>
    <tableColumn id="8946" xr3:uid="{8CF11F98-D95B-4F3C-8AC3-8BC4FD280EDE}" name="Column8919"/>
    <tableColumn id="8947" xr3:uid="{CF477142-18A4-4ADC-AD77-D3FB79703D26}" name="Column8920"/>
    <tableColumn id="8948" xr3:uid="{EDB2423B-1179-4A8A-BA95-C35108573326}" name="Column8921"/>
    <tableColumn id="8949" xr3:uid="{4AF3CC5E-2B18-4EAC-9C4A-705A3CD66B8E}" name="Column8922"/>
    <tableColumn id="8950" xr3:uid="{2BE11A20-B560-4691-B97D-4EFAA81FFF8D}" name="Column8923"/>
    <tableColumn id="8951" xr3:uid="{66B98F4D-CF54-464F-B095-096EADBCE9A5}" name="Column8924"/>
    <tableColumn id="8952" xr3:uid="{BEE8BCA0-4FB7-4472-9547-FC7D3D0439D0}" name="Column8925"/>
    <tableColumn id="8953" xr3:uid="{B83F0D55-94F1-41D3-A1BC-040A605C406D}" name="Column8926"/>
    <tableColumn id="8954" xr3:uid="{2F62E127-8DE8-4A29-99F0-5EF4FBBCDA7B}" name="Column8927"/>
    <tableColumn id="8955" xr3:uid="{1157E47B-7310-4E72-9F9A-F4D19A6F5C54}" name="Column8928"/>
    <tableColumn id="8956" xr3:uid="{3D9F8397-9745-4411-A35B-AB8D1F9DE291}" name="Column8929"/>
    <tableColumn id="8957" xr3:uid="{522E702D-10D4-4A60-AD11-F125EAF24E87}" name="Column8930"/>
    <tableColumn id="8958" xr3:uid="{0E5AC76B-6B69-4914-92E5-E11C49FA468F}" name="Column8931"/>
    <tableColumn id="8959" xr3:uid="{A4A584C0-5CD4-4C54-82F4-897DA762DCF7}" name="Column8932"/>
    <tableColumn id="8960" xr3:uid="{74E35515-9552-4DC8-A130-54DB8C85F7AD}" name="Column8933"/>
    <tableColumn id="8961" xr3:uid="{A4AD5296-F0AC-4DFD-B594-46E7B241888E}" name="Column8934"/>
    <tableColumn id="8962" xr3:uid="{F3C8D849-F980-4395-8F4E-29586B00B963}" name="Column8935"/>
    <tableColumn id="8963" xr3:uid="{08A89FD8-E303-476C-87D2-860494090AAD}" name="Column8936"/>
    <tableColumn id="8964" xr3:uid="{37475B22-2CB9-4105-8429-36F14AB5716A}" name="Column8937"/>
    <tableColumn id="8965" xr3:uid="{C6ABAD02-4A57-4FEB-88BD-A8CFC35C9665}" name="Column8938"/>
    <tableColumn id="8966" xr3:uid="{6BDDEA52-DADB-4537-AFE6-E326A7D4673D}" name="Column8939"/>
    <tableColumn id="8967" xr3:uid="{FB899589-FC53-4A9D-B3D8-8F061A7CD950}" name="Column8940"/>
    <tableColumn id="8968" xr3:uid="{68DA76A7-B6AB-4889-BED6-8F3035F20EFC}" name="Column8941"/>
    <tableColumn id="8969" xr3:uid="{952CB1D2-ACDB-4C57-B87A-FC7285257989}" name="Column8942"/>
    <tableColumn id="8970" xr3:uid="{67B79577-F526-4D1F-AF81-18336A758A8A}" name="Column8943"/>
    <tableColumn id="8971" xr3:uid="{ECFE05F7-7258-408F-B74D-AF2C8ECA2CD3}" name="Column8944"/>
    <tableColumn id="8972" xr3:uid="{5F48D133-798A-4434-819B-F88A9F25A3D4}" name="Column8945"/>
    <tableColumn id="8973" xr3:uid="{3B77E316-27F0-4F6F-8B54-0849DE0ADF27}" name="Column8946"/>
    <tableColumn id="8974" xr3:uid="{2338C04C-76F9-4797-9669-59520F1D2958}" name="Column8947"/>
    <tableColumn id="8975" xr3:uid="{4AFF9089-B41C-406B-929B-3379C56D5CD6}" name="Column8948"/>
    <tableColumn id="8976" xr3:uid="{D135A4F0-7BD2-4289-8335-75D81B6DFA30}" name="Column8949"/>
    <tableColumn id="8977" xr3:uid="{65099CF5-5B15-4EA8-B2CB-9DA6E98D3FC5}" name="Column8950"/>
    <tableColumn id="8978" xr3:uid="{5BFAFBAC-A94C-437F-8DC8-B40821BF8D08}" name="Column8951"/>
    <tableColumn id="8979" xr3:uid="{F31494A3-C02C-471B-BDC4-E7C2F57FFB84}" name="Column8952"/>
    <tableColumn id="8980" xr3:uid="{E1BE90AD-2FC6-4192-8688-FC79B07B6B40}" name="Column8953"/>
    <tableColumn id="8981" xr3:uid="{878651CB-4419-4537-B75D-89AEBC5FE4D3}" name="Column8954"/>
    <tableColumn id="8982" xr3:uid="{4732B10D-0D7D-4A74-B158-4869DA22E8C5}" name="Column8955"/>
    <tableColumn id="8983" xr3:uid="{9AF1D6B1-3479-4D7A-900A-2B8A02892D2B}" name="Column8956"/>
    <tableColumn id="8984" xr3:uid="{254797ED-A43C-46F4-B156-209C3440C3CC}" name="Column8957"/>
    <tableColumn id="8985" xr3:uid="{729290C4-7746-4916-A28A-699174032EB7}" name="Column8958"/>
    <tableColumn id="8986" xr3:uid="{6A3BCBF9-548B-4720-B11C-056BC2BC5055}" name="Column8959"/>
    <tableColumn id="8987" xr3:uid="{D730CE18-FCBD-4465-B958-F71C0C711C06}" name="Column8960"/>
    <tableColumn id="8988" xr3:uid="{D2748491-3FDF-450E-BA1E-4E11C14AEADC}" name="Column8961"/>
    <tableColumn id="8989" xr3:uid="{0071E429-3489-4B6A-A85B-12BD1D7ED2DB}" name="Column8962"/>
    <tableColumn id="8990" xr3:uid="{BB683AFA-F075-487F-B582-CCBEC8AF2E54}" name="Column8963"/>
    <tableColumn id="8991" xr3:uid="{00741E5C-A9BF-4D20-93D2-EF619AD18398}" name="Column8964"/>
    <tableColumn id="8992" xr3:uid="{0C507AC1-9A44-42E0-A19A-2DC5788EBEF7}" name="Column8965"/>
    <tableColumn id="8993" xr3:uid="{95455F07-88B9-43E2-A82B-48A0B3D4082A}" name="Column8966"/>
    <tableColumn id="8994" xr3:uid="{FE794F5C-C473-49DD-AF42-902C0E8D99DD}" name="Column8967"/>
    <tableColumn id="8995" xr3:uid="{79EFF8D0-4D8E-4143-B7C0-98D2C6A172F6}" name="Column8968"/>
    <tableColumn id="8996" xr3:uid="{86B87985-4002-403C-84D1-5EB8FC7A6EBC}" name="Column8969"/>
    <tableColumn id="8997" xr3:uid="{2B77A3AE-9E5E-4FE7-9FE5-530F105C911A}" name="Column8970"/>
    <tableColumn id="8998" xr3:uid="{D1A9F538-5801-4B08-A91F-2DD2BB8D77C1}" name="Column8971"/>
    <tableColumn id="8999" xr3:uid="{468A0EBA-4C2D-467F-B4CD-BB8823A2F837}" name="Column8972"/>
    <tableColumn id="9000" xr3:uid="{38F15288-412F-45E8-A8A9-58DB2FDE33C0}" name="Column8973"/>
    <tableColumn id="9001" xr3:uid="{09C9729D-C461-4211-B5DC-070F88010F74}" name="Column8974"/>
    <tableColumn id="9002" xr3:uid="{DAD968F8-E5F2-4137-9F6C-8CF50552D145}" name="Column8975"/>
    <tableColumn id="9003" xr3:uid="{90BFFF11-D264-4A14-B570-EE06188CAD64}" name="Column8976"/>
    <tableColumn id="9004" xr3:uid="{14D9F2E4-DDB0-49AE-944E-7C07A6F32A87}" name="Column8977"/>
    <tableColumn id="9005" xr3:uid="{02E67115-9447-4E3A-8197-E8146358EC63}" name="Column8978"/>
    <tableColumn id="9006" xr3:uid="{AACC3F50-950C-4D02-ACBF-C8312F886C48}" name="Column8979"/>
    <tableColumn id="9007" xr3:uid="{4AA964A1-E782-4672-8A14-BEF34FAAAA40}" name="Column8980"/>
    <tableColumn id="9008" xr3:uid="{27CE7097-0FD8-429C-8E57-4A9987569EA4}" name="Column8981"/>
    <tableColumn id="9009" xr3:uid="{C741436D-A986-4185-8804-E9DF96949D8B}" name="Column8982"/>
    <tableColumn id="9010" xr3:uid="{62DD0A66-5955-42CE-8573-EE85E125826D}" name="Column8983"/>
    <tableColumn id="9011" xr3:uid="{B5529865-89C6-4E4E-9612-4B1821BB031F}" name="Column8984"/>
    <tableColumn id="9012" xr3:uid="{A361FACC-2C3E-4E15-B847-5195B36716C0}" name="Column8985"/>
    <tableColumn id="9013" xr3:uid="{6EE4CE42-84FC-414A-B3B6-19754D3855D7}" name="Column8986"/>
    <tableColumn id="9014" xr3:uid="{332CCD45-30D3-4761-A824-320D87B5F600}" name="Column8987"/>
    <tableColumn id="9015" xr3:uid="{95EB9AF4-8CB6-40CC-AC37-7F3B30679661}" name="Column8988"/>
    <tableColumn id="9016" xr3:uid="{52AE1E07-1FB8-4A3D-8B87-347B7725A6EE}" name="Column8989"/>
    <tableColumn id="9017" xr3:uid="{84A95C6B-A031-4F17-8C0E-FDA9784C339A}" name="Column8990"/>
    <tableColumn id="9018" xr3:uid="{92DBD7AA-12FC-4369-987A-BA4E7F7EC3A4}" name="Column8991"/>
    <tableColumn id="9019" xr3:uid="{4A0D5D64-07D2-49AC-A400-40344D331E62}" name="Column8992"/>
    <tableColumn id="9020" xr3:uid="{90C4C0DC-45A7-4173-A5C8-068F1654261E}" name="Column8993"/>
    <tableColumn id="9021" xr3:uid="{1D25424B-C6DD-4857-AF52-E66A11336BE2}" name="Column8994"/>
    <tableColumn id="9022" xr3:uid="{DD7D6E42-2A60-47CF-8EB4-D45170667996}" name="Column8995"/>
    <tableColumn id="9023" xr3:uid="{07733AC1-6A54-489A-99DD-8DC60CF9F481}" name="Column8996"/>
    <tableColumn id="9024" xr3:uid="{21EFCC4B-6C6A-447C-982E-F0F93670F5CB}" name="Column8997"/>
    <tableColumn id="9025" xr3:uid="{03EFF5B0-284F-407A-8E99-77098B48268A}" name="Column8998"/>
    <tableColumn id="9026" xr3:uid="{F6CD2C26-1FB9-4A81-A21B-AEBA0BC03EC8}" name="Column8999"/>
    <tableColumn id="9027" xr3:uid="{F64575CF-137E-4CAA-9911-8A3126213F33}" name="Column9000"/>
    <tableColumn id="9028" xr3:uid="{3D382D14-38F4-4A25-BC5B-34E3A577C472}" name="Column9001"/>
    <tableColumn id="9029" xr3:uid="{A2943632-9384-429A-81F9-AF814DEC8002}" name="Column9002"/>
    <tableColumn id="9030" xr3:uid="{5AE52788-2A8A-484F-87FF-683AE0E04F8B}" name="Column9003"/>
    <tableColumn id="9031" xr3:uid="{49F55E6F-3405-4948-BDF7-0F640F48EC69}" name="Column9004"/>
    <tableColumn id="9032" xr3:uid="{E77D90DB-8987-44A4-A9FA-6EFF993F68C1}" name="Column9005"/>
    <tableColumn id="9033" xr3:uid="{18CDE77C-B426-47A8-8238-839BA2DE3D00}" name="Column9006"/>
    <tableColumn id="9034" xr3:uid="{5ED7DE7F-9CF8-4B87-B11A-C4381465FB70}" name="Column9007"/>
    <tableColumn id="9035" xr3:uid="{533D1EF4-2953-43BD-A71A-47FAA20D2B57}" name="Column9008"/>
    <tableColumn id="9036" xr3:uid="{702F9D44-7E87-4FB8-B00C-E7A927CCA404}" name="Column9009"/>
    <tableColumn id="9037" xr3:uid="{84DF5A2C-6B1F-409E-9EFB-0DC0F0800A09}" name="Column9010"/>
    <tableColumn id="9038" xr3:uid="{D7A11E0C-DE75-4A28-973D-8ECFDFBA6806}" name="Column9011"/>
    <tableColumn id="9039" xr3:uid="{E5BD173C-73EE-4989-B316-22C3DF238CA4}" name="Column9012"/>
    <tableColumn id="9040" xr3:uid="{ECBA1ABF-8FB9-4F95-A706-95C4946942F8}" name="Column9013"/>
    <tableColumn id="9041" xr3:uid="{194AD646-CE51-4B86-8656-654711571A05}" name="Column9014"/>
    <tableColumn id="9042" xr3:uid="{077E60FD-63C4-4758-9B66-2EAACE8F7030}" name="Column9015"/>
    <tableColumn id="9043" xr3:uid="{8E3B2CBE-5798-4773-880D-FA6AF98C7D9C}" name="Column9016"/>
    <tableColumn id="9044" xr3:uid="{D6244425-4306-4FAF-9836-967CEB85A789}" name="Column9017"/>
    <tableColumn id="9045" xr3:uid="{16E74AFB-8272-4062-BE24-E698E78DAD29}" name="Column9018"/>
    <tableColumn id="9046" xr3:uid="{113E365D-ADD1-4F0C-A523-1D680744FECC}" name="Column9019"/>
    <tableColumn id="9047" xr3:uid="{FB2D1956-4F5D-4580-B3CA-5E461D8DB447}" name="Column9020"/>
    <tableColumn id="9048" xr3:uid="{ADC0FB76-6C0C-4ADB-91B7-6A8E219E7C4F}" name="Column9021"/>
    <tableColumn id="9049" xr3:uid="{71EF6185-998B-4674-9460-5A9234512388}" name="Column9022"/>
    <tableColumn id="9050" xr3:uid="{A393A9C8-A0FD-485D-8FA3-76DB6B74DF44}" name="Column9023"/>
    <tableColumn id="9051" xr3:uid="{2FDCCE2F-4855-4407-9B38-F0172685F982}" name="Column9024"/>
    <tableColumn id="9052" xr3:uid="{416D34B2-C682-468C-9A5F-1DA566234446}" name="Column9025"/>
    <tableColumn id="9053" xr3:uid="{F39931A1-F588-48F9-B43D-E27C569E3C4D}" name="Column9026"/>
    <tableColumn id="9054" xr3:uid="{D26C0ABC-D357-408E-8162-EEED65CC192F}" name="Column9027"/>
    <tableColumn id="9055" xr3:uid="{A5B84EA2-5354-4AE7-B6EA-D420654492E5}" name="Column9028"/>
    <tableColumn id="9056" xr3:uid="{0FD4BDC0-293A-4AA2-9F62-0A09077C7AF1}" name="Column9029"/>
    <tableColumn id="9057" xr3:uid="{0815493A-D981-4715-97C5-D4815217692D}" name="Column9030"/>
    <tableColumn id="9058" xr3:uid="{2D95BF1E-AFE9-40BE-99E8-D98D5C4C0ED9}" name="Column9031"/>
    <tableColumn id="9059" xr3:uid="{A0A68A05-0F43-4138-886E-B732A62A48E9}" name="Column9032"/>
    <tableColumn id="9060" xr3:uid="{A94E02CB-F7A2-4999-B253-F5C627952895}" name="Column9033"/>
    <tableColumn id="9061" xr3:uid="{21DED62A-86D4-47C9-A03C-E9DAFC564EA6}" name="Column9034"/>
    <tableColumn id="9062" xr3:uid="{7DA9799D-D672-4E4A-B765-E5C796A6B714}" name="Column9035"/>
    <tableColumn id="9063" xr3:uid="{393AE36E-3250-44CC-827D-FAEAE1140DA6}" name="Column9036"/>
    <tableColumn id="9064" xr3:uid="{7652914C-130A-4653-A6EE-4F51F3E4534A}" name="Column9037"/>
    <tableColumn id="9065" xr3:uid="{CB512F90-4E0F-4AAB-88EB-9A767BBFE061}" name="Column9038"/>
    <tableColumn id="9066" xr3:uid="{634C818C-5B56-427E-806D-61FEC5AB6B57}" name="Column9039"/>
    <tableColumn id="9067" xr3:uid="{97AB07CE-E8C3-459F-BF8C-02C5E80495D4}" name="Column9040"/>
    <tableColumn id="9068" xr3:uid="{29364C0A-2E72-4C23-A0D2-43B84411A46C}" name="Column9041"/>
    <tableColumn id="9069" xr3:uid="{CAA8932E-4D78-406B-939F-E441BA815DDD}" name="Column9042"/>
    <tableColumn id="9070" xr3:uid="{DBA2DCAF-C200-4B82-8EAD-8AC933490227}" name="Column9043"/>
    <tableColumn id="9071" xr3:uid="{DDD7E8F7-FDD5-4085-AA66-4F2C5729007F}" name="Column9044"/>
    <tableColumn id="9072" xr3:uid="{9B028418-2A6C-4CCB-BAAD-EA70CE9ED166}" name="Column9045"/>
    <tableColumn id="9073" xr3:uid="{6A9FF63B-F128-4D91-9378-E8F452CF0A99}" name="Column9046"/>
    <tableColumn id="9074" xr3:uid="{82633CE6-051D-4FA9-A17F-6909717D14A7}" name="Column9047"/>
    <tableColumn id="9075" xr3:uid="{E8202F85-C4D6-45D0-BF56-171695C10B3F}" name="Column9048"/>
    <tableColumn id="9076" xr3:uid="{B6FDA10C-495E-4EF4-8042-5DE093A968C4}" name="Column9049"/>
    <tableColumn id="9077" xr3:uid="{794DE40A-BEF0-4443-9B15-3AC176EB9D8F}" name="Column9050"/>
    <tableColumn id="9078" xr3:uid="{BCE9F32B-B99C-4E59-8313-6AE5E53D7F9A}" name="Column9051"/>
    <tableColumn id="9079" xr3:uid="{BB601DCF-9861-46F4-A1A9-3475294CDF91}" name="Column9052"/>
    <tableColumn id="9080" xr3:uid="{E3E0CEFA-0E7E-400C-BC24-BA3F4FE66444}" name="Column9053"/>
    <tableColumn id="9081" xr3:uid="{DEDFE76C-0202-4F97-8D6A-F6748FDB3F8D}" name="Column9054"/>
    <tableColumn id="9082" xr3:uid="{4E779DCE-34AB-4A7F-B575-C02BE6F28AFB}" name="Column9055"/>
    <tableColumn id="9083" xr3:uid="{7A1C291A-BDE3-4B1C-B3EC-B7F046459DDC}" name="Column9056"/>
    <tableColumn id="9084" xr3:uid="{C8CEE964-BB30-4353-892D-CD6725CF0AB3}" name="Column9057"/>
    <tableColumn id="9085" xr3:uid="{1D39306F-2A87-4D3A-B316-E01B066AFDFA}" name="Column9058"/>
    <tableColumn id="9086" xr3:uid="{55C16F97-5F44-4FA4-81B4-A9761E7F0B9D}" name="Column9059"/>
    <tableColumn id="9087" xr3:uid="{0960DB75-D330-47CF-8369-6DCC937828E4}" name="Column9060"/>
    <tableColumn id="9088" xr3:uid="{2553AA5A-539D-4766-BD4F-B8829474AE78}" name="Column9061"/>
    <tableColumn id="9089" xr3:uid="{AFD2F2A6-AD30-47E0-A739-59F8A6028139}" name="Column9062"/>
    <tableColumn id="9090" xr3:uid="{95FFA2A8-A7E1-4B12-8241-9AB7876DF133}" name="Column9063"/>
    <tableColumn id="9091" xr3:uid="{2B7D3002-83F7-4D7A-A4F5-8E0EA1DF6ABC}" name="Column9064"/>
    <tableColumn id="9092" xr3:uid="{B171F9FF-4F8F-4C16-82D7-B28D65032DA1}" name="Column9065"/>
    <tableColumn id="9093" xr3:uid="{7B2BD924-BDAE-4903-84C4-290972B23DD6}" name="Column9066"/>
    <tableColumn id="9094" xr3:uid="{9CDBDE0E-6B7A-4C3E-B8B2-0E0A12830A84}" name="Column9067"/>
    <tableColumn id="9095" xr3:uid="{E883EFD0-8943-4BB8-A023-E61E9508924A}" name="Column9068"/>
    <tableColumn id="9096" xr3:uid="{A09C3E06-2EE1-420B-87E4-7D5C61D1AF4A}" name="Column9069"/>
    <tableColumn id="9097" xr3:uid="{91E7CAAC-36B0-4A65-956C-4E50D56BFAFC}" name="Column9070"/>
    <tableColumn id="9098" xr3:uid="{BBA4352E-520F-4218-9369-AC8B00C17DE2}" name="Column9071"/>
    <tableColumn id="9099" xr3:uid="{78000F66-ECA4-48C0-914D-739499AE4FB3}" name="Column9072"/>
    <tableColumn id="9100" xr3:uid="{0BAFBDF7-D712-47CA-8312-2F1E3C874726}" name="Column9073"/>
    <tableColumn id="9101" xr3:uid="{641C87D8-D082-4F2F-B2D1-FFD7CE40230D}" name="Column9074"/>
    <tableColumn id="9102" xr3:uid="{427B95D3-F0E3-400D-90CC-9BF999A7D0BA}" name="Column9075"/>
    <tableColumn id="9103" xr3:uid="{0E9A890E-8A37-44B5-BA66-34BFEFDB941C}" name="Column9076"/>
    <tableColumn id="9104" xr3:uid="{DAA7D5D8-21D8-485B-918D-68420DB9BB13}" name="Column9077"/>
    <tableColumn id="9105" xr3:uid="{1CDE3749-F27B-4B4A-BC88-6C32F8292C82}" name="Column9078"/>
    <tableColumn id="9106" xr3:uid="{8B1541B6-823B-4356-8EE8-F33516FFF147}" name="Column9079"/>
    <tableColumn id="9107" xr3:uid="{D92E085A-1CB2-48BC-AB73-78C1B67FEB26}" name="Column9080"/>
    <tableColumn id="9108" xr3:uid="{11F9FA8D-E7C4-4518-A014-59C8BED5B182}" name="Column9081"/>
    <tableColumn id="9109" xr3:uid="{A95F59DF-94A7-4DE6-92A3-51164AA99EA5}" name="Column9082"/>
    <tableColumn id="9110" xr3:uid="{584CFEDF-6DD0-4275-815A-1F8FE16C70CF}" name="Column9083"/>
    <tableColumn id="9111" xr3:uid="{2C0582BF-647E-47EE-ACBD-76DC8AE15C74}" name="Column9084"/>
    <tableColumn id="9112" xr3:uid="{E749D605-32F5-4847-84F1-C04B58C56B16}" name="Column9085"/>
    <tableColumn id="9113" xr3:uid="{A10218A8-4A49-4CFA-8439-D51183F94675}" name="Column9086"/>
    <tableColumn id="9114" xr3:uid="{626633FE-DD30-40F4-9775-B0AED5A369F0}" name="Column9087"/>
    <tableColumn id="9115" xr3:uid="{2802CA1D-537E-4BDC-8734-90BC7D5F6F5F}" name="Column9088"/>
    <tableColumn id="9116" xr3:uid="{4674A8C0-8C55-4D93-A88B-314151FCA695}" name="Column9089"/>
    <tableColumn id="9117" xr3:uid="{241CA1C9-0027-4A58-A164-34687B68A31F}" name="Column9090"/>
    <tableColumn id="9118" xr3:uid="{9AA1146F-49AD-49ED-91A2-A504E288DF1A}" name="Column9091"/>
    <tableColumn id="9119" xr3:uid="{D065582D-8C1E-42F1-ACB2-7D8C8DB7048E}" name="Column9092"/>
    <tableColumn id="9120" xr3:uid="{AAA73D57-0D48-402B-9810-739D911B9273}" name="Column9093"/>
    <tableColumn id="9121" xr3:uid="{2FA94796-D4E9-4B87-A1AB-A17204F83A7F}" name="Column9094"/>
    <tableColumn id="9122" xr3:uid="{6C20F25E-A78B-4133-BE68-2A80E466F7A6}" name="Column9095"/>
    <tableColumn id="9123" xr3:uid="{1C57429E-825F-4231-ADF3-0B04630876F5}" name="Column9096"/>
    <tableColumn id="9124" xr3:uid="{1F6F634A-EFF8-488F-BC08-10DE2361273A}" name="Column9097"/>
    <tableColumn id="9125" xr3:uid="{C02BBDFD-A8FD-493F-96B2-B8DE921129C4}" name="Column9098"/>
    <tableColumn id="9126" xr3:uid="{D1186FBF-2468-4655-8ECF-09B2B8BC49EC}" name="Column9099"/>
    <tableColumn id="9127" xr3:uid="{0E65C3FE-6E93-406F-9788-C52F7C78F5B0}" name="Column9100"/>
    <tableColumn id="9128" xr3:uid="{02E0670D-DAC4-43C9-8DB7-9ADD7420FF67}" name="Column9101"/>
    <tableColumn id="9129" xr3:uid="{34855C74-65BA-464D-9F3C-F053F9C9D109}" name="Column9102"/>
    <tableColumn id="9130" xr3:uid="{CA903B11-A839-47B7-9371-FB4DC607BE9A}" name="Column9103"/>
    <tableColumn id="9131" xr3:uid="{2DE26573-62BC-4AE8-854C-0AEF7567E993}" name="Column9104"/>
    <tableColumn id="9132" xr3:uid="{E11E81BF-83C3-49B0-9364-29180CEFBF3E}" name="Column9105"/>
    <tableColumn id="9133" xr3:uid="{FB465C86-9AB2-4D8D-BCEC-FEE6D6CA2D67}" name="Column9106"/>
    <tableColumn id="9134" xr3:uid="{DAC804C9-5BA6-4194-8207-14E9BB4A16A1}" name="Column9107"/>
    <tableColumn id="9135" xr3:uid="{7CEF7B11-0174-45BC-A415-6C6659FB45EC}" name="Column9108"/>
    <tableColumn id="9136" xr3:uid="{3EC83806-5DCD-44F9-B3F1-3C894B1C3D83}" name="Column9109"/>
    <tableColumn id="9137" xr3:uid="{E7306646-57DC-4D87-9DE8-D29ED145E000}" name="Column9110"/>
    <tableColumn id="9138" xr3:uid="{498D54F7-17FF-46BC-BD27-68C91B536082}" name="Column9111"/>
    <tableColumn id="9139" xr3:uid="{F83D612D-A253-4DA3-B523-F429C45ADAD6}" name="Column9112"/>
    <tableColumn id="9140" xr3:uid="{7B6D61F4-D5E3-4890-9EDB-CD2F484A89A6}" name="Column9113"/>
    <tableColumn id="9141" xr3:uid="{BD087DD4-59B1-4FD6-A6BD-07205E4DE6D1}" name="Column9114"/>
    <tableColumn id="9142" xr3:uid="{0F3F8728-4AF9-4D85-A227-C52BE0D002CA}" name="Column9115"/>
    <tableColumn id="9143" xr3:uid="{DD900638-6623-46D8-8FAD-6DDCE97E62E2}" name="Column9116"/>
    <tableColumn id="9144" xr3:uid="{FA3A8984-5335-44FA-AA84-5346B2474401}" name="Column9117"/>
    <tableColumn id="9145" xr3:uid="{08DA4B29-F272-43ED-8BE8-118113E484E8}" name="Column9118"/>
    <tableColumn id="9146" xr3:uid="{B027FD29-4315-48F1-9F92-45A2B7637315}" name="Column9119"/>
    <tableColumn id="9147" xr3:uid="{F1CAFEFF-B3AB-4973-9A0B-02F2D181B1B9}" name="Column9120"/>
    <tableColumn id="9148" xr3:uid="{F73FB541-5AF7-46B3-9DC5-26E12A0D78DC}" name="Column9121"/>
    <tableColumn id="9149" xr3:uid="{E96613C7-3896-4804-96E5-D42AA883A826}" name="Column9122"/>
    <tableColumn id="9150" xr3:uid="{C43C6495-45A0-41A8-BF30-2B88B325B45A}" name="Column9123"/>
    <tableColumn id="9151" xr3:uid="{7B18A46A-02E0-4B3C-9AFC-98AFDC0D05B4}" name="Column9124"/>
    <tableColumn id="9152" xr3:uid="{5FE69E4A-87FA-4792-8FB5-E1396CD2E4E3}" name="Column9125"/>
    <tableColumn id="9153" xr3:uid="{7DEF1278-485B-47CA-84E6-B13A7541028F}" name="Column9126"/>
    <tableColumn id="9154" xr3:uid="{7C81AB17-0A7F-43EE-BEEE-676B1216FDDA}" name="Column9127"/>
    <tableColumn id="9155" xr3:uid="{5F6F0328-1EBB-4C09-B782-55276AD4EFFF}" name="Column9128"/>
    <tableColumn id="9156" xr3:uid="{B648666E-B72B-4D70-9484-F6397A98248A}" name="Column9129"/>
    <tableColumn id="9157" xr3:uid="{EA542C69-3FBA-470C-9A7F-48C91FEA8148}" name="Column9130"/>
    <tableColumn id="9158" xr3:uid="{6D66C5CE-6435-400C-83D4-4EC80B49749D}" name="Column9131"/>
    <tableColumn id="9159" xr3:uid="{25F58BF8-F75F-4BD5-B209-BCCFC318CBFD}" name="Column9132"/>
    <tableColumn id="9160" xr3:uid="{69FBEFD2-BFAA-4FD8-B448-06BC92C27D2D}" name="Column9133"/>
    <tableColumn id="9161" xr3:uid="{3FCFF507-FB36-416F-B212-BC2B85995DA6}" name="Column9134"/>
    <tableColumn id="9162" xr3:uid="{055F482B-1D42-4F20-A443-6058B0697C4C}" name="Column9135"/>
    <tableColumn id="9163" xr3:uid="{94D35B2A-EF95-4AF4-B3EB-9C83D79B0400}" name="Column9136"/>
    <tableColumn id="9164" xr3:uid="{3E619476-43EE-4656-8A12-4D6D4F4832C2}" name="Column9137"/>
    <tableColumn id="9165" xr3:uid="{22582E51-33EB-48B7-88D3-4B89E2D13540}" name="Column9138"/>
    <tableColumn id="9166" xr3:uid="{38FD5C7D-1491-4DC3-AD5E-AC7BF51BB714}" name="Column9139"/>
    <tableColumn id="9167" xr3:uid="{343A3124-1CB9-46F5-946F-272598D69D40}" name="Column9140"/>
    <tableColumn id="9168" xr3:uid="{90411E63-2427-4CB5-9B6F-5734AA6CE547}" name="Column9141"/>
    <tableColumn id="9169" xr3:uid="{581A7A73-C1E7-4953-9E7F-3BA25E8A8C83}" name="Column9142"/>
    <tableColumn id="9170" xr3:uid="{609A5D91-4AE5-4840-9D06-AE1C06BDF084}" name="Column9143"/>
    <tableColumn id="9171" xr3:uid="{7F9A950E-AEA3-429D-8827-C0909CD52821}" name="Column9144"/>
    <tableColumn id="9172" xr3:uid="{67A3287D-DF57-4FEF-B298-363C3C1047BB}" name="Column9145"/>
    <tableColumn id="9173" xr3:uid="{1C64706C-E234-42F8-92E4-45B5F17AC015}" name="Column9146"/>
    <tableColumn id="9174" xr3:uid="{8D7EDC7E-E315-4328-A7DE-72D337BD660B}" name="Column9147"/>
    <tableColumn id="9175" xr3:uid="{35EA0F60-CCFC-4D83-BF22-85D2DE6F4536}" name="Column9148"/>
    <tableColumn id="9176" xr3:uid="{B925B5EA-DAF3-4FE8-A12A-288657308E9E}" name="Column9149"/>
    <tableColumn id="9177" xr3:uid="{207035B0-96A7-4F44-A62B-DB7AE76AA564}" name="Column9150"/>
    <tableColumn id="9178" xr3:uid="{72863404-5779-41A9-92C3-4E0D18B1A09C}" name="Column9151"/>
    <tableColumn id="9179" xr3:uid="{CB7644BC-BA55-4ECF-879B-D68109FAD31A}" name="Column9152"/>
    <tableColumn id="9180" xr3:uid="{BFCA2AF6-60F5-4484-90B5-A527786BD9FD}" name="Column9153"/>
    <tableColumn id="9181" xr3:uid="{BF48626C-F6C8-444C-9FEF-DF09D21083E2}" name="Column9154"/>
    <tableColumn id="9182" xr3:uid="{39737AA3-7B3E-4340-BC54-A2610551CB68}" name="Column9155"/>
    <tableColumn id="9183" xr3:uid="{2809869A-D757-456C-973E-C5C1FA6C23D7}" name="Column9156"/>
    <tableColumn id="9184" xr3:uid="{3CA8CE56-2F39-42C6-B2F6-7EC35916A0D0}" name="Column9157"/>
    <tableColumn id="9185" xr3:uid="{FE571558-0012-4276-81AD-CC68047F6ECA}" name="Column9158"/>
    <tableColumn id="9186" xr3:uid="{939C9CD8-7D54-4C17-994F-3788BE856AE9}" name="Column9159"/>
    <tableColumn id="9187" xr3:uid="{31AB8D29-EADF-45E3-A034-11210B1D1E6B}" name="Column9160"/>
    <tableColumn id="9188" xr3:uid="{1FB2FEA3-AAA7-42B5-91E0-D6B622A99E3A}" name="Column9161"/>
    <tableColumn id="9189" xr3:uid="{13A583AA-467D-47F2-882F-F27A97B4D0E1}" name="Column9162"/>
    <tableColumn id="9190" xr3:uid="{2371665D-AECD-4784-997F-1D3F1BAE5ECC}" name="Column9163"/>
    <tableColumn id="9191" xr3:uid="{7F857F99-A0C0-4692-9257-815E99E2B4B4}" name="Column9164"/>
    <tableColumn id="9192" xr3:uid="{67056321-DDFF-4F52-BB59-39860F14694E}" name="Column9165"/>
    <tableColumn id="9193" xr3:uid="{E1E79863-D828-46C0-9391-E9AB7367004F}" name="Column9166"/>
    <tableColumn id="9194" xr3:uid="{DD8583EC-3E16-4770-B408-E5349AF031B0}" name="Column9167"/>
    <tableColumn id="9195" xr3:uid="{E31A0B05-34F4-47CC-82D2-E21B37D58DF6}" name="Column9168"/>
    <tableColumn id="9196" xr3:uid="{1D4ECE51-860F-4B63-8F11-A0CEF88D1444}" name="Column9169"/>
    <tableColumn id="9197" xr3:uid="{881BB7C5-EDB3-49CD-A7EF-D1EC89B5C0BB}" name="Column9170"/>
    <tableColumn id="9198" xr3:uid="{5C6122C8-A757-456F-BFB7-3302F4E9EEF2}" name="Column9171"/>
    <tableColumn id="9199" xr3:uid="{DE1F535B-270D-4B52-BEC2-E013BA156EFB}" name="Column9172"/>
    <tableColumn id="9200" xr3:uid="{561988C3-A78A-4E5C-BBDD-2118ACE5F4F3}" name="Column9173"/>
    <tableColumn id="9201" xr3:uid="{96AEE1C1-10CD-4A53-81A0-88382FB806A3}" name="Column9174"/>
    <tableColumn id="9202" xr3:uid="{E836941B-AD7B-456C-9894-98C6628A3407}" name="Column9175"/>
    <tableColumn id="9203" xr3:uid="{882A9244-E747-4A8A-A91F-2AAF6A99E63C}" name="Column9176"/>
    <tableColumn id="9204" xr3:uid="{BC156C85-2C63-41BA-9896-1059BF5F438E}" name="Column9177"/>
    <tableColumn id="9205" xr3:uid="{D0BFF18B-61F6-40BB-BFCA-DBE6D4120252}" name="Column9178"/>
    <tableColumn id="9206" xr3:uid="{BB5AD5CE-FDE7-4FF5-9280-2B7A1526C3A8}" name="Column9179"/>
    <tableColumn id="9207" xr3:uid="{1D4DD6E3-5536-4213-A2F3-D9E579B4F049}" name="Column9180"/>
    <tableColumn id="9208" xr3:uid="{35FCA972-96B3-42EF-B46B-9780FFF5459B}" name="Column9181"/>
    <tableColumn id="9209" xr3:uid="{D128B59B-9258-4E16-862D-EDA495856E1D}" name="Column9182"/>
    <tableColumn id="9210" xr3:uid="{3EF5C67D-1948-403E-BB60-8B9C5C0F159F}" name="Column9183"/>
    <tableColumn id="9211" xr3:uid="{8579BBF6-2DEC-4165-AA70-5DAC37C9B622}" name="Column9184"/>
    <tableColumn id="9212" xr3:uid="{B46E47BD-1175-4D4C-92F7-1C3EC12A1F55}" name="Column9185"/>
    <tableColumn id="9213" xr3:uid="{1F70D792-E950-4CCE-91EE-3DB2AF7F7545}" name="Column9186"/>
    <tableColumn id="9214" xr3:uid="{B0DBD436-6D59-401D-9F31-40EEE23D0800}" name="Column9187"/>
    <tableColumn id="9215" xr3:uid="{E4F84AFF-DE33-48AE-B6BE-B5447610E0AC}" name="Column9188"/>
    <tableColumn id="9216" xr3:uid="{810D4FE8-A18E-49BA-B7C1-3212468A5E8F}" name="Column9189"/>
    <tableColumn id="9217" xr3:uid="{0CA9505F-D0CF-4B81-93DC-EE2A60F4551F}" name="Column9190"/>
    <tableColumn id="9218" xr3:uid="{1DD48234-4804-4E76-8673-3BC04D52D9D1}" name="Column9191"/>
    <tableColumn id="9219" xr3:uid="{7E3B954B-0C17-466A-81AC-B5ED26671D82}" name="Column9192"/>
    <tableColumn id="9220" xr3:uid="{C6804A19-A827-487B-B2D9-F7F926FD10AD}" name="Column9193"/>
    <tableColumn id="9221" xr3:uid="{E97B261D-F0BB-4A8B-89E5-5CD62B061B6A}" name="Column9194"/>
    <tableColumn id="9222" xr3:uid="{8AB6538D-CFDE-4AD2-9F30-CD9F2E151E95}" name="Column9195"/>
    <tableColumn id="9223" xr3:uid="{28B4400F-85F1-4056-847C-4D9C4D65A106}" name="Column9196"/>
    <tableColumn id="9224" xr3:uid="{0FDFE95F-A064-4199-8D71-7E768FFBE481}" name="Column9197"/>
    <tableColumn id="9225" xr3:uid="{A73457C7-0F4F-4F77-B5B9-73637D551696}" name="Column9198"/>
    <tableColumn id="9226" xr3:uid="{111040FC-7D06-4D09-8D0D-5448A4BEC6D8}" name="Column9199"/>
    <tableColumn id="9227" xr3:uid="{546F7797-DBA8-484A-A05C-45EE8E082787}" name="Column9200"/>
    <tableColumn id="9228" xr3:uid="{08229CAF-8E58-49C8-800A-13067EEAA87F}" name="Column9201"/>
    <tableColumn id="9229" xr3:uid="{B531182A-EE8E-498B-84C7-59CC98B7A77B}" name="Column9202"/>
    <tableColumn id="9230" xr3:uid="{EB90315C-1266-4F40-86C7-697E01CF9318}" name="Column9203"/>
    <tableColumn id="9231" xr3:uid="{B6DF91AE-F4FA-4751-8612-9BFD25AC8383}" name="Column9204"/>
    <tableColumn id="9232" xr3:uid="{DC54BD0C-F7FC-4D80-B032-E120A0F00557}" name="Column9205"/>
    <tableColumn id="9233" xr3:uid="{6C9EA280-7940-4000-8425-9A56A34B9F55}" name="Column9206"/>
    <tableColumn id="9234" xr3:uid="{6369AE2C-9DD5-4661-A507-1269E6F60D5C}" name="Column9207"/>
    <tableColumn id="9235" xr3:uid="{A9C46163-376B-40C3-ACCE-E4BEDEE2D9CC}" name="Column9208"/>
    <tableColumn id="9236" xr3:uid="{D6F7D116-9704-4ABC-A5EA-F67E0CB06EFB}" name="Column9209"/>
    <tableColumn id="9237" xr3:uid="{E0129E07-5B68-40F5-846C-0D5236118224}" name="Column9210"/>
    <tableColumn id="9238" xr3:uid="{9EF3BB41-E656-4237-8855-20C176CC9D36}" name="Column9211"/>
    <tableColumn id="9239" xr3:uid="{6AFA06B8-624F-41E6-8A71-BAE775E62DF7}" name="Column9212"/>
    <tableColumn id="9240" xr3:uid="{B33688AB-6314-4A46-BF50-A85D6EB44605}" name="Column9213"/>
    <tableColumn id="9241" xr3:uid="{25527794-30E2-4D04-B12E-7D22D8B90127}" name="Column9214"/>
    <tableColumn id="9242" xr3:uid="{D13A3258-188A-4A7E-B279-719881603273}" name="Column9215"/>
    <tableColumn id="9243" xr3:uid="{BB18987D-ACBA-41AC-86BF-ED05684B6BE0}" name="Column9216"/>
    <tableColumn id="9244" xr3:uid="{21BC5576-C2E2-43CF-8D9A-612F238BB287}" name="Column9217"/>
    <tableColumn id="9245" xr3:uid="{D1E67D5C-3DB1-4DC8-89A8-A159BEF8296D}" name="Column9218"/>
    <tableColumn id="9246" xr3:uid="{30981515-9CB3-49C9-9C93-1D3D3301484E}" name="Column9219"/>
    <tableColumn id="9247" xr3:uid="{13929A63-5CFC-41E7-A336-6894DB164FAA}" name="Column9220"/>
    <tableColumn id="9248" xr3:uid="{2D3342DB-DD1A-44E0-961F-3C5FB8D4B201}" name="Column9221"/>
    <tableColumn id="9249" xr3:uid="{82A446A9-FC20-43F6-8197-7AEB4E0CD035}" name="Column9222"/>
    <tableColumn id="9250" xr3:uid="{F0C642BC-B27B-4E8D-BABE-78D66411D083}" name="Column9223"/>
    <tableColumn id="9251" xr3:uid="{2C8C54F9-E8D5-4BC8-B332-1D6AE17E5D45}" name="Column9224"/>
    <tableColumn id="9252" xr3:uid="{174C28ED-F3B3-4E7B-AB3B-B9541C327B6E}" name="Column9225"/>
    <tableColumn id="9253" xr3:uid="{EED80A6E-60D6-4CC0-90C2-8EC42D2A4420}" name="Column9226"/>
    <tableColumn id="9254" xr3:uid="{2611F83F-F5EC-415B-BADE-1609F51BBAE5}" name="Column9227"/>
    <tableColumn id="9255" xr3:uid="{52AF5406-C213-45AE-82F3-A72868659770}" name="Column9228"/>
    <tableColumn id="9256" xr3:uid="{718ECAAC-6285-4AAB-8C23-2D812F085C94}" name="Column9229"/>
    <tableColumn id="9257" xr3:uid="{0EA7847B-CE1F-416F-B297-9BC3064DB6E5}" name="Column9230"/>
    <tableColumn id="9258" xr3:uid="{3A59BCBB-A654-4C7C-AFD3-FE1FA9B60975}" name="Column9231"/>
    <tableColumn id="9259" xr3:uid="{9D45C388-6F05-43AF-A36D-0A5AEB6916A3}" name="Column9232"/>
    <tableColumn id="9260" xr3:uid="{2A7941E8-4251-41E6-9516-94709FB3AE7E}" name="Column9233"/>
    <tableColumn id="9261" xr3:uid="{25C2972F-138B-46F5-A153-C5013E82C0A0}" name="Column9234"/>
    <tableColumn id="9262" xr3:uid="{7BD9F0A4-983D-47D6-B4DD-ABB98BFF39B5}" name="Column9235"/>
    <tableColumn id="9263" xr3:uid="{CEC79A9B-42CF-4AD7-A3BB-6AE446D141E8}" name="Column9236"/>
    <tableColumn id="9264" xr3:uid="{085A159F-3FC5-4E46-8678-26BFB2B8CE73}" name="Column9237"/>
    <tableColumn id="9265" xr3:uid="{E5761210-90B7-42EB-A79D-B84CE40A73ED}" name="Column9238"/>
    <tableColumn id="9266" xr3:uid="{DFA9275D-94C8-4780-B345-07D1AA46CC53}" name="Column9239"/>
    <tableColumn id="9267" xr3:uid="{91DB8441-9E20-4C2C-B6D8-35DFC5F0772D}" name="Column9240"/>
    <tableColumn id="9268" xr3:uid="{730B1B47-CF62-4181-A394-CFACC9764FB6}" name="Column9241"/>
    <tableColumn id="9269" xr3:uid="{B20418CB-90AF-4BB4-9D67-5AB1ED1111BE}" name="Column9242"/>
    <tableColumn id="9270" xr3:uid="{95C4B05C-ECEC-4FAC-9F8A-6A168B36C381}" name="Column9243"/>
    <tableColumn id="9271" xr3:uid="{58C31E18-403A-4C3A-BC47-B8CDD59E5384}" name="Column9244"/>
    <tableColumn id="9272" xr3:uid="{E7FFFFBB-37BF-417A-9DAD-EF87561B4673}" name="Column9245"/>
    <tableColumn id="9273" xr3:uid="{6A11691D-F1A4-4097-A940-9E08989CE824}" name="Column9246"/>
    <tableColumn id="9274" xr3:uid="{F3EC1DE6-640C-4F90-B5FE-10E4451AEE3E}" name="Column9247"/>
    <tableColumn id="9275" xr3:uid="{504995BE-0E2C-4648-8761-7ED5A8E258AD}" name="Column9248"/>
    <tableColumn id="9276" xr3:uid="{849E252D-B018-4EB1-ABC9-8A12C21B63CF}" name="Column9249"/>
    <tableColumn id="9277" xr3:uid="{B5071107-6DE2-459C-8B01-FA1A6B24F031}" name="Column9250"/>
    <tableColumn id="9278" xr3:uid="{76B3E587-098E-4297-814A-F376B088D133}" name="Column9251"/>
    <tableColumn id="9279" xr3:uid="{751604F9-6C93-4364-A627-856DF66FC696}" name="Column9252"/>
    <tableColumn id="9280" xr3:uid="{EF1EA0CD-BCED-45AF-B5AC-06ECAB7E24C4}" name="Column9253"/>
    <tableColumn id="9281" xr3:uid="{DD01E573-52A1-4ECA-92BD-B5D8B5AC148C}" name="Column9254"/>
    <tableColumn id="9282" xr3:uid="{6D1844C4-83EF-46B0-ACC2-4B8C31BBA85A}" name="Column9255"/>
    <tableColumn id="9283" xr3:uid="{3CFFAA59-6DC0-48DF-9864-BBB8950A9B61}" name="Column9256"/>
    <tableColumn id="9284" xr3:uid="{8DB39134-D5EA-423C-AAEC-1BBC685BAEF5}" name="Column9257"/>
    <tableColumn id="9285" xr3:uid="{2848CD6D-3587-4F68-A62C-847E06854E57}" name="Column9258"/>
    <tableColumn id="9286" xr3:uid="{006A3D2E-56C0-469F-80F2-D003B121352A}" name="Column9259"/>
    <tableColumn id="9287" xr3:uid="{2E02B341-982F-4A63-9391-97F667A494A7}" name="Column9260"/>
    <tableColumn id="9288" xr3:uid="{8379E451-6DD5-49F8-BDDC-ADAC99A9A59F}" name="Column9261"/>
    <tableColumn id="9289" xr3:uid="{2B57AD01-DC8A-4E9C-A91D-C64B29A2B886}" name="Column9262"/>
    <tableColumn id="9290" xr3:uid="{B8AF9669-815E-4174-B88F-A4FA8E5BED91}" name="Column9263"/>
    <tableColumn id="9291" xr3:uid="{C0BF06E6-5FD6-4273-A519-E350D760ED2E}" name="Column9264"/>
    <tableColumn id="9292" xr3:uid="{47BA9ADC-EA66-4F25-AF9E-F463F587EFD6}" name="Column9265"/>
    <tableColumn id="9293" xr3:uid="{BEDA1E35-8119-4FE9-81C4-36C470D52A83}" name="Column9266"/>
    <tableColumn id="9294" xr3:uid="{1BF379C5-1E26-4BEB-AC91-5D080B7E9B9D}" name="Column9267"/>
    <tableColumn id="9295" xr3:uid="{D7DFE005-3C02-4E91-91DB-C96CA9BE2DD4}" name="Column9268"/>
    <tableColumn id="9296" xr3:uid="{7A289465-8D54-4738-8575-811077851A2D}" name="Column9269"/>
    <tableColumn id="9297" xr3:uid="{871DEA5D-6593-49FB-8235-A589511431F0}" name="Column9270"/>
    <tableColumn id="9298" xr3:uid="{9BFB1AB8-8DD6-490D-98F3-02A2943305E4}" name="Column9271"/>
    <tableColumn id="9299" xr3:uid="{1650FDE1-F4C6-4DF2-AA7F-033C5B83DB30}" name="Column9272"/>
    <tableColumn id="9300" xr3:uid="{E3629E61-62BD-47CB-8944-761AA4B6C5C3}" name="Column9273"/>
    <tableColumn id="9301" xr3:uid="{68B5BA15-485A-49D5-9BBD-FBE95A803D1E}" name="Column9274"/>
    <tableColumn id="9302" xr3:uid="{8750E7D4-E942-411C-8463-185588DCC551}" name="Column9275"/>
    <tableColumn id="9303" xr3:uid="{CEC01578-DD90-4E0E-9FD7-2ACD83AF97F8}" name="Column9276"/>
    <tableColumn id="9304" xr3:uid="{02BF116C-249C-40EA-B2F6-80591A3EDC62}" name="Column9277"/>
    <tableColumn id="9305" xr3:uid="{0E6DE700-F790-4BA3-A597-28FD5BBC0110}" name="Column9278"/>
    <tableColumn id="9306" xr3:uid="{9E1D5D83-104D-427C-A9CB-0A5EEB5F41A9}" name="Column9279"/>
    <tableColumn id="9307" xr3:uid="{E5047736-5D9B-42ED-BA6F-655F02AF204C}" name="Column9280"/>
    <tableColumn id="9308" xr3:uid="{B6C60082-5349-40CA-9C3C-CFC168CD3D1A}" name="Column9281"/>
    <tableColumn id="9309" xr3:uid="{C1154962-E41A-45F5-99B2-0B49135837DC}" name="Column9282"/>
    <tableColumn id="9310" xr3:uid="{1334C82C-7C9A-4C4D-B66F-ACDECE3D7BD4}" name="Column9283"/>
    <tableColumn id="9311" xr3:uid="{4FACB489-A153-4DA3-8A5B-DB93AB9A5AA1}" name="Column9284"/>
    <tableColumn id="9312" xr3:uid="{F7D568DB-4EE3-4D83-8AC6-E5DCF68FBB4C}" name="Column9285"/>
    <tableColumn id="9313" xr3:uid="{A5BA83BF-8BAB-4E49-AAD7-F6364467A1E2}" name="Column9286"/>
    <tableColumn id="9314" xr3:uid="{3BA53238-914A-4B25-841B-59A86E7C8958}" name="Column9287"/>
    <tableColumn id="9315" xr3:uid="{EEA69F10-0F44-4908-9DDF-08A9D44FF332}" name="Column9288"/>
    <tableColumn id="9316" xr3:uid="{C01C0727-09A0-41F1-9A09-8A334DE5F405}" name="Column9289"/>
    <tableColumn id="9317" xr3:uid="{E07C26D5-8751-4FD8-98E8-7E2C3F671E68}" name="Column9290"/>
    <tableColumn id="9318" xr3:uid="{A3418704-36B9-4B76-B5E9-367208E7A15A}" name="Column9291"/>
    <tableColumn id="9319" xr3:uid="{03DD98AE-3E24-4C44-A7DD-A8A558B03C95}" name="Column9292"/>
    <tableColumn id="9320" xr3:uid="{7C823F2F-9351-4A60-B0F9-9B9ED32BD72A}" name="Column9293"/>
    <tableColumn id="9321" xr3:uid="{C78C1C07-DA1F-4BDE-BABE-C31CCEDFBA68}" name="Column9294"/>
    <tableColumn id="9322" xr3:uid="{06B04831-F14D-4D4D-BCD0-4761224027A0}" name="Column9295"/>
    <tableColumn id="9323" xr3:uid="{D5A7FF38-9FDA-4971-81BD-378989D337F9}" name="Column9296"/>
    <tableColumn id="9324" xr3:uid="{6ACA19D9-EACE-40BE-B963-12F08C822295}" name="Column9297"/>
    <tableColumn id="9325" xr3:uid="{E612FCB9-78A7-4F1A-8C75-1563508A84DC}" name="Column9298"/>
    <tableColumn id="9326" xr3:uid="{D314D8B1-426F-4B60-ACE2-E4EA8042C4E8}" name="Column9299"/>
    <tableColumn id="9327" xr3:uid="{F13FF4E6-FB4C-44D0-825A-8646A7274C68}" name="Column9300"/>
    <tableColumn id="9328" xr3:uid="{C1A1C3C6-B434-4FFB-9D91-9C98FE7DF0F5}" name="Column9301"/>
    <tableColumn id="9329" xr3:uid="{91A1E311-63AD-4985-A799-084E27F1822E}" name="Column9302"/>
    <tableColumn id="9330" xr3:uid="{157DF475-2A76-4430-9A6F-FF4ABC93E063}" name="Column9303"/>
    <tableColumn id="9331" xr3:uid="{E5061F34-34F6-4FFB-BAE6-A0E311F50B6A}" name="Column9304"/>
    <tableColumn id="9332" xr3:uid="{E0786B6B-165A-4E0A-9952-60FAABFFD32D}" name="Column9305"/>
    <tableColumn id="9333" xr3:uid="{BA06A263-9B83-4FC4-B8B8-0A993250CB7B}" name="Column9306"/>
    <tableColumn id="9334" xr3:uid="{7F3220F2-D19A-4C6F-94B1-E59AE221166C}" name="Column9307"/>
    <tableColumn id="9335" xr3:uid="{C32BD77E-3FB6-4907-B9F1-8139975C798C}" name="Column9308"/>
    <tableColumn id="9336" xr3:uid="{A71493F2-5588-4DF6-B398-05BCC6F06222}" name="Column9309"/>
    <tableColumn id="9337" xr3:uid="{4EB201B8-9B48-4BFD-A381-75E464218781}" name="Column9310"/>
    <tableColumn id="9338" xr3:uid="{DF035F03-56AE-4EB1-9356-B974B5918DE5}" name="Column9311"/>
    <tableColumn id="9339" xr3:uid="{3D15E1D6-E3BD-40A6-BABB-795954991544}" name="Column9312"/>
    <tableColumn id="9340" xr3:uid="{A54A0B04-3F38-467E-9A0B-7317BBDCC780}" name="Column9313"/>
    <tableColumn id="9341" xr3:uid="{DB01822C-D0B4-4843-BDA0-FEFC099EE89D}" name="Column9314"/>
    <tableColumn id="9342" xr3:uid="{EE657B1A-0370-449B-BEC2-3220260DA1ED}" name="Column9315"/>
    <tableColumn id="9343" xr3:uid="{28DE46FE-3C9B-4C1C-B0DB-AB4AC4AFF1BE}" name="Column9316"/>
    <tableColumn id="9344" xr3:uid="{8A0730D3-E7DA-4872-950F-608AD2287F3D}" name="Column9317"/>
    <tableColumn id="9345" xr3:uid="{3016A481-440F-4DFD-B47F-AE5451988D1A}" name="Column9318"/>
    <tableColumn id="9346" xr3:uid="{8DD77B12-B9EB-491E-8BF1-103237672480}" name="Column9319"/>
    <tableColumn id="9347" xr3:uid="{9F347242-4042-48A0-8F00-F037B1CFD870}" name="Column9320"/>
    <tableColumn id="9348" xr3:uid="{1E349E65-8F23-4906-A3B3-CA42D98E194D}" name="Column9321"/>
    <tableColumn id="9349" xr3:uid="{6C350301-2FFA-42A1-B5D2-609E6704B0B5}" name="Column9322"/>
    <tableColumn id="9350" xr3:uid="{86EEAE2C-194B-4DC5-B746-77906CD1B565}" name="Column9323"/>
    <tableColumn id="9351" xr3:uid="{42C9EEB7-F32C-4B52-B16C-CE7CAC84047D}" name="Column9324"/>
    <tableColumn id="9352" xr3:uid="{7E43F25E-AD26-4EB0-933C-D3C2767A737B}" name="Column9325"/>
    <tableColumn id="9353" xr3:uid="{8D6B495C-743B-4EA6-AB0B-246105C0DB9B}" name="Column9326"/>
    <tableColumn id="9354" xr3:uid="{BA76C88E-7B69-48E2-A34A-6BB3A3E70BA6}" name="Column9327"/>
    <tableColumn id="9355" xr3:uid="{210E95A3-4F0C-4F7B-91BD-D67178A274E1}" name="Column9328"/>
    <tableColumn id="9356" xr3:uid="{DAFF2BF5-F300-474F-8473-11861C4A57B4}" name="Column9329"/>
    <tableColumn id="9357" xr3:uid="{4368E420-58C7-43F5-9C37-684ACF2CB53A}" name="Column9330"/>
    <tableColumn id="9358" xr3:uid="{CAA1F215-B1B4-4562-B762-6F2488A6F206}" name="Column9331"/>
    <tableColumn id="9359" xr3:uid="{7CE9C98B-18A4-47D4-95E2-02E25737D119}" name="Column9332"/>
    <tableColumn id="9360" xr3:uid="{17200668-E87E-4B6D-A7DC-A5B418C6AC3E}" name="Column9333"/>
    <tableColumn id="9361" xr3:uid="{F8D5D5E2-3D62-4F24-AF7C-F2E49085F889}" name="Column9334"/>
    <tableColumn id="9362" xr3:uid="{17B5CA3E-3DBF-4ABB-A5B6-DC4FC3327978}" name="Column9335"/>
    <tableColumn id="9363" xr3:uid="{65CAE8B8-4860-4900-85EC-A8B780751255}" name="Column9336"/>
    <tableColumn id="9364" xr3:uid="{21D10BBE-E918-4EE4-8505-59DD474E3631}" name="Column9337"/>
    <tableColumn id="9365" xr3:uid="{FD56E2DD-5964-43D2-A5FF-3F01E7108620}" name="Column9338"/>
    <tableColumn id="9366" xr3:uid="{8F66755F-D343-4FC0-B823-3DAFD9CDF75B}" name="Column9339"/>
    <tableColumn id="9367" xr3:uid="{BD395921-B38C-4F91-9AA4-4E8FDB4FC803}" name="Column9340"/>
    <tableColumn id="9368" xr3:uid="{0B6C4F85-423D-426B-B863-A19E55619A76}" name="Column9341"/>
    <tableColumn id="9369" xr3:uid="{8356C552-974E-4A58-96EC-093B7D89A5F8}" name="Column9342"/>
    <tableColumn id="9370" xr3:uid="{40D0D03B-4CE8-49B2-9CEA-3C0BEF209589}" name="Column9343"/>
    <tableColumn id="9371" xr3:uid="{20E6C115-A99E-4CA8-9CA8-01EAD93C2A88}" name="Column9344"/>
    <tableColumn id="9372" xr3:uid="{B25BF636-D795-48A7-8D45-9E81732AA2FD}" name="Column9345"/>
    <tableColumn id="9373" xr3:uid="{C67971C7-594B-4EB3-8321-53F4CA4F9A70}" name="Column9346"/>
    <tableColumn id="9374" xr3:uid="{E23CF6EE-D512-4B43-81C4-13C5F45F667D}" name="Column9347"/>
    <tableColumn id="9375" xr3:uid="{9733D9A4-7BE8-4083-ADA5-44090A1D6064}" name="Column9348"/>
    <tableColumn id="9376" xr3:uid="{E1EF84DC-D097-4700-A279-2CEFD4503A53}" name="Column9349"/>
    <tableColumn id="9377" xr3:uid="{B3F02B3F-E472-4EE1-ABE8-70ABEDA93A8A}" name="Column9350"/>
    <tableColumn id="9378" xr3:uid="{2A8008A6-D0FD-42D9-BB79-970F3A9B7041}" name="Column9351"/>
    <tableColumn id="9379" xr3:uid="{DA7F67A1-C88E-4407-A99A-1479E883D5AC}" name="Column9352"/>
    <tableColumn id="9380" xr3:uid="{76B9851E-AA5A-4022-95C7-385C275EB4BC}" name="Column9353"/>
    <tableColumn id="9381" xr3:uid="{8779B99C-16E7-4FA9-8F49-7AE5B8503585}" name="Column9354"/>
    <tableColumn id="9382" xr3:uid="{9B6D22A4-3C0B-4C88-A7FE-27416ADD4A19}" name="Column9355"/>
    <tableColumn id="9383" xr3:uid="{6B9EDF51-47CD-4A2A-857A-2565CB3EE5CD}" name="Column9356"/>
    <tableColumn id="9384" xr3:uid="{2013E615-B261-4B9B-916B-00458F0E52C6}" name="Column9357"/>
    <tableColumn id="9385" xr3:uid="{28E0791D-5984-4031-8496-D1DE8A780097}" name="Column9358"/>
    <tableColumn id="9386" xr3:uid="{F0F70EE8-ED11-4FA2-84EC-8137D5813E58}" name="Column9359"/>
    <tableColumn id="9387" xr3:uid="{DCD7BC9D-B98A-4A6C-A859-5970374D672E}" name="Column9360"/>
    <tableColumn id="9388" xr3:uid="{C986F073-368F-4335-8727-B3E86D831E5A}" name="Column9361"/>
    <tableColumn id="9389" xr3:uid="{65B7440B-2225-4F4D-B081-880974141C43}" name="Column9362"/>
    <tableColumn id="9390" xr3:uid="{9CE9B34F-B25C-43A3-AF48-0544FDFFCFF9}" name="Column9363"/>
    <tableColumn id="9391" xr3:uid="{23A09046-B008-45ED-A96A-6F01F48C1417}" name="Column9364"/>
    <tableColumn id="9392" xr3:uid="{29F8F0A0-0522-42AF-BBDB-D06E0FDED3F3}" name="Column9365"/>
    <tableColumn id="9393" xr3:uid="{1F5205E5-707B-48CA-95CD-BF048EFBF2BB}" name="Column9366"/>
    <tableColumn id="9394" xr3:uid="{B38F3CE9-0769-41FE-8438-84A4337F01D2}" name="Column9367"/>
    <tableColumn id="9395" xr3:uid="{7F3B2639-D653-4A44-AEFD-5D7038DC9951}" name="Column9368"/>
    <tableColumn id="9396" xr3:uid="{11B75AAD-D7F8-41BB-9566-891B91A8B874}" name="Column9369"/>
    <tableColumn id="9397" xr3:uid="{738E515C-645B-44C2-9C92-E4B0BC488228}" name="Column9370"/>
    <tableColumn id="9398" xr3:uid="{D5F47605-BE5F-4631-BBE4-8C3332831587}" name="Column9371"/>
    <tableColumn id="9399" xr3:uid="{F0C0F277-C5AC-4834-B325-DCD1C893DE93}" name="Column9372"/>
    <tableColumn id="9400" xr3:uid="{9A4A430A-C965-4FD3-8F3D-72B706DA7508}" name="Column9373"/>
    <tableColumn id="9401" xr3:uid="{EF1BF206-6B48-436B-85D0-7D2075D2B5A3}" name="Column9374"/>
    <tableColumn id="9402" xr3:uid="{14C60B03-15C7-4B33-8438-712A48EE7EE6}" name="Column9375"/>
    <tableColumn id="9403" xr3:uid="{0C907058-516B-41B6-8A24-FC5C55E3B5E6}" name="Column9376"/>
    <tableColumn id="9404" xr3:uid="{48386A62-919A-4881-92B3-6B78417C467C}" name="Column9377"/>
    <tableColumn id="9405" xr3:uid="{91B4AC78-09C4-4B44-8C09-C330B56B07FB}" name="Column9378"/>
    <tableColumn id="9406" xr3:uid="{E7C18DF5-B3C3-4872-B1FD-EF553754F80D}" name="Column9379"/>
    <tableColumn id="9407" xr3:uid="{8E09E193-6859-4F06-BD81-6F0082080756}" name="Column9380"/>
    <tableColumn id="9408" xr3:uid="{F0E479B7-B0F2-4200-B746-C787076F0A8B}" name="Column9381"/>
    <tableColumn id="9409" xr3:uid="{B1A2B585-8F54-4B25-9976-7A346DBCA9A4}" name="Column9382"/>
    <tableColumn id="9410" xr3:uid="{25CC8F48-7A28-49A9-A596-B1F5CDEE43DA}" name="Column9383"/>
    <tableColumn id="9411" xr3:uid="{36D35ACB-F3F6-49A2-A0D1-9A5EC95389CD}" name="Column9384"/>
    <tableColumn id="9412" xr3:uid="{6D3952D3-D7C8-40E4-BAFE-15FE889E8D15}" name="Column9385"/>
    <tableColumn id="9413" xr3:uid="{3ED32BC4-94A3-4016-9F69-28A2CF0C4147}" name="Column9386"/>
    <tableColumn id="9414" xr3:uid="{E2D3CCA6-1DF2-4E94-A5A3-E1F0449D2353}" name="Column9387"/>
    <tableColumn id="9415" xr3:uid="{E97FD68D-F1C0-4031-A7DE-126BBFE4C5BD}" name="Column9388"/>
    <tableColumn id="9416" xr3:uid="{2C9E81CA-0588-4758-AF26-488041194C8C}" name="Column9389"/>
    <tableColumn id="9417" xr3:uid="{D978C7E7-9642-4C8A-9688-C7146481D269}" name="Column9390"/>
    <tableColumn id="9418" xr3:uid="{BF879785-5FF3-4397-A33F-5874808901BD}" name="Column9391"/>
    <tableColumn id="9419" xr3:uid="{422E6F70-2CCE-42B0-8BE8-5CAF80EC2251}" name="Column9392"/>
    <tableColumn id="9420" xr3:uid="{43DFBD2B-925C-4751-AA47-B45B063B0BB1}" name="Column9393"/>
    <tableColumn id="9421" xr3:uid="{F37FDA94-C6B1-45EE-8918-BD012C262A9F}" name="Column9394"/>
    <tableColumn id="9422" xr3:uid="{3D3BEFA0-E732-446D-9088-4B4CCD45063A}" name="Column9395"/>
    <tableColumn id="9423" xr3:uid="{7CBB7B74-3648-437E-A601-1746948C796A}" name="Column9396"/>
    <tableColumn id="9424" xr3:uid="{4A2FBB31-5666-4EB3-A097-95C10FFA7BAE}" name="Column9397"/>
    <tableColumn id="9425" xr3:uid="{7F1E369C-1184-4A1A-86F2-E20D33C2CF54}" name="Column9398"/>
    <tableColumn id="9426" xr3:uid="{B646B47D-4EAF-4832-AD15-159F0ADC9A31}" name="Column9399"/>
    <tableColumn id="9427" xr3:uid="{85017398-0444-4741-9438-FEE43F1BB40D}" name="Column9400"/>
    <tableColumn id="9428" xr3:uid="{EFD7DD8F-3C60-4F2B-AE8D-F5448DBCC165}" name="Column9401"/>
    <tableColumn id="9429" xr3:uid="{867EC01E-519A-448D-90BB-781834B52F65}" name="Column9402"/>
    <tableColumn id="9430" xr3:uid="{B9B6516D-0BD1-46E9-AEE9-F49D22759D2C}" name="Column9403"/>
    <tableColumn id="9431" xr3:uid="{FA7EF23A-494B-4DC2-9E2A-56D781D7FA30}" name="Column9404"/>
    <tableColumn id="9432" xr3:uid="{9E511F6D-37E5-4C37-8570-3124C4DDCB68}" name="Column9405"/>
    <tableColumn id="9433" xr3:uid="{9886CF75-8193-4221-9DF4-DEEC22DF6C88}" name="Column9406"/>
    <tableColumn id="9434" xr3:uid="{3FD8A506-316F-400E-B9CC-FB8937131175}" name="Column9407"/>
    <tableColumn id="9435" xr3:uid="{C909F05C-139F-4E7E-9916-0C761280E976}" name="Column9408"/>
    <tableColumn id="9436" xr3:uid="{475C0540-FCBF-49FD-93E1-731FC4C133EA}" name="Column9409"/>
    <tableColumn id="9437" xr3:uid="{C77D5629-8E00-4DA4-B2BD-B078A0E48675}" name="Column9410"/>
    <tableColumn id="9438" xr3:uid="{2A469D48-E55C-4183-9396-A1D2AA8DF752}" name="Column9411"/>
    <tableColumn id="9439" xr3:uid="{A17ABA10-98C3-4353-A4B1-99ED057230DA}" name="Column9412"/>
    <tableColumn id="9440" xr3:uid="{159F3659-B83D-48EA-90ED-2A853ACED364}" name="Column9413"/>
    <tableColumn id="9441" xr3:uid="{9F0E4AD7-C784-403A-A442-0A469FDEBA12}" name="Column9414"/>
    <tableColumn id="9442" xr3:uid="{D8D5B35A-854A-43B3-99FB-BEFC7A198E0C}" name="Column9415"/>
    <tableColumn id="9443" xr3:uid="{5448FC4A-2173-4F21-BA64-E36651D0DFE3}" name="Column9416"/>
    <tableColumn id="9444" xr3:uid="{EBAF6AE7-072A-40BB-915F-D9D8E8A43226}" name="Column9417"/>
    <tableColumn id="9445" xr3:uid="{8D3756E4-AADC-4BEA-B8CA-C2E79343C33B}" name="Column9418"/>
    <tableColumn id="9446" xr3:uid="{60A6406B-8DE6-4246-A610-773A21DDBC4B}" name="Column9419"/>
    <tableColumn id="9447" xr3:uid="{FA183D8B-B1EA-4058-A5CB-9516BA392E3D}" name="Column9420"/>
    <tableColumn id="9448" xr3:uid="{7CC1355F-C56A-41D8-9795-897068A444B4}" name="Column9421"/>
    <tableColumn id="9449" xr3:uid="{C310570C-2B80-4A49-A7ED-342189C10499}" name="Column9422"/>
    <tableColumn id="9450" xr3:uid="{7DD488B6-98E1-4763-BBC9-DCDB45AEDED1}" name="Column9423"/>
    <tableColumn id="9451" xr3:uid="{6552FC80-B25F-4555-919F-9B8667623B5B}" name="Column9424"/>
    <tableColumn id="9452" xr3:uid="{F911B3A5-F8AF-4A81-892B-4F53DC385A37}" name="Column9425"/>
    <tableColumn id="9453" xr3:uid="{B4878735-C209-4569-B594-FCD12C986BAE}" name="Column9426"/>
    <tableColumn id="9454" xr3:uid="{DCBC1D0C-97BC-4912-8ECA-435D19C7D6CD}" name="Column9427"/>
    <tableColumn id="9455" xr3:uid="{5EF06AB3-8E77-441C-886B-D4F9D8AC8BA3}" name="Column9428"/>
    <tableColumn id="9456" xr3:uid="{25EA9C4B-1C60-4E76-80A4-01A6C0A58F8B}" name="Column9429"/>
    <tableColumn id="9457" xr3:uid="{16E35C01-BF21-471F-A651-7F7DB41A74DD}" name="Column9430"/>
    <tableColumn id="9458" xr3:uid="{8FECBF87-BE35-4C79-96AB-595E08BBF62A}" name="Column9431"/>
    <tableColumn id="9459" xr3:uid="{338AB925-47F3-48C9-84A5-25C9E7AF0CE4}" name="Column9432"/>
    <tableColumn id="9460" xr3:uid="{CD82AF21-CCB9-4574-A986-12BD03C98969}" name="Column9433"/>
    <tableColumn id="9461" xr3:uid="{CCC64F42-8648-42DB-AD83-477BF1826957}" name="Column9434"/>
    <tableColumn id="9462" xr3:uid="{426FBB08-A9EA-448A-A514-3A5648E5942A}" name="Column9435"/>
    <tableColumn id="9463" xr3:uid="{9BD20861-F4A3-40AB-A1C0-07A70CC2A3F2}" name="Column9436"/>
    <tableColumn id="9464" xr3:uid="{4D728736-D790-4F84-A387-C37E0CF32D44}" name="Column9437"/>
    <tableColumn id="9465" xr3:uid="{CED98745-891D-4D3D-8E52-2E7F2821BA80}" name="Column9438"/>
    <tableColumn id="9466" xr3:uid="{0411026B-6F08-4079-A23C-3F3B8D625A2D}" name="Column9439"/>
    <tableColumn id="9467" xr3:uid="{8ABC85D7-DFC3-4363-A08A-4F33E2D99455}" name="Column9440"/>
    <tableColumn id="9468" xr3:uid="{A5956E18-68DD-4CF4-8F14-C0B1159EF7DF}" name="Column9441"/>
    <tableColumn id="9469" xr3:uid="{EA3A2AC5-BF9C-4EC6-ACDE-A1A20739ACD2}" name="Column9442"/>
    <tableColumn id="9470" xr3:uid="{C07EAC1A-1C9B-47DD-AF26-E502C4403D7D}" name="Column9443"/>
    <tableColumn id="9471" xr3:uid="{FAAB3CE0-01BC-4451-85DF-FD6AC3C0B395}" name="Column9444"/>
    <tableColumn id="9472" xr3:uid="{8F8A54E0-31D4-4C54-B45C-56BD8E6D9B8F}" name="Column9445"/>
    <tableColumn id="9473" xr3:uid="{9AA077EF-62B8-472A-940E-9CA3BCF18A7B}" name="Column9446"/>
    <tableColumn id="9474" xr3:uid="{E78AE4A3-E8EB-4C3D-9477-855136F586C9}" name="Column9447"/>
    <tableColumn id="9475" xr3:uid="{6C45CA51-5C76-4AD5-86BD-0F0478B3BC0F}" name="Column9448"/>
    <tableColumn id="9476" xr3:uid="{63C937A1-3433-4F29-A5FE-953212E3732E}" name="Column9449"/>
    <tableColumn id="9477" xr3:uid="{C4085798-B0FF-45EB-8C2E-9C2562CD62A4}" name="Column9450"/>
    <tableColumn id="9478" xr3:uid="{E99CF69A-819B-489D-8B86-C8C9CBE8555C}" name="Column9451"/>
    <tableColumn id="9479" xr3:uid="{BF33A080-1A9A-4099-AD3E-CA6226753871}" name="Column9452"/>
    <tableColumn id="9480" xr3:uid="{29593B80-ECC6-4FD8-A6DC-157FE73782C3}" name="Column9453"/>
    <tableColumn id="9481" xr3:uid="{F4CE129C-301E-4039-9B47-859B6C2A432F}" name="Column9454"/>
    <tableColumn id="9482" xr3:uid="{A9D66F66-D6F6-43D4-9C9B-CA71F6518491}" name="Column9455"/>
    <tableColumn id="9483" xr3:uid="{53E19578-40E5-4F17-8F0F-62641C6308AF}" name="Column9456"/>
    <tableColumn id="9484" xr3:uid="{07F9FB3F-98E2-4F2F-853A-6D929088E537}" name="Column9457"/>
    <tableColumn id="9485" xr3:uid="{D5FDD3F0-A7CE-42EB-A461-25CC8C97624F}" name="Column9458"/>
    <tableColumn id="9486" xr3:uid="{6D6FC7E0-4340-4BE5-85B0-FD403A4060AF}" name="Column9459"/>
    <tableColumn id="9487" xr3:uid="{48F5D554-1538-4895-8C70-0BCA6494AD6C}" name="Column9460"/>
    <tableColumn id="9488" xr3:uid="{41CCECB9-EAD1-43F9-BF3D-68E0CDF91D35}" name="Column9461"/>
    <tableColumn id="9489" xr3:uid="{28FB3290-C6EE-4905-9D20-7B27958AC5BC}" name="Column9462"/>
    <tableColumn id="9490" xr3:uid="{AB6BE115-ACDA-45A2-AB25-659AE2B0876E}" name="Column9463"/>
    <tableColumn id="9491" xr3:uid="{CBB3BFB6-D0CA-4F5B-BD78-559A96124347}" name="Column9464"/>
    <tableColumn id="9492" xr3:uid="{15F2D5AB-FE9E-4C9E-91C5-DCE3E191B5DF}" name="Column9465"/>
    <tableColumn id="9493" xr3:uid="{F9380514-E127-456A-B05F-16DB0CD544F5}" name="Column9466"/>
    <tableColumn id="9494" xr3:uid="{D0C24013-8A21-4BEA-AC0B-FCCE5CC66CEF}" name="Column9467"/>
    <tableColumn id="9495" xr3:uid="{CBC90C41-FF6F-40B1-B1EE-6107E3656BBC}" name="Column9468"/>
    <tableColumn id="9496" xr3:uid="{D62B3F3C-DC2E-4F4D-A609-FBEAF995AB12}" name="Column9469"/>
    <tableColumn id="9497" xr3:uid="{322914CD-7297-4B58-8C06-656A1CEF9216}" name="Column9470"/>
    <tableColumn id="9498" xr3:uid="{A121392B-9842-4BB8-B7B6-2BF59E5DFB70}" name="Column9471"/>
    <tableColumn id="9499" xr3:uid="{FCF450F7-7911-47AA-A375-6E9A564B0888}" name="Column9472"/>
    <tableColumn id="9500" xr3:uid="{4FEB59FE-1C4F-41EB-A77E-E815EAB73984}" name="Column9473"/>
    <tableColumn id="9501" xr3:uid="{C4006742-51BA-4D06-B103-FE32502FAD33}" name="Column9474"/>
    <tableColumn id="9502" xr3:uid="{5ACCBA98-2E92-4E64-951B-949FC95C9B3D}" name="Column9475"/>
    <tableColumn id="9503" xr3:uid="{0BAB16FE-3E4A-46B9-80E1-D00933E31128}" name="Column9476"/>
    <tableColumn id="9504" xr3:uid="{06AF378A-3016-49CA-8A54-1AC396F33B84}" name="Column9477"/>
    <tableColumn id="9505" xr3:uid="{96E31CFD-F64E-4C09-8990-B0C5FED0E271}" name="Column9478"/>
    <tableColumn id="9506" xr3:uid="{599F9699-AB3F-4AE4-9061-05EF27CFFE49}" name="Column9479"/>
    <tableColumn id="9507" xr3:uid="{03C62450-1FD2-4331-9F43-57281171E76B}" name="Column9480"/>
    <tableColumn id="9508" xr3:uid="{E22BE9B9-7237-497B-8604-6FC03F71C53E}" name="Column9481"/>
    <tableColumn id="9509" xr3:uid="{7C232483-90DE-4928-9138-B7C126CAAA72}" name="Column9482"/>
    <tableColumn id="9510" xr3:uid="{FB85D0A1-B989-4ED0-B79E-F7E3CB5A57CB}" name="Column9483"/>
    <tableColumn id="9511" xr3:uid="{F3848249-9E70-4386-8091-DFE02EFD6956}" name="Column9484"/>
    <tableColumn id="9512" xr3:uid="{FE2B2724-0AE4-48B8-8964-C91B3D4EAF13}" name="Column9485"/>
    <tableColumn id="9513" xr3:uid="{E961350D-B798-4A36-A541-101140448954}" name="Column9486"/>
    <tableColumn id="9514" xr3:uid="{7AA3350C-8F92-47F0-A4B2-18B10276BB22}" name="Column9487"/>
    <tableColumn id="9515" xr3:uid="{EE53EA0B-EEF0-4403-A469-00C8E3737922}" name="Column9488"/>
    <tableColumn id="9516" xr3:uid="{7D48BE6C-7C57-47F6-9AD1-735CAF9F3D60}" name="Column9489"/>
    <tableColumn id="9517" xr3:uid="{F5A2005C-C2A8-4F18-8CF6-27DBD779262C}" name="Column9490"/>
    <tableColumn id="9518" xr3:uid="{BAE7D99E-F305-4748-A995-0205452FA75F}" name="Column9491"/>
    <tableColumn id="9519" xr3:uid="{55C7C758-614B-4470-8AC4-F0055B8A7902}" name="Column9492"/>
    <tableColumn id="9520" xr3:uid="{647EA136-E826-4EE5-96EB-511FDE6AFD0D}" name="Column9493"/>
    <tableColumn id="9521" xr3:uid="{932462B7-2587-4E66-9F39-8168414A1969}" name="Column9494"/>
    <tableColumn id="9522" xr3:uid="{E9BE1086-77D9-44E7-A8D2-4EAB81E71AA8}" name="Column9495"/>
    <tableColumn id="9523" xr3:uid="{ECFC0F33-6DA3-44AD-A751-3CDD0DF15E4E}" name="Column9496"/>
    <tableColumn id="9524" xr3:uid="{C3E9B974-3D76-4FCD-8613-2DED6C2DA98A}" name="Column9497"/>
    <tableColumn id="9525" xr3:uid="{0326BB4B-ED60-4475-A796-AFAB13648A42}" name="Column9498"/>
    <tableColumn id="9526" xr3:uid="{60770175-4C26-4126-A208-6B5D463D3B6D}" name="Column9499"/>
    <tableColumn id="9527" xr3:uid="{FCFEFD4D-087D-49A0-8D8B-A9033D8C0042}" name="Column9500"/>
    <tableColumn id="9528" xr3:uid="{CF30C99F-2865-47AE-A260-D0FB89E5C1B1}" name="Column9501"/>
    <tableColumn id="9529" xr3:uid="{133099B1-EA79-4A1B-A66F-45BE2A0DD223}" name="Column9502"/>
    <tableColumn id="9530" xr3:uid="{EC782DD2-9955-49A1-9E4D-993331409411}" name="Column9503"/>
    <tableColumn id="9531" xr3:uid="{0D18CD8D-2160-4F36-B3DD-AF14711F1C75}" name="Column9504"/>
    <tableColumn id="9532" xr3:uid="{2BF985F8-9191-437C-B250-522D2FA780F4}" name="Column9505"/>
    <tableColumn id="9533" xr3:uid="{09122F6D-5E3F-4D29-9220-0CB4F3045419}" name="Column9506"/>
    <tableColumn id="9534" xr3:uid="{0DBB54AA-E605-46BC-9640-40F84AC5968D}" name="Column9507"/>
    <tableColumn id="9535" xr3:uid="{4CAD5AD1-2B7F-4B52-A29E-F218FD180AEA}" name="Column9508"/>
    <tableColumn id="9536" xr3:uid="{913B24E4-F260-4A8A-83AC-482263026166}" name="Column9509"/>
    <tableColumn id="9537" xr3:uid="{C0898A8D-281E-48E5-906A-EC112083C2FF}" name="Column9510"/>
    <tableColumn id="9538" xr3:uid="{5DE199CA-970B-45E0-B13A-096F751C1AF9}" name="Column9511"/>
    <tableColumn id="9539" xr3:uid="{524E4D8E-37BC-4695-B8D8-986556BCB756}" name="Column9512"/>
    <tableColumn id="9540" xr3:uid="{B10B40DD-1343-40AA-985F-D3439D9C3C33}" name="Column9513"/>
    <tableColumn id="9541" xr3:uid="{13ADD327-FF13-4246-9072-2360AB765437}" name="Column9514"/>
    <tableColumn id="9542" xr3:uid="{16E7D0AF-CABA-471C-BD98-AAAE06C9AC0E}" name="Column9515"/>
    <tableColumn id="9543" xr3:uid="{544956D6-46C8-4CE3-A943-7D9A3472D9F9}" name="Column9516"/>
    <tableColumn id="9544" xr3:uid="{825A22E5-720F-4F64-867B-7A331FCD05F4}" name="Column9517"/>
    <tableColumn id="9545" xr3:uid="{85CB53FD-2348-459F-A3A9-CE098D40312A}" name="Column9518"/>
    <tableColumn id="9546" xr3:uid="{AE5B22FC-14DD-4E28-A70A-A6B41523E0D0}" name="Column9519"/>
    <tableColumn id="9547" xr3:uid="{3391FB65-9016-4FC6-8D4C-7F20CAE43F25}" name="Column9520"/>
    <tableColumn id="9548" xr3:uid="{80CD5663-BFB6-4B6B-B43E-838AFAC1A084}" name="Column9521"/>
    <tableColumn id="9549" xr3:uid="{DDDEBB48-92F2-4A85-8FF7-A066FD8C59C9}" name="Column9522"/>
    <tableColumn id="9550" xr3:uid="{0BCD3DDB-03AC-4773-9719-7DE2D277B082}" name="Column9523"/>
    <tableColumn id="9551" xr3:uid="{213D8BAA-F464-4D5F-9755-17CC8AC87741}" name="Column9524"/>
    <tableColumn id="9552" xr3:uid="{B8D93029-2E18-400F-B90D-FDD65DBF9C69}" name="Column9525"/>
    <tableColumn id="9553" xr3:uid="{E5C03E56-05C4-410B-9AF6-A00475C70ABD}" name="Column9526"/>
    <tableColumn id="9554" xr3:uid="{AE9F8775-B841-4F14-95B2-5C9F96DA22AD}" name="Column9527"/>
    <tableColumn id="9555" xr3:uid="{981C70CB-5B3D-47BA-9164-21E9CE6BFBB5}" name="Column9528"/>
    <tableColumn id="9556" xr3:uid="{7EE09B0E-67CB-4616-91B5-63E3CCBC6A2E}" name="Column9529"/>
    <tableColumn id="9557" xr3:uid="{8E16DDF1-F5D7-4F6B-9D0A-5AA3FCBB1AB4}" name="Column9530"/>
    <tableColumn id="9558" xr3:uid="{22E38898-9A3C-4F5E-AF03-7459D28B3AEE}" name="Column9531"/>
    <tableColumn id="9559" xr3:uid="{A25228C1-0A79-4892-8153-31CD955D0564}" name="Column9532"/>
    <tableColumn id="9560" xr3:uid="{0D243A95-972E-44B2-A9BC-1913CB6CF96D}" name="Column9533"/>
    <tableColumn id="9561" xr3:uid="{931B3EBA-A173-488E-A5F7-A9A8BDAD8268}" name="Column9534"/>
    <tableColumn id="9562" xr3:uid="{74F64747-ED8B-4AFA-8772-26E6A0C86AFE}" name="Column9535"/>
    <tableColumn id="9563" xr3:uid="{891E8AE0-00E0-46ED-9C0A-4F600DEFFA28}" name="Column9536"/>
    <tableColumn id="9564" xr3:uid="{E9205179-63BE-418C-ADD4-E5DCDDC0BECA}" name="Column9537"/>
    <tableColumn id="9565" xr3:uid="{0D65408B-5913-4E27-B5A0-62738631C2C4}" name="Column9538"/>
    <tableColumn id="9566" xr3:uid="{F3BBC434-DC27-4FBF-91C0-FEDFBE535A5A}" name="Column9539"/>
    <tableColumn id="9567" xr3:uid="{FBBE9F05-3BE2-43B7-8E54-08DAF420E95C}" name="Column9540"/>
    <tableColumn id="9568" xr3:uid="{B73A7898-39A6-4D73-9CBA-9279EB4257B2}" name="Column9541"/>
    <tableColumn id="9569" xr3:uid="{D227D881-0119-451B-AAE8-0D0BC44AEB58}" name="Column9542"/>
    <tableColumn id="9570" xr3:uid="{8F0DE65E-2C19-4642-A720-065B6C4B79D5}" name="Column9543"/>
    <tableColumn id="9571" xr3:uid="{289FD025-B3F2-4191-A9E5-FFE299ABAB08}" name="Column9544"/>
    <tableColumn id="9572" xr3:uid="{C85C91AC-A898-4EC9-8AA1-001E9DAA4D8B}" name="Column9545"/>
    <tableColumn id="9573" xr3:uid="{C24E0DF1-496B-4886-AADB-D448B131A533}" name="Column9546"/>
    <tableColumn id="9574" xr3:uid="{00E8144F-AE95-402F-A246-EF531080A1C2}" name="Column9547"/>
    <tableColumn id="9575" xr3:uid="{10233809-F2BD-4D4B-BD36-713A85D5240C}" name="Column9548"/>
    <tableColumn id="9576" xr3:uid="{9F1B719E-0456-42E9-B875-AFBE68953900}" name="Column9549"/>
    <tableColumn id="9577" xr3:uid="{DAE91D6E-2CDF-4C49-BC54-4A24EE854588}" name="Column9550"/>
    <tableColumn id="9578" xr3:uid="{AC6BD3B0-DD2A-4FE1-A4F0-E52EA5F40312}" name="Column9551"/>
    <tableColumn id="9579" xr3:uid="{3E9B2F8A-14E4-4DFC-8E35-45DB2474E9F0}" name="Column9552"/>
    <tableColumn id="9580" xr3:uid="{D28172E4-74FD-4A3F-BBE3-CDD1D72EC150}" name="Column9553"/>
    <tableColumn id="9581" xr3:uid="{D315C73B-73AB-4BEF-8EDB-A49ECC0E3993}" name="Column9554"/>
    <tableColumn id="9582" xr3:uid="{036A45BC-65FE-481F-A4E7-6B4741DFF1C0}" name="Column9555"/>
    <tableColumn id="9583" xr3:uid="{73F083A1-10A5-4A77-BA4F-BAE71D6D946E}" name="Column9556"/>
    <tableColumn id="9584" xr3:uid="{3EFB17F8-2AB3-41EF-9A6D-D8090C7C5385}" name="Column9557"/>
    <tableColumn id="9585" xr3:uid="{5DF0492E-A517-4CEF-83CB-9C2CEE2AB8CD}" name="Column9558"/>
    <tableColumn id="9586" xr3:uid="{FC916691-FBCF-45EB-A38C-23CC2254A52C}" name="Column9559"/>
    <tableColumn id="9587" xr3:uid="{73AF0DF4-B962-493D-9C13-7294D011DB80}" name="Column9560"/>
    <tableColumn id="9588" xr3:uid="{ACB3990B-091B-4BA1-A738-8DD3EF00A12F}" name="Column9561"/>
    <tableColumn id="9589" xr3:uid="{4953CD96-CE6E-4668-B2D1-B5A9525AF168}" name="Column9562"/>
    <tableColumn id="9590" xr3:uid="{F5745A4E-1A2B-459E-A9F6-E961E78DF028}" name="Column9563"/>
    <tableColumn id="9591" xr3:uid="{E457B178-AB1E-4759-9626-7D05CE71047C}" name="Column9564"/>
    <tableColumn id="9592" xr3:uid="{2BD30840-1DAD-4CE8-B284-35C0485D2800}" name="Column9565"/>
    <tableColumn id="9593" xr3:uid="{A57BFC06-CDFE-4110-8A2B-3612DF73AA7E}" name="Column9566"/>
    <tableColumn id="9594" xr3:uid="{F9854E70-4464-45FA-A79D-F031FE7CE3B7}" name="Column9567"/>
    <tableColumn id="9595" xr3:uid="{FAC6B929-53D0-44DE-A109-0768D372271B}" name="Column9568"/>
    <tableColumn id="9596" xr3:uid="{6D94CA80-D4AE-4D73-8E7D-1568E2F90304}" name="Column9569"/>
    <tableColumn id="9597" xr3:uid="{A6B1AFB4-129C-40D6-BB3F-6AB73CA6A316}" name="Column9570"/>
    <tableColumn id="9598" xr3:uid="{8F4FAA1B-6409-4CAB-8185-63B8E9A5470C}" name="Column9571"/>
    <tableColumn id="9599" xr3:uid="{80B3E8FE-FF75-4B1D-85BD-B92F7D09F7A5}" name="Column9572"/>
    <tableColumn id="9600" xr3:uid="{8D39F99B-A0A7-40CA-95FB-B630C19CF496}" name="Column9573"/>
    <tableColumn id="9601" xr3:uid="{80727F70-DA64-4261-8853-B02EF70B13B0}" name="Column9574"/>
    <tableColumn id="9602" xr3:uid="{D346203A-06B9-461C-BAAC-6569126340EA}" name="Column9575"/>
    <tableColumn id="9603" xr3:uid="{06BDA4DA-89B2-4069-98DD-FC6296D54213}" name="Column9576"/>
    <tableColumn id="9604" xr3:uid="{805A0C23-D1C6-45AD-BA51-D6497AC5B766}" name="Column9577"/>
    <tableColumn id="9605" xr3:uid="{60AF80DC-CECE-4653-9FCA-4B44C629339F}" name="Column9578"/>
    <tableColumn id="9606" xr3:uid="{BA51E2E3-5D35-4C85-8654-6E1FC51E5777}" name="Column9579"/>
    <tableColumn id="9607" xr3:uid="{D9BF5B0F-E314-4C84-8DE0-1FD424ADABC7}" name="Column9580"/>
    <tableColumn id="9608" xr3:uid="{AE3D67D1-7C6D-4C7D-A344-14285B2D1BFA}" name="Column9581"/>
    <tableColumn id="9609" xr3:uid="{31E42FEF-EE2D-420B-ADA9-C8C82D97055E}" name="Column9582"/>
    <tableColumn id="9610" xr3:uid="{D4DAA1BC-9934-461C-81E0-9D7DCDB95DD3}" name="Column9583"/>
    <tableColumn id="9611" xr3:uid="{7D7C3946-18F8-4C18-8A5D-19671C5951E1}" name="Column9584"/>
    <tableColumn id="9612" xr3:uid="{CDD364E5-78B4-49FF-9B63-C1E3AA72EAAB}" name="Column9585"/>
    <tableColumn id="9613" xr3:uid="{214DB030-DE01-4D17-8D07-CAD7CE0654BD}" name="Column9586"/>
    <tableColumn id="9614" xr3:uid="{CD9287AA-BD9A-435A-AB43-18BBCCAEB546}" name="Column9587"/>
    <tableColumn id="9615" xr3:uid="{2E511BD0-C56C-475A-A6FB-B6BBBF92ED1F}" name="Column9588"/>
    <tableColumn id="9616" xr3:uid="{ED769AB2-2403-48DD-B393-A5B44C072B39}" name="Column9589"/>
    <tableColumn id="9617" xr3:uid="{B51E671B-82CC-4031-B53F-E4CB8161BB31}" name="Column9590"/>
    <tableColumn id="9618" xr3:uid="{8B1C7BF8-D8ED-4E04-AE5D-177FC2B9A8A9}" name="Column9591"/>
    <tableColumn id="9619" xr3:uid="{9BA49088-B96E-437A-9E16-9380F708782A}" name="Column9592"/>
    <tableColumn id="9620" xr3:uid="{C129F722-CB62-4AD1-AD07-B8C3C39B7C2D}" name="Column9593"/>
    <tableColumn id="9621" xr3:uid="{481C097C-8CC9-4178-B480-1E942FE5530A}" name="Column9594"/>
    <tableColumn id="9622" xr3:uid="{37ED40E2-19BF-4555-8589-4A22587E48B6}" name="Column9595"/>
    <tableColumn id="9623" xr3:uid="{B0AD3763-0214-48CF-853B-B39BA11BF0EE}" name="Column9596"/>
    <tableColumn id="9624" xr3:uid="{224D734F-E07D-42B0-ADA7-9D15141C6033}" name="Column9597"/>
    <tableColumn id="9625" xr3:uid="{05D7DE9C-2E3C-4236-8E09-D0F0E94E8EF6}" name="Column9598"/>
    <tableColumn id="9626" xr3:uid="{C79B3112-5ADF-4E87-84B4-184EBEBCB727}" name="Column9599"/>
    <tableColumn id="9627" xr3:uid="{00D4651A-5416-4FD5-B913-3E898FF53A34}" name="Column9600"/>
    <tableColumn id="9628" xr3:uid="{B0FF95DA-C3B9-49FD-8688-F14ECA11D0C3}" name="Column9601"/>
    <tableColumn id="9629" xr3:uid="{1741A4C4-7FB8-451B-A877-5DB0B0E4146C}" name="Column9602"/>
    <tableColumn id="9630" xr3:uid="{0F7BF1AB-A6F0-48E4-8AB1-56A329B95380}" name="Column9603"/>
    <tableColumn id="9631" xr3:uid="{9BF46A85-E313-4B04-9487-C1E3A736F839}" name="Column9604"/>
    <tableColumn id="9632" xr3:uid="{3220F37A-DF61-4A41-9A77-25A15C283037}" name="Column9605"/>
    <tableColumn id="9633" xr3:uid="{01683846-AE37-445B-A24D-EC8F33F60AD2}" name="Column9606"/>
    <tableColumn id="9634" xr3:uid="{E4D2B6F8-912A-408D-8C0D-E83F1A205D44}" name="Column9607"/>
    <tableColumn id="9635" xr3:uid="{1049DCE7-1E65-4C45-ACEB-7A048B92206B}" name="Column9608"/>
    <tableColumn id="9636" xr3:uid="{CFC4F433-4E4E-4806-B967-868804A4EA4E}" name="Column9609"/>
    <tableColumn id="9637" xr3:uid="{95BA64C1-463D-43B5-B3A5-60E699A35FBB}" name="Column9610"/>
    <tableColumn id="9638" xr3:uid="{6DE02B45-5A49-423C-9F2A-DB0F3FFCD39A}" name="Column9611"/>
    <tableColumn id="9639" xr3:uid="{6F54562B-6800-4DBA-869B-E69D7A76C37D}" name="Column9612"/>
    <tableColumn id="9640" xr3:uid="{C87F4830-C3D3-468D-80E9-1203077C5CE3}" name="Column9613"/>
    <tableColumn id="9641" xr3:uid="{0FD4561E-DBC0-45A0-A308-74F796499E7D}" name="Column9614"/>
    <tableColumn id="9642" xr3:uid="{BBD1010A-34EE-483C-9C6E-5C9C4E4BA87B}" name="Column9615"/>
    <tableColumn id="9643" xr3:uid="{08330F63-F9B6-411A-BA69-C3297504B03F}" name="Column9616"/>
    <tableColumn id="9644" xr3:uid="{B7230650-C387-4874-9FF2-466B56AC5A69}" name="Column9617"/>
    <tableColumn id="9645" xr3:uid="{F478CA88-B158-4BE4-B81E-5CA7A5A749CF}" name="Column9618"/>
    <tableColumn id="9646" xr3:uid="{5D0451F2-A164-449C-A30C-B55A1CCF9C37}" name="Column9619"/>
    <tableColumn id="9647" xr3:uid="{1431E32F-FCE3-4401-980E-343747DCEEF7}" name="Column9620"/>
    <tableColumn id="9648" xr3:uid="{64E5260F-67C3-4334-B873-6BAAC38C7CA7}" name="Column9621"/>
    <tableColumn id="9649" xr3:uid="{4D6A73D6-3F9E-46FF-9CD0-9F271C979A9B}" name="Column9622"/>
    <tableColumn id="9650" xr3:uid="{D487CA9B-8C59-4CF7-B38A-3B73CCA48B5C}" name="Column9623"/>
    <tableColumn id="9651" xr3:uid="{20535C77-27ED-44BA-8EC2-0FF174C001AD}" name="Column9624"/>
    <tableColumn id="9652" xr3:uid="{BD3CEBF4-385F-4F82-AE11-C8CC7B1530A1}" name="Column9625"/>
    <tableColumn id="9653" xr3:uid="{15D4E738-5580-4C7E-8485-7A2185560470}" name="Column9626"/>
    <tableColumn id="9654" xr3:uid="{D322687C-54BB-436B-AF93-9549EF1FBE36}" name="Column9627"/>
    <tableColumn id="9655" xr3:uid="{7148D4D6-F63F-48FE-A5CE-396B28B72A7F}" name="Column9628"/>
    <tableColumn id="9656" xr3:uid="{F7DE33F5-1A94-4395-A037-62C99630DB5B}" name="Column9629"/>
    <tableColumn id="9657" xr3:uid="{84B363A5-1FAD-4175-BABA-96C89D5B0C1D}" name="Column9630"/>
    <tableColumn id="9658" xr3:uid="{EEDCC149-80D2-4FDE-A8E9-ABD4C41E0DFC}" name="Column9631"/>
    <tableColumn id="9659" xr3:uid="{CE86A4DC-2BC0-4507-9A8D-3A9CF3C22C6D}" name="Column9632"/>
    <tableColumn id="9660" xr3:uid="{C1AD79CB-A34A-4B9C-87C4-5CF243F81338}" name="Column9633"/>
    <tableColumn id="9661" xr3:uid="{92E1BB54-5D0C-450E-B8E8-265E7114FDCC}" name="Column9634"/>
    <tableColumn id="9662" xr3:uid="{F6CB86F9-BF3A-4782-8E43-6D73CF0E5919}" name="Column9635"/>
    <tableColumn id="9663" xr3:uid="{3A91BFF3-CB75-425E-91B1-F5E1BD580B69}" name="Column9636"/>
    <tableColumn id="9664" xr3:uid="{4907EA06-2E57-4195-9662-E1D2D569AEFC}" name="Column9637"/>
    <tableColumn id="9665" xr3:uid="{32420821-6B8F-483F-999B-4AA5199484C1}" name="Column9638"/>
    <tableColumn id="9666" xr3:uid="{808C1638-2701-4BA3-9DCE-96CB84DEA551}" name="Column9639"/>
    <tableColumn id="9667" xr3:uid="{332043FA-C16B-427E-BB3F-D95C4E0410EF}" name="Column9640"/>
    <tableColumn id="9668" xr3:uid="{AFDF5AB6-ED3B-4067-A7D2-FB98960FC4C2}" name="Column9641"/>
    <tableColumn id="9669" xr3:uid="{5C9B2900-3B49-4A13-B5B6-7A2F0A317CE4}" name="Column9642"/>
    <tableColumn id="9670" xr3:uid="{7C4687B9-AC5D-4018-B098-A093B67A361B}" name="Column9643"/>
    <tableColumn id="9671" xr3:uid="{FEFEDEBD-E372-4025-91BA-DBB3DF5071C7}" name="Column9644"/>
    <tableColumn id="9672" xr3:uid="{9BA60665-9394-400D-8947-13B439BF4868}" name="Column9645"/>
    <tableColumn id="9673" xr3:uid="{ACD7F9DE-F37D-41ED-8253-8E0AA9C94340}" name="Column9646"/>
    <tableColumn id="9674" xr3:uid="{86776E0A-B1BE-4543-B2C4-C4B14A5C8D30}" name="Column9647"/>
    <tableColumn id="9675" xr3:uid="{50A2463E-7C5F-4C34-A4B6-4DE3745AD818}" name="Column9648"/>
    <tableColumn id="9676" xr3:uid="{D566F0F4-067A-4F80-A08D-111AC6AA1586}" name="Column9649"/>
    <tableColumn id="9677" xr3:uid="{464A9C65-5C77-44F0-9A51-E750BE8074DE}" name="Column9650"/>
    <tableColumn id="9678" xr3:uid="{1075A2B2-6588-4238-A1A5-3D714A930322}" name="Column9651"/>
    <tableColumn id="9679" xr3:uid="{E4E14954-5B2E-4AA6-A69E-B4795DECA117}" name="Column9652"/>
    <tableColumn id="9680" xr3:uid="{9BF44986-20D0-40CD-ADAE-70E70047A5CA}" name="Column9653"/>
    <tableColumn id="9681" xr3:uid="{83DC53A7-EADC-4577-B715-6ABC57561B4F}" name="Column9654"/>
    <tableColumn id="9682" xr3:uid="{7896FDB0-9EE3-44BE-B637-5FEE6B54711F}" name="Column9655"/>
    <tableColumn id="9683" xr3:uid="{D3693716-785F-405E-9EC8-B179D6E3A7B2}" name="Column9656"/>
    <tableColumn id="9684" xr3:uid="{67DA857A-7282-41DA-A085-B96FD66C17D8}" name="Column9657"/>
    <tableColumn id="9685" xr3:uid="{FD167E69-6779-4389-BE9F-BF35085CC6F5}" name="Column9658"/>
    <tableColumn id="9686" xr3:uid="{81EA0FF4-EF8C-443B-8826-63F09906D8B6}" name="Column9659"/>
    <tableColumn id="9687" xr3:uid="{3EB9A741-2611-473D-9EB3-582D8E164F6A}" name="Column9660"/>
    <tableColumn id="9688" xr3:uid="{26BC1DBF-FDDB-4413-B186-F71492DDE4A6}" name="Column9661"/>
    <tableColumn id="9689" xr3:uid="{0245D6BD-1E27-4F8C-AF6D-3CAC2A958AA3}" name="Column9662"/>
    <tableColumn id="9690" xr3:uid="{2913D908-C72A-4061-925B-67F1863B285F}" name="Column9663"/>
    <tableColumn id="9691" xr3:uid="{7C25F232-5287-43B9-A900-83AF67A891D5}" name="Column9664"/>
    <tableColumn id="9692" xr3:uid="{BEDD1AD3-ACA4-47AE-AC0F-3A8312AB6576}" name="Column9665"/>
    <tableColumn id="9693" xr3:uid="{219670BD-F58A-4EF8-A15B-DC782DC68948}" name="Column9666"/>
    <tableColumn id="9694" xr3:uid="{29AD7C91-4716-4223-9C3C-F16BE12518F2}" name="Column9667"/>
    <tableColumn id="9695" xr3:uid="{6B12542A-A0D9-4B9D-B2B9-6658539134A7}" name="Column9668"/>
    <tableColumn id="9696" xr3:uid="{4FA68409-5177-4746-8CE6-17B7E9956E8E}" name="Column9669"/>
    <tableColumn id="9697" xr3:uid="{D215782D-5F36-4DC9-B609-6C6FC268A562}" name="Column9670"/>
    <tableColumn id="9698" xr3:uid="{F506F0D5-BD79-4BD7-848C-A9597288B3B7}" name="Column9671"/>
    <tableColumn id="9699" xr3:uid="{0128C47C-895A-4F0F-85D5-6660EA3A10DF}" name="Column9672"/>
    <tableColumn id="9700" xr3:uid="{18DDD0AB-2D05-4CC7-87F0-0DCFE8A4462E}" name="Column9673"/>
    <tableColumn id="9701" xr3:uid="{6A029601-6CE4-4199-92C5-97398F42826E}" name="Column9674"/>
    <tableColumn id="9702" xr3:uid="{41DD5DFF-1466-47D5-8A2D-9D41EAD8C7F4}" name="Column9675"/>
    <tableColumn id="9703" xr3:uid="{06DD1CED-4EF7-4A9F-82BF-BEB45F9C8224}" name="Column9676"/>
    <tableColumn id="9704" xr3:uid="{775AE909-719F-4621-92E2-FA6FD2A84AC1}" name="Column9677"/>
    <tableColumn id="9705" xr3:uid="{6B3F356B-5194-47C0-8092-6A0C30DBAD42}" name="Column9678"/>
    <tableColumn id="9706" xr3:uid="{C49B8BFB-C1CA-4ED9-B236-A60013801B32}" name="Column9679"/>
    <tableColumn id="9707" xr3:uid="{94182DA6-34D3-4B0F-8253-0C1DB503F950}" name="Column9680"/>
    <tableColumn id="9708" xr3:uid="{5B77A12B-784F-443A-9B06-2139C1E9D43C}" name="Column9681"/>
    <tableColumn id="9709" xr3:uid="{DA665F31-95B8-4F5E-9970-15B7C3618F62}" name="Column9682"/>
    <tableColumn id="9710" xr3:uid="{7004274D-3B54-4630-B331-DDD9A1A7D14A}" name="Column9683"/>
    <tableColumn id="9711" xr3:uid="{A91E703A-799F-45AC-864B-37663B0EFC32}" name="Column9684"/>
    <tableColumn id="9712" xr3:uid="{FBC90BE3-D5B2-4E55-9523-15476F3FB907}" name="Column9685"/>
    <tableColumn id="9713" xr3:uid="{55E7521F-5CBC-4251-83DE-9A7441B8EC86}" name="Column9686"/>
    <tableColumn id="9714" xr3:uid="{6D8416F8-F362-4E4D-822C-253FD97CD459}" name="Column9687"/>
    <tableColumn id="9715" xr3:uid="{764A4989-970C-4952-948E-4F4502EB3B3D}" name="Column9688"/>
    <tableColumn id="9716" xr3:uid="{6551F13D-3B6A-4D0A-A8EA-97B16951C2DC}" name="Column9689"/>
    <tableColumn id="9717" xr3:uid="{B18DB90C-C8B7-4CD2-8ABC-D6E7D82B958E}" name="Column9690"/>
    <tableColumn id="9718" xr3:uid="{ED1A629E-171A-4DD9-8100-FEBED77AB589}" name="Column9691"/>
    <tableColumn id="9719" xr3:uid="{6F23A025-8C38-4721-A8B6-AF6EBEFE7902}" name="Column9692"/>
    <tableColumn id="9720" xr3:uid="{28DAC9E3-5C5B-449B-9A67-C22E125211AD}" name="Column9693"/>
    <tableColumn id="9721" xr3:uid="{216F02AE-82D3-4218-9591-CCBFE55FE395}" name="Column9694"/>
    <tableColumn id="9722" xr3:uid="{7A8377E8-8CB1-4DB9-952B-1FA39395F121}" name="Column9695"/>
    <tableColumn id="9723" xr3:uid="{42FA9A88-A969-4B1A-BD61-BEAEFC18CC17}" name="Column9696"/>
    <tableColumn id="9724" xr3:uid="{5A635FA0-E4DE-4293-A70B-F82EC2A90837}" name="Column9697"/>
    <tableColumn id="9725" xr3:uid="{25A34F57-E330-4A7B-B305-4713AFB922E1}" name="Column9698"/>
    <tableColumn id="9726" xr3:uid="{D131D388-5BC0-4335-85F1-3F3758B70087}" name="Column9699"/>
    <tableColumn id="9727" xr3:uid="{5F81EF10-8222-40F6-AC1B-96989321CFC5}" name="Column9700"/>
    <tableColumn id="9728" xr3:uid="{A27BE054-3AE0-453B-82B9-9B6F699560EC}" name="Column9701"/>
    <tableColumn id="9729" xr3:uid="{7FC69273-6068-4580-960A-FC88E2E47B8D}" name="Column9702"/>
    <tableColumn id="9730" xr3:uid="{2BB01C51-C371-4A3B-80D1-BE88F89B6BF6}" name="Column9703"/>
    <tableColumn id="9731" xr3:uid="{3E1CB5B3-3E83-4329-BF6F-48EFA72001BC}" name="Column9704"/>
    <tableColumn id="9732" xr3:uid="{76504455-2664-418D-B498-28E3EF1B6E2E}" name="Column9705"/>
    <tableColumn id="9733" xr3:uid="{222BBB28-3185-4792-AEFA-894E9EBE3700}" name="Column9706"/>
    <tableColumn id="9734" xr3:uid="{16F85A31-E5F7-47E1-B370-6A4A851C565A}" name="Column9707"/>
    <tableColumn id="9735" xr3:uid="{B1467E8A-C4CC-4528-95D1-89C640C1D312}" name="Column9708"/>
    <tableColumn id="9736" xr3:uid="{77E4C873-30D9-4022-9552-D015B74B67C3}" name="Column9709"/>
    <tableColumn id="9737" xr3:uid="{DAB32658-9103-44A1-90E4-AAB7021A46A2}" name="Column9710"/>
    <tableColumn id="9738" xr3:uid="{C51E02E8-D27A-459C-80F0-16D88675B38B}" name="Column9711"/>
    <tableColumn id="9739" xr3:uid="{C403942D-98B9-472F-9A13-5A77685D095D}" name="Column9712"/>
    <tableColumn id="9740" xr3:uid="{9F0CAC18-5633-4596-893D-F7B84C4410A6}" name="Column9713"/>
    <tableColumn id="9741" xr3:uid="{B3AEA27C-6513-4D35-A1B6-D5B416099F4B}" name="Column9714"/>
    <tableColumn id="9742" xr3:uid="{88C94A98-FFA9-4C88-9817-49B7A7534456}" name="Column9715"/>
    <tableColumn id="9743" xr3:uid="{699278F2-198B-4A92-99F5-6C489DFA2412}" name="Column9716"/>
    <tableColumn id="9744" xr3:uid="{1D527530-0033-45D4-8628-4527688691DA}" name="Column9717"/>
    <tableColumn id="9745" xr3:uid="{C579C006-BE84-4DE5-BE02-4937B8F9FFE2}" name="Column9718"/>
    <tableColumn id="9746" xr3:uid="{07AD4631-0422-4A6B-BCB5-B6F44A8C3CDF}" name="Column9719"/>
    <tableColumn id="9747" xr3:uid="{6862BE59-0A55-4378-9DAF-1B56CFE7C6D7}" name="Column9720"/>
    <tableColumn id="9748" xr3:uid="{02C37858-5F55-4657-8AF8-384BE6CABA60}" name="Column9721"/>
    <tableColumn id="9749" xr3:uid="{22D8442D-95A4-43A8-8D6B-BA1C1A5015CE}" name="Column9722"/>
    <tableColumn id="9750" xr3:uid="{F8191C75-B7F5-4696-B3F9-BF17FE6B87AE}" name="Column9723"/>
    <tableColumn id="9751" xr3:uid="{3B98A71A-7CE1-4512-9D44-74D05C8C0564}" name="Column9724"/>
    <tableColumn id="9752" xr3:uid="{573BEACD-85DD-4F09-8B39-C96EC35F19D7}" name="Column9725"/>
    <tableColumn id="9753" xr3:uid="{33284C60-2AE9-42A5-A6EF-997C40961500}" name="Column9726"/>
    <tableColumn id="9754" xr3:uid="{5D81A8A7-C323-40E6-B6B3-AF59B995B499}" name="Column9727"/>
    <tableColumn id="9755" xr3:uid="{2EF78A57-3CB7-40C6-B99B-FF466E19E144}" name="Column9728"/>
    <tableColumn id="9756" xr3:uid="{3F082D58-BA16-49CF-8B2A-6F75671ED7A3}" name="Column9729"/>
    <tableColumn id="9757" xr3:uid="{3B28CD33-A3F4-4CF0-BCE6-ADCF6E0B5606}" name="Column9730"/>
    <tableColumn id="9758" xr3:uid="{581FE03F-3338-4B12-B712-4D87E85A65A1}" name="Column9731"/>
    <tableColumn id="9759" xr3:uid="{B8965C28-269E-4285-82ED-4DC6DB2B1318}" name="Column9732"/>
    <tableColumn id="9760" xr3:uid="{1227518C-D719-4C09-92B8-236B00DB20E6}" name="Column9733"/>
    <tableColumn id="9761" xr3:uid="{85EB1D9B-BA92-4F73-BA5D-70E75250EFE1}" name="Column9734"/>
    <tableColumn id="9762" xr3:uid="{A535AC45-4585-44B2-A47C-1A04E76B8979}" name="Column9735"/>
    <tableColumn id="9763" xr3:uid="{578BCDB0-3BB0-4352-9138-FF5B702E1382}" name="Column9736"/>
    <tableColumn id="9764" xr3:uid="{8063F364-C9DE-4A07-A175-2A51532C26A3}" name="Column9737"/>
    <tableColumn id="9765" xr3:uid="{AB4330BF-3CE4-4185-A2CA-DEB08CE631DC}" name="Column9738"/>
    <tableColumn id="9766" xr3:uid="{6963BB79-33E2-4DC1-8A93-5F70BD087DBC}" name="Column9739"/>
    <tableColumn id="9767" xr3:uid="{FD96260D-84A5-4DB2-B4F4-0708DC656449}" name="Column9740"/>
    <tableColumn id="9768" xr3:uid="{BB0556DA-1947-4ABA-B5FF-D54F4855171E}" name="Column9741"/>
    <tableColumn id="9769" xr3:uid="{3ED32E52-B903-4CE1-8406-AC672AD19E4E}" name="Column9742"/>
    <tableColumn id="9770" xr3:uid="{FBE27B9D-351F-4DBD-948E-E3A0653FFD56}" name="Column9743"/>
    <tableColumn id="9771" xr3:uid="{BCD1D092-7193-4C64-BB95-263365ED8E15}" name="Column9744"/>
    <tableColumn id="9772" xr3:uid="{C51046CE-1A22-4538-AC49-2B75E1F2BD1E}" name="Column9745"/>
    <tableColumn id="9773" xr3:uid="{715A7438-FF38-4004-A2DE-8F3664CAC76B}" name="Column9746"/>
    <tableColumn id="9774" xr3:uid="{B905106A-D291-4A85-AF8F-94961476D6FA}" name="Column9747"/>
    <tableColumn id="9775" xr3:uid="{EA0591A2-8FDC-41E8-B193-C07BEF510761}" name="Column9748"/>
    <tableColumn id="9776" xr3:uid="{E9902794-850D-4EFD-9824-97DFC59CF894}" name="Column9749"/>
    <tableColumn id="9777" xr3:uid="{3F2BFA97-5282-4C24-A0C9-80E974DB8C0D}" name="Column9750"/>
    <tableColumn id="9778" xr3:uid="{6A35F80A-9974-4021-BC0F-B1803E8D6CC8}" name="Column9751"/>
    <tableColumn id="9779" xr3:uid="{455D10CC-F213-419F-BFDC-2DB53DBD5165}" name="Column9752"/>
    <tableColumn id="9780" xr3:uid="{27CFB7BD-11F6-402F-9813-104CD541C3B6}" name="Column9753"/>
    <tableColumn id="9781" xr3:uid="{9830015F-BE8C-47F6-A3EC-09DF47302ADE}" name="Column9754"/>
    <tableColumn id="9782" xr3:uid="{1552CAE1-1C0F-4658-9189-CFECE92AE1E2}" name="Column9755"/>
    <tableColumn id="9783" xr3:uid="{EB83C59D-2CC2-434C-B7D2-69B438BF0C6E}" name="Column9756"/>
    <tableColumn id="9784" xr3:uid="{A1C48DDC-46C5-4AC1-98CB-696E76D36A58}" name="Column9757"/>
    <tableColumn id="9785" xr3:uid="{BA4A21FB-1AAF-4966-BD78-B1AC0885E474}" name="Column9758"/>
    <tableColumn id="9786" xr3:uid="{89BC4AD3-2D06-49A4-8E8D-5A36B1E93FE7}" name="Column9759"/>
    <tableColumn id="9787" xr3:uid="{61EF7A26-A8AD-43AC-A19B-E58EC92FF1C1}" name="Column9760"/>
    <tableColumn id="9788" xr3:uid="{B85254AF-7B16-4236-AF37-550B64A268B8}" name="Column9761"/>
    <tableColumn id="9789" xr3:uid="{5B696A15-5730-4955-AC82-AF68F7B7B5D0}" name="Column9762"/>
    <tableColumn id="9790" xr3:uid="{2903C7B9-C704-481E-880C-294D42024801}" name="Column9763"/>
    <tableColumn id="9791" xr3:uid="{731BB897-DD71-4651-92EA-523AAD29D3F4}" name="Column9764"/>
    <tableColumn id="9792" xr3:uid="{3C6086BE-16F9-44B7-9959-2B2A4D88A897}" name="Column9765"/>
    <tableColumn id="9793" xr3:uid="{CB069C12-3092-4420-8EE9-FBA5D76412F5}" name="Column9766"/>
    <tableColumn id="9794" xr3:uid="{1F6AAC37-AAA2-444E-B029-3A1F236B78FE}" name="Column9767"/>
    <tableColumn id="9795" xr3:uid="{1F8EBE07-7D42-49C8-88A5-E2BD526E684C}" name="Column9768"/>
    <tableColumn id="9796" xr3:uid="{AB14F0BC-F2A1-45B7-ADC0-A3313F3CBD9D}" name="Column9769"/>
    <tableColumn id="9797" xr3:uid="{5B2B68F3-A43F-49E9-AFC4-0982C7B7A354}" name="Column9770"/>
    <tableColumn id="9798" xr3:uid="{DD3C1D06-917A-4B5A-B7A2-4167CBCC657B}" name="Column9771"/>
    <tableColumn id="9799" xr3:uid="{7BC72373-6377-40DB-A44F-5511D373B427}" name="Column9772"/>
    <tableColumn id="9800" xr3:uid="{D18F8347-D28A-499A-894D-07AC29AA3B54}" name="Column9773"/>
    <tableColumn id="9801" xr3:uid="{E492969A-0C66-4947-B9C0-64C5BE3714DD}" name="Column9774"/>
    <tableColumn id="9802" xr3:uid="{2D834C43-F12F-48FE-A03A-50C50FA897B4}" name="Column9775"/>
    <tableColumn id="9803" xr3:uid="{C990469C-970E-4D62-A5C0-6E367FE81795}" name="Column9776"/>
    <tableColumn id="9804" xr3:uid="{741F925B-E941-454F-B482-00827152C645}" name="Column9777"/>
    <tableColumn id="9805" xr3:uid="{5A2A8577-9799-4E7B-B23F-44CC3CCF7D9B}" name="Column9778"/>
    <tableColumn id="9806" xr3:uid="{30E59A58-17CA-45DC-B6D6-4775D65C8D82}" name="Column9779"/>
    <tableColumn id="9807" xr3:uid="{4AC2FA24-77FD-4F35-ACEC-DAE494607799}" name="Column9780"/>
    <tableColumn id="9808" xr3:uid="{DA850EFE-4352-48D0-9BC1-CBE84A78D2D4}" name="Column9781"/>
    <tableColumn id="9809" xr3:uid="{BF995E00-B19F-4583-B5A8-BCDF93BAA8ED}" name="Column9782"/>
    <tableColumn id="9810" xr3:uid="{C2C92B16-2D08-48C3-A554-B7705629819E}" name="Column9783"/>
    <tableColumn id="9811" xr3:uid="{B8D78721-EC2D-4D89-B530-079CF0BE8F34}" name="Column9784"/>
    <tableColumn id="9812" xr3:uid="{FB44F60E-027E-4C88-9ABC-063DE6926DCB}" name="Column9785"/>
    <tableColumn id="9813" xr3:uid="{F1842916-082C-4316-B039-C6059A62BBE5}" name="Column9786"/>
    <tableColumn id="9814" xr3:uid="{16E73D66-C55E-4D27-A9DB-46DBDD692142}" name="Column9787"/>
    <tableColumn id="9815" xr3:uid="{AE99594A-DBD7-4931-990E-2F35CB48A13F}" name="Column9788"/>
    <tableColumn id="9816" xr3:uid="{F1B77D6B-BEE9-470B-A334-EA3E38125BE7}" name="Column9789"/>
    <tableColumn id="9817" xr3:uid="{D57A3A4D-F13F-4717-B17C-1AF3A4F54A27}" name="Column9790"/>
    <tableColumn id="9818" xr3:uid="{4832CF13-EC74-41D1-9BFF-D199161061CC}" name="Column9791"/>
    <tableColumn id="9819" xr3:uid="{7E8CEF7F-465E-4E2B-85B4-5CBD31579803}" name="Column9792"/>
    <tableColumn id="9820" xr3:uid="{1490A519-71D0-4E3F-9A0E-67D0C2863FBD}" name="Column9793"/>
    <tableColumn id="9821" xr3:uid="{75380DC8-7BA2-4626-A257-7E01000B2C6E}" name="Column9794"/>
    <tableColumn id="9822" xr3:uid="{0CC387BB-DDAD-45A4-B41F-F63485F114EE}" name="Column9795"/>
    <tableColumn id="9823" xr3:uid="{8E69BFD5-35B4-4B64-A591-C59AC2A58678}" name="Column9796"/>
    <tableColumn id="9824" xr3:uid="{3873CFDC-5A93-4B3D-94CC-18E4A8DC76C2}" name="Column9797"/>
    <tableColumn id="9825" xr3:uid="{B18BBCB8-7F88-4967-B370-8D0F3520985A}" name="Column9798"/>
    <tableColumn id="9826" xr3:uid="{B2AF0026-1FE9-4425-BB36-0457460EF9CE}" name="Column9799"/>
    <tableColumn id="9827" xr3:uid="{FD04D2B3-D7E8-459E-BABF-D0AF4C4B9841}" name="Column9800"/>
    <tableColumn id="9828" xr3:uid="{3E36B487-1A36-4607-9179-709AB685D32F}" name="Column9801"/>
    <tableColumn id="9829" xr3:uid="{CD4D8E5B-5428-4569-AB39-FDB2A270851B}" name="Column9802"/>
    <tableColumn id="9830" xr3:uid="{0180E066-8B59-485B-80D4-86B1BBE89A7D}" name="Column9803"/>
    <tableColumn id="9831" xr3:uid="{D8335485-1D56-4387-A22A-30C586C5643F}" name="Column9804"/>
    <tableColumn id="9832" xr3:uid="{50477657-5344-45D5-BD1A-4804EFC724EA}" name="Column9805"/>
    <tableColumn id="9833" xr3:uid="{D7530866-C546-413C-96D4-FBD46C640283}" name="Column9806"/>
    <tableColumn id="9834" xr3:uid="{57E5A081-C89F-4F07-96D0-92C94D027E3D}" name="Column9807"/>
    <tableColumn id="9835" xr3:uid="{5BB56B49-401B-40D7-8CCA-08112CC04D98}" name="Column9808"/>
    <tableColumn id="9836" xr3:uid="{67884069-9F3C-4897-A852-0D7DFF2409B9}" name="Column9809"/>
    <tableColumn id="9837" xr3:uid="{C97984A9-75A7-4BC1-B506-3FFFBB4B9754}" name="Column9810"/>
    <tableColumn id="9838" xr3:uid="{AEB36817-AB6F-4B73-B27A-27F8E5D36152}" name="Column9811"/>
    <tableColumn id="9839" xr3:uid="{92379E2E-A0F4-4788-8B77-4F73CCC178F1}" name="Column9812"/>
    <tableColumn id="9840" xr3:uid="{3AA83E18-EFF0-4275-8EA5-5361BA55C0AB}" name="Column9813"/>
    <tableColumn id="9841" xr3:uid="{8FA22159-8894-40D5-BF71-B11B8558D2A1}" name="Column9814"/>
    <tableColumn id="9842" xr3:uid="{81FF0C5E-E77A-499C-8419-D923C7869CCC}" name="Column9815"/>
    <tableColumn id="9843" xr3:uid="{617AD21E-1E75-4E7A-8D37-E0C9DCBF6C08}" name="Column9816"/>
    <tableColumn id="9844" xr3:uid="{EB6E5E25-E2B9-408F-8DBD-90435E7AAD03}" name="Column9817"/>
    <tableColumn id="9845" xr3:uid="{466027A3-C2D9-42DC-82A8-8A87422FCE19}" name="Column9818"/>
    <tableColumn id="9846" xr3:uid="{C08703CD-3DD3-4571-ADD0-705B0FB08C01}" name="Column9819"/>
    <tableColumn id="9847" xr3:uid="{1F940439-4C06-4190-8CB6-0D6A3580E56D}" name="Column9820"/>
    <tableColumn id="9848" xr3:uid="{ADB1C886-78FA-424A-94AB-CDF0F7E1C010}" name="Column9821"/>
    <tableColumn id="9849" xr3:uid="{93E71F95-9145-454D-97F6-F3FC6DCC1CEE}" name="Column9822"/>
    <tableColumn id="9850" xr3:uid="{931E3108-7802-4E13-8B8D-8DCBA0ECDE1A}" name="Column9823"/>
    <tableColumn id="9851" xr3:uid="{EC0500A2-AD91-4D42-B88E-8C11F75B8603}" name="Column9824"/>
    <tableColumn id="9852" xr3:uid="{CB8CBCCE-89C1-406A-861D-C5EF32977399}" name="Column9825"/>
    <tableColumn id="9853" xr3:uid="{4649F909-E03D-4EB2-B194-74594154ACD0}" name="Column9826"/>
    <tableColumn id="9854" xr3:uid="{597CBB68-E5E8-49A9-878F-038E2A5F4DC7}" name="Column9827"/>
    <tableColumn id="9855" xr3:uid="{261B533D-D9EB-4B71-9ED8-54A78E63C3F5}" name="Column9828"/>
    <tableColumn id="9856" xr3:uid="{DE9395D2-FCFB-4574-B9C2-C2FF4AB8F444}" name="Column9829"/>
    <tableColumn id="9857" xr3:uid="{3E79DDC7-9276-40D4-9A03-22D82A98820C}" name="Column9830"/>
    <tableColumn id="9858" xr3:uid="{B4FB9114-3E55-4F5A-860E-D1F59E778626}" name="Column9831"/>
    <tableColumn id="9859" xr3:uid="{8568428D-DCF6-42B9-9BE8-E61244390490}" name="Column9832"/>
    <tableColumn id="9860" xr3:uid="{B6A7F966-455E-4D38-AA41-B91D936ABE49}" name="Column9833"/>
    <tableColumn id="9861" xr3:uid="{61B6F2FD-F214-41E4-BBF3-CB0C326E63D3}" name="Column9834"/>
    <tableColumn id="9862" xr3:uid="{46D668B1-7A75-4B61-A227-E8CA63D2F429}" name="Column9835"/>
    <tableColumn id="9863" xr3:uid="{85F4B506-3004-4D6A-A24E-A4B5A17CA564}" name="Column9836"/>
    <tableColumn id="9864" xr3:uid="{013B38E8-70C3-4E0D-8D8B-AE66BAB071B6}" name="Column9837"/>
    <tableColumn id="9865" xr3:uid="{1A88EED7-6C32-44A1-BBC6-E82CFA387496}" name="Column9838"/>
    <tableColumn id="9866" xr3:uid="{88162705-D2E4-44EA-92CA-11FBED91F539}" name="Column9839"/>
    <tableColumn id="9867" xr3:uid="{F470B8B9-45BB-4930-BF1F-AE444FB8B19C}" name="Column9840"/>
    <tableColumn id="9868" xr3:uid="{DC13FD84-6E6E-4A34-84E7-92A5A4EAA9B1}" name="Column9841"/>
    <tableColumn id="9869" xr3:uid="{EE377B80-ABC3-4CA7-93CE-525C7F2D5FB8}" name="Column9842"/>
    <tableColumn id="9870" xr3:uid="{8C4EC65E-4395-46E0-8E54-8BE2FB5F8CE3}" name="Column9843"/>
    <tableColumn id="9871" xr3:uid="{93D4915C-1596-40A9-B1AD-C92727DF3B09}" name="Column9844"/>
    <tableColumn id="9872" xr3:uid="{34D30E66-62DF-43A8-A64E-1F413950DCF8}" name="Column9845"/>
    <tableColumn id="9873" xr3:uid="{4DB40228-37C0-4418-A0FA-34B1DA489702}" name="Column9846"/>
    <tableColumn id="9874" xr3:uid="{7EBC6ECF-30CE-44AB-8AA5-ACF0BA9921F1}" name="Column9847"/>
    <tableColumn id="9875" xr3:uid="{DB1D5CE1-4246-4CBC-8345-37F66C09120A}" name="Column9848"/>
    <tableColumn id="9876" xr3:uid="{D3EDE2DB-5A9D-4245-B290-ED36EAC5243A}" name="Column9849"/>
    <tableColumn id="9877" xr3:uid="{CBD524D6-98CA-4168-A4FF-3B249734C483}" name="Column9850"/>
    <tableColumn id="9878" xr3:uid="{2A392646-C0C8-4C2A-BEFD-E293B90C103C}" name="Column9851"/>
    <tableColumn id="9879" xr3:uid="{CCC0A4BB-AB8F-4D95-98E5-7818765764F9}" name="Column9852"/>
    <tableColumn id="9880" xr3:uid="{E52C21CE-5723-4586-B92D-1B579EBE8197}" name="Column9853"/>
    <tableColumn id="9881" xr3:uid="{FFDA0E34-EC21-4021-B982-768E94BC444B}" name="Column9854"/>
    <tableColumn id="9882" xr3:uid="{123BA55C-9818-4D88-99CE-A7DC6F9562E6}" name="Column9855"/>
    <tableColumn id="9883" xr3:uid="{8E8446BE-A90E-4CA8-BD57-5A893CA064BC}" name="Column9856"/>
    <tableColumn id="9884" xr3:uid="{722E203F-2F76-4719-84CB-F3F9C55782AD}" name="Column9857"/>
    <tableColumn id="9885" xr3:uid="{5FDF5459-B0F5-42EB-B126-0544121EEB62}" name="Column9858"/>
    <tableColumn id="9886" xr3:uid="{0A8B6BC0-97D9-46ED-94A5-9207897633CE}" name="Column9859"/>
    <tableColumn id="9887" xr3:uid="{DAC0682C-57B7-4AE3-939A-2381401986FD}" name="Column9860"/>
    <tableColumn id="9888" xr3:uid="{3F5D9D67-CB81-4B07-A70F-2A5141E9DB84}" name="Column9861"/>
    <tableColumn id="9889" xr3:uid="{321C5F0D-62FD-4B00-ACFA-B5C447E233CA}" name="Column9862"/>
    <tableColumn id="9890" xr3:uid="{9205841C-2FC1-4B2C-911C-099012176880}" name="Column9863"/>
    <tableColumn id="9891" xr3:uid="{7A9FB339-E2FD-4E5E-9FFE-A0E6DFF2EA86}" name="Column9864"/>
    <tableColumn id="9892" xr3:uid="{7D7FD148-C485-43FF-8AEC-7DB162EC9B4D}" name="Column9865"/>
    <tableColumn id="9893" xr3:uid="{1B42B589-A6ED-41C1-9390-C12242DE9A56}" name="Column9866"/>
    <tableColumn id="9894" xr3:uid="{EACBF30E-26C0-4CFC-9A5A-8FC0452B54DB}" name="Column9867"/>
    <tableColumn id="9895" xr3:uid="{306B0C87-5AD7-43A8-B714-16D45C3E2B69}" name="Column9868"/>
    <tableColumn id="9896" xr3:uid="{F6724F17-11D4-4330-9582-69296ED8E1BE}" name="Column9869"/>
    <tableColumn id="9897" xr3:uid="{F4948DC4-A65C-4F47-9EED-2C697AD6536F}" name="Column9870"/>
    <tableColumn id="9898" xr3:uid="{03132D40-8026-4A83-8858-DE07666F5EB5}" name="Column9871"/>
    <tableColumn id="9899" xr3:uid="{013D839E-E4C3-434B-94BD-9EA229044AF7}" name="Column9872"/>
    <tableColumn id="9900" xr3:uid="{0D7A2E0D-5EFC-4874-BE54-80042F2C0614}" name="Column9873"/>
    <tableColumn id="9901" xr3:uid="{35D9FEAA-D37F-47FC-AEE2-BF01053AE35F}" name="Column9874"/>
    <tableColumn id="9902" xr3:uid="{26D0C79E-7DDB-4B8A-8EAE-701B2AC46778}" name="Column9875"/>
    <tableColumn id="9903" xr3:uid="{44C2FBB6-EF53-4C5B-AA86-705B510D2130}" name="Column9876"/>
    <tableColumn id="9904" xr3:uid="{FB8D0D04-BE76-4C43-BAB0-05A3BA5BDD41}" name="Column9877"/>
    <tableColumn id="9905" xr3:uid="{B268E0A7-6FF6-45FE-9D25-3491B2D6B6E6}" name="Column9878"/>
    <tableColumn id="9906" xr3:uid="{E3FA1A20-D28C-4155-9EE8-9D9742C90411}" name="Column9879"/>
    <tableColumn id="9907" xr3:uid="{66E4082D-A323-46C1-BC17-DB78D4851A10}" name="Column9880"/>
    <tableColumn id="9908" xr3:uid="{BC183833-0AD3-44BF-BD32-043BE422A32F}" name="Column9881"/>
    <tableColumn id="9909" xr3:uid="{CDA36F0B-EC09-45DB-A962-CED2BFBB876F}" name="Column9882"/>
    <tableColumn id="9910" xr3:uid="{FF785844-DC39-4BB0-B563-844C1C530531}" name="Column9883"/>
    <tableColumn id="9911" xr3:uid="{5AE921D1-FE64-4151-89AE-2ACA4B778BA2}" name="Column9884"/>
    <tableColumn id="9912" xr3:uid="{E0A7EA47-0CF5-4B3C-B882-21F091A87F04}" name="Column9885"/>
    <tableColumn id="9913" xr3:uid="{3C890A48-C75F-4130-9702-D0317CEEE580}" name="Column9886"/>
    <tableColumn id="9914" xr3:uid="{D7DD40C1-1F88-4E84-A90F-518B09446FB6}" name="Column9887"/>
    <tableColumn id="9915" xr3:uid="{DD526214-3CC5-46C4-8CE3-CF45DB26D839}" name="Column9888"/>
    <tableColumn id="9916" xr3:uid="{A37803A5-DCED-43C8-8E0C-78FD659DBF20}" name="Column9889"/>
    <tableColumn id="9917" xr3:uid="{852311B6-2C25-4B97-836A-181319882A23}" name="Column9890"/>
    <tableColumn id="9918" xr3:uid="{1B08BEAB-1AD7-4300-9633-B1AA58BC3764}" name="Column9891"/>
    <tableColumn id="9919" xr3:uid="{3687A8C5-0534-42D9-9C58-DB796A2732B7}" name="Column9892"/>
    <tableColumn id="9920" xr3:uid="{056FB0F3-8592-4016-8DF5-BE6B7DDA5B34}" name="Column9893"/>
    <tableColumn id="9921" xr3:uid="{B37642FB-093B-41CC-9352-60B53A02E93E}" name="Column9894"/>
    <tableColumn id="9922" xr3:uid="{D288246E-062A-46EB-8AE6-2981ED8D2B83}" name="Column9895"/>
    <tableColumn id="9923" xr3:uid="{EBE13E0E-6D04-4DF0-9341-C9B2960FDA20}" name="Column9896"/>
    <tableColumn id="9924" xr3:uid="{52C48F7D-6E61-489E-844D-7FCAEC33F054}" name="Column9897"/>
    <tableColumn id="9925" xr3:uid="{4A78E714-9A3A-4AA3-A330-AF2CB3CE4479}" name="Column9898"/>
    <tableColumn id="9926" xr3:uid="{F8F9D94B-1D4A-41F8-A63C-2B053DB1697A}" name="Column9899"/>
    <tableColumn id="9927" xr3:uid="{82F753EC-634D-4D82-B174-7788A3B46AA1}" name="Column9900"/>
    <tableColumn id="9928" xr3:uid="{D82A822E-0D6A-4B0F-BD5A-E4B49F320712}" name="Column9901"/>
    <tableColumn id="9929" xr3:uid="{FABADF96-3DF7-47CD-A37D-165DDCA1DFE5}" name="Column9902"/>
    <tableColumn id="9930" xr3:uid="{61278473-6FEF-4AA0-9DDB-B97D77DD6837}" name="Column9903"/>
    <tableColumn id="9931" xr3:uid="{C928DEAE-E9EA-41AB-8BB0-5A9958D47320}" name="Column9904"/>
    <tableColumn id="9932" xr3:uid="{1351B895-FD92-43BB-8B73-0D6AB4853697}" name="Column9905"/>
    <tableColumn id="9933" xr3:uid="{BAE2D0A9-7F8D-460B-B2AB-7C457B078556}" name="Column9906"/>
    <tableColumn id="9934" xr3:uid="{88370F97-5E19-4904-83BD-EB1533866FFD}" name="Column9907"/>
    <tableColumn id="9935" xr3:uid="{A8ACD917-6A3E-475A-A26D-3EA723D703D0}" name="Column9908"/>
    <tableColumn id="9936" xr3:uid="{F12FABCD-8532-4D4A-BB8C-8DB1722CBBFF}" name="Column9909"/>
    <tableColumn id="9937" xr3:uid="{34E938A9-0D00-41D7-B0AB-1E098AFC0D91}" name="Column9910"/>
    <tableColumn id="9938" xr3:uid="{3F900279-C1D6-4950-8770-D27F4A5C8732}" name="Column9911"/>
    <tableColumn id="9939" xr3:uid="{5858B28E-F262-41B1-8596-711F42EA4ED3}" name="Column9912"/>
    <tableColumn id="9940" xr3:uid="{D02997B8-3F92-4D8C-A9A0-AFA9CA810EA8}" name="Column9913"/>
    <tableColumn id="9941" xr3:uid="{C7B1DF0F-F28E-4BBC-AB62-1C7AC8475F90}" name="Column9914"/>
    <tableColumn id="9942" xr3:uid="{476F7167-15AC-49FA-BC41-50F42F45D7DD}" name="Column9915"/>
    <tableColumn id="9943" xr3:uid="{EB0731D5-AF9C-4B18-B63E-33371DF988AA}" name="Column9916"/>
    <tableColumn id="9944" xr3:uid="{28F0CD34-A919-4C04-A577-A042BFD9636C}" name="Column9917"/>
    <tableColumn id="9945" xr3:uid="{C3EC83AD-87C6-4185-9A5D-DE2EE34657BC}" name="Column9918"/>
    <tableColumn id="9946" xr3:uid="{EDD700CA-D432-426C-B309-4FD007AFB481}" name="Column9919"/>
    <tableColumn id="9947" xr3:uid="{1FE86D5F-CA77-4E81-810A-156855B68074}" name="Column9920"/>
    <tableColumn id="9948" xr3:uid="{9A9E302B-F2A5-40A6-A619-5D8570B5FE45}" name="Column9921"/>
    <tableColumn id="9949" xr3:uid="{73C6335D-6B58-4316-ACA0-208EB94CE474}" name="Column9922"/>
    <tableColumn id="9950" xr3:uid="{76B0131A-B801-41E2-91C8-62F71190786A}" name="Column9923"/>
    <tableColumn id="9951" xr3:uid="{B1FDB14D-6B1B-4C8D-83D5-C8FF852A1463}" name="Column9924"/>
    <tableColumn id="9952" xr3:uid="{D3BF4D92-B450-4725-A2C8-ECCE42EA9CB8}" name="Column9925"/>
    <tableColumn id="9953" xr3:uid="{2EB8BA7D-3929-405B-8552-6E2DB916686C}" name="Column9926"/>
    <tableColumn id="9954" xr3:uid="{2BC8C05E-3605-4BFD-B996-79D651FBF8DF}" name="Column9927"/>
    <tableColumn id="9955" xr3:uid="{8FE905CE-A9DC-4EC7-9796-254686448C60}" name="Column9928"/>
    <tableColumn id="9956" xr3:uid="{0529234D-52F0-4645-92E3-C3B4E2A4F9C7}" name="Column9929"/>
    <tableColumn id="9957" xr3:uid="{44DC91F5-5F92-4151-B521-40F2EFDF403E}" name="Column9930"/>
    <tableColumn id="9958" xr3:uid="{613F6037-D6F1-48FF-B458-EA2D239542BA}" name="Column9931"/>
    <tableColumn id="9959" xr3:uid="{4D130D78-5BC8-421F-8AF2-284E2CAA7827}" name="Column9932"/>
    <tableColumn id="9960" xr3:uid="{F42E6388-18E6-43DA-B10A-B4C33F37C620}" name="Column9933"/>
    <tableColumn id="9961" xr3:uid="{43C88D45-E6C1-4FF5-8133-4AC442D542AD}" name="Column9934"/>
    <tableColumn id="9962" xr3:uid="{80CB3491-E5A4-4D5F-8EBC-E3624286D192}" name="Column9935"/>
    <tableColumn id="9963" xr3:uid="{3D4CD97F-EEA5-43EB-9C1E-2441B9847C54}" name="Column9936"/>
    <tableColumn id="9964" xr3:uid="{B155D50C-E430-4D71-9E4C-61C4CBA8C0D6}" name="Column9937"/>
    <tableColumn id="9965" xr3:uid="{B75DC132-E6E4-41BE-9E51-28A3440C6FE0}" name="Column9938"/>
    <tableColumn id="9966" xr3:uid="{F55F2FF5-1EC4-4785-95CD-1254016AD98C}" name="Column9939"/>
    <tableColumn id="9967" xr3:uid="{F84074AA-CACA-4C57-B9E6-2EF4AD874C85}" name="Column9940"/>
    <tableColumn id="9968" xr3:uid="{C7FCE04C-C6C1-4244-94E4-0ECBC74D9DF5}" name="Column9941"/>
    <tableColumn id="9969" xr3:uid="{00BAEE81-6854-497E-90CC-DEA29F4D3884}" name="Column9942"/>
    <tableColumn id="9970" xr3:uid="{2D3B7D01-0C69-42A1-B565-3B073F13DF8D}" name="Column9943"/>
    <tableColumn id="9971" xr3:uid="{FDEF7784-DFE0-425D-8F0B-195C73169D62}" name="Column9944"/>
    <tableColumn id="9972" xr3:uid="{26CE2449-84AA-4C88-A261-93AC86800102}" name="Column9945"/>
    <tableColumn id="9973" xr3:uid="{198DF9ED-9D30-439E-A4A0-4341DF4E96E3}" name="Column9946"/>
    <tableColumn id="9974" xr3:uid="{8AA33D47-A06C-4501-9D4F-2B6C80156209}" name="Column9947"/>
    <tableColumn id="9975" xr3:uid="{E2664D11-50F3-4C53-80C1-28658D18B9CD}" name="Column9948"/>
    <tableColumn id="9976" xr3:uid="{F1313357-2E90-47C6-86E1-CBC74EEC4047}" name="Column9949"/>
    <tableColumn id="9977" xr3:uid="{6634C6AF-372F-4BB4-9CF1-CD816639E290}" name="Column9950"/>
    <tableColumn id="9978" xr3:uid="{84BA9147-96C5-458E-8205-2AB50F56D5D4}" name="Column9951"/>
    <tableColumn id="9979" xr3:uid="{1409FDDD-5D22-4838-9FC9-3CBC2156D940}" name="Column9952"/>
    <tableColumn id="9980" xr3:uid="{0B883675-FF2B-4732-893F-63E5A9E73A2A}" name="Column9953"/>
    <tableColumn id="9981" xr3:uid="{96CF6349-5E4F-44C5-8E1D-8FD0687AC9F7}" name="Column9954"/>
    <tableColumn id="9982" xr3:uid="{7658EE61-B8A9-4356-8503-E2EA7C50384C}" name="Column9955"/>
    <tableColumn id="9983" xr3:uid="{CA8DE49C-1C99-44EB-ACA1-D0D112105BC3}" name="Column9956"/>
    <tableColumn id="9984" xr3:uid="{B9E43A3B-734D-46F3-9C66-31165D563A3A}" name="Column9957"/>
    <tableColumn id="9985" xr3:uid="{4C433F02-05CB-4B8D-B1FE-4492DC95CD91}" name="Column9958"/>
    <tableColumn id="9986" xr3:uid="{BB3A1075-317A-4B9C-9010-B869F48B538D}" name="Column9959"/>
    <tableColumn id="9987" xr3:uid="{CCA63E10-B66C-47E2-B2C9-B29D3CDC66AE}" name="Column9960"/>
    <tableColumn id="9988" xr3:uid="{3D6840A9-F4CD-458B-9B51-6D64CE1142CE}" name="Column9961"/>
    <tableColumn id="9989" xr3:uid="{BA7E7CCB-22AC-474D-A96E-8272D1EB9690}" name="Column9962"/>
    <tableColumn id="9990" xr3:uid="{BE2DF523-5327-436B-90F2-1BAD31639B3D}" name="Column9963"/>
    <tableColumn id="9991" xr3:uid="{117F15D7-75FB-4C8C-9DCF-A0651882AAB5}" name="Column9964"/>
    <tableColumn id="9992" xr3:uid="{0DC96569-C748-45BD-8638-312B12F00D2F}" name="Column9965"/>
    <tableColumn id="9993" xr3:uid="{320F2CCD-B7E0-47E4-8413-7E087A471AD1}" name="Column9966"/>
    <tableColumn id="9994" xr3:uid="{43BB0A55-9E8C-4980-8701-AD389B108B56}" name="Column9967"/>
    <tableColumn id="9995" xr3:uid="{B365FFA0-C453-4035-B5C5-5FF65CB00400}" name="Column9968"/>
    <tableColumn id="9996" xr3:uid="{3F26D286-4FA0-4BBC-B399-AB57E91D5BDF}" name="Column9969"/>
    <tableColumn id="9997" xr3:uid="{EEF71818-B7A0-4AB3-BD7F-ADCD87336A34}" name="Column9970"/>
    <tableColumn id="9998" xr3:uid="{996AED1C-03E4-4882-8BE5-6676C800CD73}" name="Column9971"/>
    <tableColumn id="9999" xr3:uid="{8206097E-67E4-45DA-88F3-85B65D5E6DFF}" name="Column9972"/>
    <tableColumn id="10000" xr3:uid="{5AB7A87D-F65F-4731-9D03-1654245BF342}" name="Column9973"/>
    <tableColumn id="10001" xr3:uid="{883EF02E-B6A1-4B06-91CB-663832B41CAF}" name="Column9974"/>
    <tableColumn id="10002" xr3:uid="{B6351D5A-AB50-4E99-8899-6342ECFC13CF}" name="Column9975"/>
    <tableColumn id="10003" xr3:uid="{6C149701-22C9-4A84-B7C5-35A1398D0CDD}" name="Column9976"/>
    <tableColumn id="10004" xr3:uid="{A74DADAA-A37B-4CFB-B379-C9E58677419D}" name="Column9977"/>
    <tableColumn id="10005" xr3:uid="{BE9D5C33-36CF-45DD-89A0-43A0B809E8E7}" name="Column9978"/>
    <tableColumn id="10006" xr3:uid="{1A636B18-3A30-48C3-A8D7-2B2A839091DD}" name="Column9979"/>
    <tableColumn id="10007" xr3:uid="{640A205B-2AFD-4E3F-9091-942881C4189E}" name="Column9980"/>
    <tableColumn id="10008" xr3:uid="{40B7A6E2-EC7B-42A0-A1F9-5D45DF35B7B3}" name="Column9981"/>
    <tableColumn id="10009" xr3:uid="{BE0B53D1-1318-4DC8-AED0-C86B0AFC972B}" name="Column9982"/>
    <tableColumn id="10010" xr3:uid="{FD32B02C-8EE8-4F24-AE1C-255330814E74}" name="Column9983"/>
    <tableColumn id="10011" xr3:uid="{E518F3D2-E752-488D-A29B-80F0CF3C5638}" name="Column9984"/>
    <tableColumn id="10012" xr3:uid="{21CB58BF-F6A2-4FB9-85E0-0C3D6DCAFB47}" name="Column9985"/>
    <tableColumn id="10013" xr3:uid="{49151061-2A77-432E-95D0-D83AD9356807}" name="Column9986"/>
    <tableColumn id="10014" xr3:uid="{7D4B8532-CF43-43C3-AB72-B3768642B2D2}" name="Column9987"/>
    <tableColumn id="10015" xr3:uid="{7E89CC9D-5EE5-4F6F-9019-F357EFA8AEF7}" name="Column9988"/>
    <tableColumn id="10016" xr3:uid="{11ACDA76-C778-4A82-BC4B-1BC17CD88EC7}" name="Column9989"/>
    <tableColumn id="10017" xr3:uid="{4E7B8528-0DC5-4B88-BD31-23EA1FE74E46}" name="Column9990"/>
    <tableColumn id="10018" xr3:uid="{27B33C2F-49FE-4A72-9F14-8B430887302E}" name="Column9991"/>
    <tableColumn id="10019" xr3:uid="{6FEC92B8-92FF-4643-A936-B801D72652C5}" name="Column9992"/>
    <tableColumn id="10020" xr3:uid="{C7FEA6F5-5F95-4BFD-A109-E071F4F4770D}" name="Column9993"/>
    <tableColumn id="10021" xr3:uid="{631E4C9E-B0BC-4D93-A5CB-3046295F502F}" name="Column9994"/>
    <tableColumn id="10022" xr3:uid="{8F036C6A-4329-4FC2-B4BC-891415485BA6}" name="Column9995"/>
    <tableColumn id="10023" xr3:uid="{4B2CE4D2-822E-4993-9DAF-15FD19EC88ED}" name="Column9996"/>
    <tableColumn id="10024" xr3:uid="{7800092B-A47E-4A8F-A70B-5E9AFE0637EB}" name="Column9997"/>
    <tableColumn id="10025" xr3:uid="{DA8A5CAF-1076-4A3E-ACF2-2B21392694C3}" name="Column9998"/>
    <tableColumn id="10026" xr3:uid="{0317B9D5-35E6-4A50-93F8-BF0A6B9ACD74}" name="Column9999"/>
    <tableColumn id="10027" xr3:uid="{5EA8ADFC-2DEE-4313-BC2A-CB923B214AB0}" name="Column10000"/>
    <tableColumn id="10028" xr3:uid="{CEA7484B-7C2E-4F34-B891-5D9CD367C110}" name="Column10001"/>
    <tableColumn id="10029" xr3:uid="{CC3F6603-044C-47A1-B444-6521CF03F4BB}" name="Column10002"/>
    <tableColumn id="10030" xr3:uid="{C7B72CAA-72CF-435C-A740-A247C212CC5E}" name="Column10003"/>
    <tableColumn id="10031" xr3:uid="{BF4F59C1-2815-451A-A1AE-9DEC2EA5BB1E}" name="Column10004"/>
    <tableColumn id="10032" xr3:uid="{9F457172-3081-409A-9B1C-C0F14E869635}" name="Column10005"/>
    <tableColumn id="10033" xr3:uid="{BB55E265-B124-4FB4-BCCC-763495F51CA7}" name="Column10006"/>
    <tableColumn id="10034" xr3:uid="{218ADBCC-A0E7-48D2-A868-1CD0B9719783}" name="Column10007"/>
    <tableColumn id="10035" xr3:uid="{7E25F9A3-AA88-4C2C-B267-B3CB382F2A5C}" name="Column10008"/>
    <tableColumn id="10036" xr3:uid="{F6D0EC15-8908-4EFA-AD68-1EB20E91D5C7}" name="Column10009"/>
    <tableColumn id="10037" xr3:uid="{7D70DC4C-C9AA-435B-A0D3-D48B43A55359}" name="Column10010"/>
    <tableColumn id="10038" xr3:uid="{03FD90F4-92CC-4799-9E1D-97DD068F8B8D}" name="Column10011"/>
    <tableColumn id="10039" xr3:uid="{FE9EE1E6-1D06-4F29-9E4A-F42532125827}" name="Column10012"/>
    <tableColumn id="10040" xr3:uid="{96BFF165-1D0B-4A49-8369-1B4246004835}" name="Column10013"/>
    <tableColumn id="10041" xr3:uid="{87AC4672-975E-4409-8842-4DE8EC920B0E}" name="Column10014"/>
    <tableColumn id="10042" xr3:uid="{8137717C-DF5C-48B8-9693-4560DB00F6BB}" name="Column10015"/>
    <tableColumn id="10043" xr3:uid="{53753068-2284-4207-B3C4-BD3C45E31CED}" name="Column10016"/>
    <tableColumn id="10044" xr3:uid="{01534EEA-9C63-45CD-A96D-93260883316A}" name="Column10017"/>
    <tableColumn id="10045" xr3:uid="{5F23FDCE-10E6-4DB3-8157-60D358BCFB94}" name="Column10018"/>
    <tableColumn id="10046" xr3:uid="{DD88E3FA-C388-4C6A-AD18-2C7309F95552}" name="Column10019"/>
    <tableColumn id="10047" xr3:uid="{8847C6AA-A43D-417A-BE95-6D3BABDED306}" name="Column10020"/>
    <tableColumn id="10048" xr3:uid="{47F6DE30-C681-4E7D-87F6-3810A6C6CA16}" name="Column10021"/>
    <tableColumn id="10049" xr3:uid="{E889F526-99C2-4C1A-B524-2BE843B01C67}" name="Column10022"/>
    <tableColumn id="10050" xr3:uid="{BFD9732A-DBE2-49A1-A558-478C6FE9543F}" name="Column10023"/>
    <tableColumn id="10051" xr3:uid="{F690CAB6-C13B-451C-AB0A-8B8C60D860FE}" name="Column10024"/>
    <tableColumn id="10052" xr3:uid="{42BD6036-1399-4856-9F1C-8BAE61027FD4}" name="Column10025"/>
    <tableColumn id="10053" xr3:uid="{073A968D-12CD-4911-AD5C-1B6CBA632C28}" name="Column10026"/>
    <tableColumn id="10054" xr3:uid="{157220FD-7FAE-476E-9A14-1EB8D04C7548}" name="Column10027"/>
    <tableColumn id="10055" xr3:uid="{75AF4C64-3254-4941-BE79-FB9F747D859A}" name="Column10028"/>
    <tableColumn id="10056" xr3:uid="{EBAAFD9B-97AA-448F-B1D4-70CFC267A606}" name="Column10029"/>
    <tableColumn id="10057" xr3:uid="{7F568F9A-E3F3-476A-9E46-F0A948B36D0B}" name="Column10030"/>
    <tableColumn id="10058" xr3:uid="{F3521D45-355F-46F4-9958-CBA92876084E}" name="Column10031"/>
    <tableColumn id="10059" xr3:uid="{4A3179FB-194D-4F7B-9E70-8BF12D4152F3}" name="Column10032"/>
    <tableColumn id="10060" xr3:uid="{7B69AF2F-823D-4C50-B04F-C5C02CF4A938}" name="Column10033"/>
    <tableColumn id="10061" xr3:uid="{584CE25B-C004-4433-B055-2DA97C17AE7A}" name="Column10034"/>
    <tableColumn id="10062" xr3:uid="{E8ADFB7B-F36C-4801-B086-A2B083DA9254}" name="Column10035"/>
    <tableColumn id="10063" xr3:uid="{16CD3367-4699-4672-9D91-32BB658EBA15}" name="Column10036"/>
    <tableColumn id="10064" xr3:uid="{BD2C8156-DF6B-4CEF-8B9A-BC7F33311358}" name="Column10037"/>
    <tableColumn id="10065" xr3:uid="{2F8377E6-7E13-474C-B12C-595CE431F0BC}" name="Column10038"/>
    <tableColumn id="10066" xr3:uid="{B29D4982-5D12-4FAD-988B-1CF9582AD114}" name="Column10039"/>
    <tableColumn id="10067" xr3:uid="{28CF84C9-A787-444B-BBDB-035AC0D673E9}" name="Column10040"/>
    <tableColumn id="10068" xr3:uid="{87D0F756-842B-4B77-89E1-06EB4D699329}" name="Column10041"/>
    <tableColumn id="10069" xr3:uid="{EA75F44F-E1E2-4428-A7A1-E2859D6D2A10}" name="Column10042"/>
    <tableColumn id="10070" xr3:uid="{35B9D9D5-B8AD-4203-A5A7-76D1A34D868F}" name="Column10043"/>
    <tableColumn id="10071" xr3:uid="{1EBF0CCF-09C2-4E74-91E2-1E6A23133CAC}" name="Column10044"/>
    <tableColumn id="10072" xr3:uid="{3807BA04-A6D6-4993-869D-EBAE9C1F28DE}" name="Column10045"/>
    <tableColumn id="10073" xr3:uid="{5C32186A-FE2B-47AE-86F6-662B07258D0B}" name="Column10046"/>
    <tableColumn id="10074" xr3:uid="{72A21545-A0AE-40F4-AB0F-D8736585D575}" name="Column10047"/>
    <tableColumn id="10075" xr3:uid="{01519D20-8E4C-4FBD-855B-1479DB08F67C}" name="Column10048"/>
    <tableColumn id="10076" xr3:uid="{9F545695-4705-40D9-9EB7-B790F0FAC0EA}" name="Column10049"/>
    <tableColumn id="10077" xr3:uid="{6943508B-9642-4BC2-BDA6-77EF3983B891}" name="Column10050"/>
    <tableColumn id="10078" xr3:uid="{AE39FBE2-73DB-412D-856A-2F5E3D52572E}" name="Column10051"/>
    <tableColumn id="10079" xr3:uid="{E2194D74-EEBF-4163-8AF3-93CECDAC2B1B}" name="Column10052"/>
    <tableColumn id="10080" xr3:uid="{EE7C6E19-37A5-4055-9B64-BE84FA3D1C87}" name="Column10053"/>
    <tableColumn id="10081" xr3:uid="{CB54EB35-3DBD-410B-9574-0B195BF2F4FC}" name="Column10054"/>
    <tableColumn id="10082" xr3:uid="{5044B4A8-296D-4652-9AFE-7BA4FCE69DFB}" name="Column10055"/>
    <tableColumn id="10083" xr3:uid="{58BB4178-079A-473B-BE47-AC5C1D31EE6F}" name="Column10056"/>
    <tableColumn id="10084" xr3:uid="{A0BDD0EA-7C5B-4C65-A7AE-C62AEF88C0E5}" name="Column10057"/>
    <tableColumn id="10085" xr3:uid="{6DC973A9-D2B7-405B-ACE1-7C6475C14D9D}" name="Column10058"/>
    <tableColumn id="10086" xr3:uid="{35909804-ECA7-4AF3-86AF-FE3C63AF51E5}" name="Column10059"/>
    <tableColumn id="10087" xr3:uid="{C81F2F79-80FD-4A2C-BF74-4A8DBB9E8A73}" name="Column10060"/>
    <tableColumn id="10088" xr3:uid="{EBF85455-A1A4-4922-A58A-FCE9B9DCC9C5}" name="Column10061"/>
    <tableColumn id="10089" xr3:uid="{4510028D-180E-4E81-9EE9-9EE501A35347}" name="Column10062"/>
    <tableColumn id="10090" xr3:uid="{13BB5C13-7E1B-4224-BDE3-CF22E08D151B}" name="Column10063"/>
    <tableColumn id="10091" xr3:uid="{1B731B48-F85D-4EF2-A13D-3DCCF040C4BF}" name="Column10064"/>
    <tableColumn id="10092" xr3:uid="{ED93DA31-7C98-48E3-923A-F29B5F575DCA}" name="Column10065"/>
    <tableColumn id="10093" xr3:uid="{5B698F79-FCDA-4F0A-82AE-F53778184CF8}" name="Column10066"/>
    <tableColumn id="10094" xr3:uid="{E6EA7139-E015-4C83-8FD5-AB944818D785}" name="Column10067"/>
    <tableColumn id="10095" xr3:uid="{B3087E42-AFE8-47CA-87DF-6B6BD187A214}" name="Column10068"/>
    <tableColumn id="10096" xr3:uid="{FB64599E-4118-44FA-8D4F-E3500993BCC9}" name="Column10069"/>
    <tableColumn id="10097" xr3:uid="{D182D455-B173-4124-B14E-3B966F6020A0}" name="Column10070"/>
    <tableColumn id="10098" xr3:uid="{2824A623-065C-4377-B5C2-25FB303BA570}" name="Column10071"/>
    <tableColumn id="10099" xr3:uid="{0581D67A-510A-43BB-946F-48D65A5E90C5}" name="Column10072"/>
    <tableColumn id="10100" xr3:uid="{672DEABA-F40F-431B-86DA-F14B56CC03C8}" name="Column10073"/>
    <tableColumn id="10101" xr3:uid="{6F0CE575-2B78-4406-BF0D-692B6246BA8C}" name="Column10074"/>
    <tableColumn id="10102" xr3:uid="{725A3DA0-D5A2-4966-A79B-0ED119C89A93}" name="Column10075"/>
    <tableColumn id="10103" xr3:uid="{26CB21AD-9D67-4183-BF8B-D5A820FDA9D1}" name="Column10076"/>
    <tableColumn id="10104" xr3:uid="{71AC664F-20EE-4B89-B8A2-8DE42B18A962}" name="Column10077"/>
    <tableColumn id="10105" xr3:uid="{A866FE18-EDAD-4835-BDA7-EB520940AF96}" name="Column10078"/>
    <tableColumn id="10106" xr3:uid="{9C5574AD-77BD-473B-BBBB-C6AE976F9265}" name="Column10079"/>
    <tableColumn id="10107" xr3:uid="{A17227EF-668E-43B9-BD5C-632CAF114C79}" name="Column10080"/>
    <tableColumn id="10108" xr3:uid="{0B2C40F4-BBF6-4AD3-94E4-337430982A39}" name="Column10081"/>
    <tableColumn id="10109" xr3:uid="{F41D7D8D-7FC0-48A3-87D0-B02D8A8BD033}" name="Column10082"/>
    <tableColumn id="10110" xr3:uid="{31203C34-FDC7-4EAF-AB1E-C97F4959E404}" name="Column10083"/>
    <tableColumn id="10111" xr3:uid="{C5DF9BD8-EE2E-4DDF-AF2E-38010BE4E694}" name="Column10084"/>
    <tableColumn id="10112" xr3:uid="{B9A6F9F2-91F1-4904-8DEC-6120F180FF2C}" name="Column10085"/>
    <tableColumn id="10113" xr3:uid="{88DBC7BF-01B0-4D44-804A-0519CA5552C1}" name="Column10086"/>
    <tableColumn id="10114" xr3:uid="{7E30416C-1173-4AF5-B758-54BFDC9FF6B9}" name="Column10087"/>
    <tableColumn id="10115" xr3:uid="{45C79C1A-6FEC-469A-BF2D-BE5D1679162B}" name="Column10088"/>
    <tableColumn id="10116" xr3:uid="{0300CCB8-17EB-4721-A939-44B389210BD7}" name="Column10089"/>
    <tableColumn id="10117" xr3:uid="{69689058-7A0B-4749-888A-6E954E2F7F23}" name="Column10090"/>
    <tableColumn id="10118" xr3:uid="{8B93BE3A-EBB6-4D62-AE40-2B43F15D6D79}" name="Column10091"/>
    <tableColumn id="10119" xr3:uid="{E1E7A19A-959F-4568-B925-3B6E561721CC}" name="Column10092"/>
    <tableColumn id="10120" xr3:uid="{CE937DE5-3A3A-4AF8-A220-FB6884D02DF7}" name="Column10093"/>
    <tableColumn id="10121" xr3:uid="{83A58C20-D2AC-4EE9-A614-FF62A1F1F06F}" name="Column10094"/>
    <tableColumn id="10122" xr3:uid="{56BBA90A-59E2-47AD-AFF7-E2AA5CC36C08}" name="Column10095"/>
    <tableColumn id="10123" xr3:uid="{70473CC8-1F66-4053-A45D-9187147FCE8C}" name="Column10096"/>
    <tableColumn id="10124" xr3:uid="{3000FCF9-B1D6-4F61-B7CE-6032F1142FA8}" name="Column10097"/>
    <tableColumn id="10125" xr3:uid="{07BE6BBF-FD3A-46AA-B478-1787108E1EEC}" name="Column10098"/>
    <tableColumn id="10126" xr3:uid="{2BC3C09B-808D-4DCA-918A-CB4E14FEC576}" name="Column10099"/>
    <tableColumn id="10127" xr3:uid="{123F6E0D-C3ED-4CD5-B0C3-37D43C2E7DCB}" name="Column10100"/>
    <tableColumn id="10128" xr3:uid="{26CC1507-7014-4197-AA83-C3273C92C93B}" name="Column10101"/>
    <tableColumn id="10129" xr3:uid="{3D0D6658-EC15-43EE-876E-37E8FE45FAD8}" name="Column10102"/>
    <tableColumn id="10130" xr3:uid="{3AAC5583-947A-4A6B-AD37-64D8FBEA45DE}" name="Column10103"/>
    <tableColumn id="10131" xr3:uid="{2749FFA6-6B1B-48B1-9AF3-6532CCD0D7FA}" name="Column10104"/>
    <tableColumn id="10132" xr3:uid="{3CEB585A-75A0-4641-BD62-7C96774C9F28}" name="Column10105"/>
    <tableColumn id="10133" xr3:uid="{016C0F2E-B9D1-4A81-8C9C-8CEBB1FC2EB1}" name="Column10106"/>
    <tableColumn id="10134" xr3:uid="{37742329-6751-49D4-8A92-EF19087871FC}" name="Column10107"/>
    <tableColumn id="10135" xr3:uid="{FE983D18-ACB2-4BC5-9292-0C72729B140C}" name="Column10108"/>
    <tableColumn id="10136" xr3:uid="{BE94119A-478D-473D-B20A-844D0B68A679}" name="Column10109"/>
    <tableColumn id="10137" xr3:uid="{B0EE2CDD-4AF3-4B25-85C9-BAFB8A03D23E}" name="Column10110"/>
    <tableColumn id="10138" xr3:uid="{A62D590E-061F-46F4-8E84-88D6FB527D5C}" name="Column10111"/>
    <tableColumn id="10139" xr3:uid="{76460027-2831-489A-9319-80630A370648}" name="Column10112"/>
    <tableColumn id="10140" xr3:uid="{F1085052-1EE6-4BBE-94F9-700098EB359B}" name="Column10113"/>
    <tableColumn id="10141" xr3:uid="{CE81C221-81A7-45EA-9362-DCEF6E94D979}" name="Column10114"/>
    <tableColumn id="10142" xr3:uid="{A6ED8BD4-386E-45A0-8427-C729131504A5}" name="Column10115"/>
    <tableColumn id="10143" xr3:uid="{5998D711-7F3E-4E94-A5E4-F0A5CBA57C69}" name="Column10116"/>
    <tableColumn id="10144" xr3:uid="{8D0B4098-2DEA-42A7-8C33-B777A9B34C0A}" name="Column10117"/>
    <tableColumn id="10145" xr3:uid="{D82458A0-27C0-42D1-AB0A-5655E3EB164C}" name="Column10118"/>
    <tableColumn id="10146" xr3:uid="{92E13F84-F034-499D-BD41-103623E1B5B7}" name="Column10119"/>
    <tableColumn id="10147" xr3:uid="{18198F83-FDBF-4352-A69F-1EB7E81B2A75}" name="Column10120"/>
    <tableColumn id="10148" xr3:uid="{504887C2-AFCF-4334-92D9-485A00B4E4E5}" name="Column10121"/>
    <tableColumn id="10149" xr3:uid="{B595A7A9-09D8-489E-9E6A-4D9E4B3EE33C}" name="Column10122"/>
    <tableColumn id="10150" xr3:uid="{A0270723-CAB2-4AA1-A7B6-CF54ED3A2EAC}" name="Column10123"/>
    <tableColumn id="10151" xr3:uid="{50F9E2BB-501D-4102-8D43-6371AE44426F}" name="Column10124"/>
    <tableColumn id="10152" xr3:uid="{1B011F99-DD24-4CFF-B6AC-974A5FB6AD66}" name="Column10125"/>
    <tableColumn id="10153" xr3:uid="{AB3E3C83-F3D3-4CE1-88E2-3EC464722A88}" name="Column10126"/>
    <tableColumn id="10154" xr3:uid="{2FFFDF40-FE5C-45F6-8E19-FCCFA11AAD08}" name="Column10127"/>
    <tableColumn id="10155" xr3:uid="{56A715F6-F410-4E8C-8092-1E45FFE8A476}" name="Column10128"/>
    <tableColumn id="10156" xr3:uid="{1AD9B443-D755-4925-86D3-DCFA307E6EAB}" name="Column10129"/>
    <tableColumn id="10157" xr3:uid="{6AFF163E-741F-44A1-83F1-B2457C00ECC7}" name="Column10130"/>
    <tableColumn id="10158" xr3:uid="{ACA707A4-AF5F-4495-8CA2-FB7FCE609D03}" name="Column10131"/>
    <tableColumn id="10159" xr3:uid="{C6163DB3-E7C9-4D68-97AE-298815456D9A}" name="Column10132"/>
    <tableColumn id="10160" xr3:uid="{5BB56BEC-1982-4722-B864-CC68E2B88CA7}" name="Column10133"/>
    <tableColumn id="10161" xr3:uid="{0920FFD7-5C65-4A65-AAC8-49C13786C6B6}" name="Column10134"/>
    <tableColumn id="10162" xr3:uid="{26736F49-F99C-46F6-987A-28678000B2B9}" name="Column10135"/>
    <tableColumn id="10163" xr3:uid="{4D12AB28-B68E-4642-B52A-574912CD667A}" name="Column10136"/>
    <tableColumn id="10164" xr3:uid="{AA68ACC9-E5F6-4944-88F8-48AA5F5C5D6E}" name="Column10137"/>
    <tableColumn id="10165" xr3:uid="{04A6EC6D-01E3-47B2-AD98-26AFFA681423}" name="Column10138"/>
    <tableColumn id="10166" xr3:uid="{E62EFD88-F8BE-46AC-AA9D-14168B0BE2CA}" name="Column10139"/>
    <tableColumn id="10167" xr3:uid="{B8D8C556-E5E6-4210-BA92-45B0DCEA1387}" name="Column10140"/>
    <tableColumn id="10168" xr3:uid="{74DCE482-1FA9-44CF-8EA2-15C31E2C0D91}" name="Column10141"/>
    <tableColumn id="10169" xr3:uid="{1885F735-950A-413E-BBFE-39552B2F1656}" name="Column10142"/>
    <tableColumn id="10170" xr3:uid="{A66682BA-5E4A-41F8-8E15-37CE82C5B90E}" name="Column10143"/>
    <tableColumn id="10171" xr3:uid="{2D4B7B0C-9E4F-4B76-9ED5-43354818E142}" name="Column10144"/>
    <tableColumn id="10172" xr3:uid="{7AE0540B-4CBB-4742-883B-310B25AB3A90}" name="Column10145"/>
    <tableColumn id="10173" xr3:uid="{349617CB-47A2-4576-B0A8-16219786165A}" name="Column10146"/>
    <tableColumn id="10174" xr3:uid="{4A7E3545-A8EF-49EF-B66B-68D6042E4FF0}" name="Column10147"/>
    <tableColumn id="10175" xr3:uid="{20A02277-63D6-4C93-B2AF-ABF5B4DBF63D}" name="Column10148"/>
    <tableColumn id="10176" xr3:uid="{D939520B-079A-453D-922F-80662782142B}" name="Column10149"/>
    <tableColumn id="10177" xr3:uid="{0856B6A1-F13D-44CF-ABA5-F03907C40AC5}" name="Column10150"/>
    <tableColumn id="10178" xr3:uid="{81B0BD67-1D75-40B8-AF26-C2157C750D9D}" name="Column10151"/>
    <tableColumn id="10179" xr3:uid="{23E7F406-AF24-4784-BA9D-685DD86F19B2}" name="Column10152"/>
    <tableColumn id="10180" xr3:uid="{FE203D2F-ED23-42CE-BC08-FBD960A0A78E}" name="Column10153"/>
    <tableColumn id="10181" xr3:uid="{4C9CC53A-8DE3-4883-8A5D-DA101DD7C1AD}" name="Column10154"/>
    <tableColumn id="10182" xr3:uid="{C9ACB852-C34F-4183-AD20-1966739E67FE}" name="Column10155"/>
    <tableColumn id="10183" xr3:uid="{74685F37-2640-4540-9518-446B1434E227}" name="Column10156"/>
    <tableColumn id="10184" xr3:uid="{55576BCE-E98D-4B9B-84DC-A963BBE78D87}" name="Column10157"/>
    <tableColumn id="10185" xr3:uid="{FF37BC6B-42F1-4952-9889-C18D69A093E3}" name="Column10158"/>
    <tableColumn id="10186" xr3:uid="{D3A70798-EC20-4ABD-83E4-56298A1BA41C}" name="Column10159"/>
    <tableColumn id="10187" xr3:uid="{D176A376-6F2B-4E1F-A420-775CF3548FD8}" name="Column10160"/>
    <tableColumn id="10188" xr3:uid="{4FABA6F4-51A1-4CFB-BFEC-F1427ABD6F58}" name="Column10161"/>
    <tableColumn id="10189" xr3:uid="{96AC7712-C4EC-4EA6-A1CB-EF8E664DBCCD}" name="Column10162"/>
    <tableColumn id="10190" xr3:uid="{C20F4EB1-C61B-482A-9FE0-6C2CA02DAF69}" name="Column10163"/>
    <tableColumn id="10191" xr3:uid="{BB4947F4-6FA2-4037-B356-8583270FF378}" name="Column10164"/>
    <tableColumn id="10192" xr3:uid="{5D430029-BC75-4C20-955A-BEC9E29BDF1F}" name="Column10165"/>
    <tableColumn id="10193" xr3:uid="{C16E2BDF-05A7-43B8-9252-041D8EED9A5C}" name="Column10166"/>
    <tableColumn id="10194" xr3:uid="{826CA67B-0028-48C2-8AFE-AD3B2FE15E55}" name="Column10167"/>
    <tableColumn id="10195" xr3:uid="{A6D43E53-014A-4316-B71B-C12D36DCC19C}" name="Column10168"/>
    <tableColumn id="10196" xr3:uid="{67C019CA-9BB1-421A-83F4-DD9B80734175}" name="Column10169"/>
    <tableColumn id="10197" xr3:uid="{3E946923-8375-460F-BD02-C972D7AA2D73}" name="Column10170"/>
    <tableColumn id="10198" xr3:uid="{99736EB7-7641-4928-9F7C-32A8677BF6FD}" name="Column10171"/>
    <tableColumn id="10199" xr3:uid="{4E7F8A3B-1550-4F9E-81CE-57B4C70E73AC}" name="Column10172"/>
    <tableColumn id="10200" xr3:uid="{B7653C06-242F-4ED4-A705-6A6A26AEC649}" name="Column10173"/>
    <tableColumn id="10201" xr3:uid="{C5E38216-0D57-4ECB-B201-835B25D039A9}" name="Column10174"/>
    <tableColumn id="10202" xr3:uid="{E9792C57-A521-4630-B58A-6D346E71FF9F}" name="Column10175"/>
    <tableColumn id="10203" xr3:uid="{2C43977F-E4B6-4663-9298-813F718F30EB}" name="Column10176"/>
    <tableColumn id="10204" xr3:uid="{135F7181-7E81-4AED-8574-5487835F9D34}" name="Column10177"/>
    <tableColumn id="10205" xr3:uid="{A4907DC7-F634-43A4-AD36-4C19127E38C8}" name="Column10178"/>
    <tableColumn id="10206" xr3:uid="{44F55728-313B-4B16-9EDC-84B1D6FDE34C}" name="Column10179"/>
    <tableColumn id="10207" xr3:uid="{F3CC577D-0F0C-4521-ABC5-0A3BC3B823AB}" name="Column10180"/>
    <tableColumn id="10208" xr3:uid="{B87A1A0A-9D0D-4EE7-86DE-2D27C483412F}" name="Column10181"/>
    <tableColumn id="10209" xr3:uid="{19B817AD-9D79-4377-BFE2-47C5E8A5320F}" name="Column10182"/>
    <tableColumn id="10210" xr3:uid="{2E1AADB2-2281-45C5-AF32-387F5C771A1D}" name="Column10183"/>
    <tableColumn id="10211" xr3:uid="{B1E7D4F7-C32E-4F48-8BA8-AACE51079A71}" name="Column10184"/>
    <tableColumn id="10212" xr3:uid="{423CE348-EFB5-4E7F-8094-E2BEC21C6194}" name="Column10185"/>
    <tableColumn id="10213" xr3:uid="{763A5EBA-7270-4CD6-A4AE-E47B4F26B569}" name="Column10186"/>
    <tableColumn id="10214" xr3:uid="{8F259773-3693-41BC-BEA4-2A0B31AE49AC}" name="Column10187"/>
    <tableColumn id="10215" xr3:uid="{884931D3-B6CA-41D8-90BC-95A7783C65CA}" name="Column10188"/>
    <tableColumn id="10216" xr3:uid="{B6C65C6B-85C3-49A8-96B1-3BF8AB3142D7}" name="Column10189"/>
    <tableColumn id="10217" xr3:uid="{E1D2D3C1-A25E-40BF-AB3F-13C155970A4E}" name="Column10190"/>
    <tableColumn id="10218" xr3:uid="{2D13E666-FA93-4B5D-8B08-115D1D46593F}" name="Column10191"/>
    <tableColumn id="10219" xr3:uid="{4FE010B8-FD8F-421F-88E1-C35D6E33D939}" name="Column10192"/>
    <tableColumn id="10220" xr3:uid="{C9A1C66F-EA37-495F-8563-B5256B0A6150}" name="Column10193"/>
    <tableColumn id="10221" xr3:uid="{98BD349B-DAD6-4D5D-8A67-A6D3C26D96DF}" name="Column10194"/>
    <tableColumn id="10222" xr3:uid="{5AD0EACF-79FB-48A1-B22F-F611F6BB6860}" name="Column10195"/>
    <tableColumn id="10223" xr3:uid="{505E4A57-E269-4214-82C2-982C92B2A86B}" name="Column10196"/>
    <tableColumn id="10224" xr3:uid="{5F61B86C-1ED3-4DCF-8ADF-8D2A0D1F5140}" name="Column10197"/>
    <tableColumn id="10225" xr3:uid="{1AC30FBC-ABE3-45BD-9B4A-AEBC205608A6}" name="Column10198"/>
    <tableColumn id="10226" xr3:uid="{F80B839C-95E5-4A47-9F2B-16B77986E77A}" name="Column10199"/>
    <tableColumn id="10227" xr3:uid="{03E3201C-8984-4D24-9BD3-1E5E460FF1DB}" name="Column10200"/>
    <tableColumn id="10228" xr3:uid="{F7668C9A-6BC3-46A6-AD7E-50386EDFE286}" name="Column10201"/>
    <tableColumn id="10229" xr3:uid="{57C4032C-0156-49B6-B09D-DFF9680251A6}" name="Column10202"/>
    <tableColumn id="10230" xr3:uid="{9A94674C-498C-49D2-BF49-D0CA3B0AD263}" name="Column10203"/>
    <tableColumn id="10231" xr3:uid="{0F7A17AC-3F89-4652-BBA8-5986D7F16F91}" name="Column10204"/>
    <tableColumn id="10232" xr3:uid="{C0B6AE4B-D5B0-4D7B-9913-5814E436802E}" name="Column10205"/>
    <tableColumn id="10233" xr3:uid="{0EB1CAAA-A4FB-4A4A-9450-4D6E02AB6354}" name="Column10206"/>
    <tableColumn id="10234" xr3:uid="{C89556E3-3570-4364-A223-B0BC3A8094F3}" name="Column10207"/>
    <tableColumn id="10235" xr3:uid="{8C718ADA-8BEF-43BA-818D-2569B460D4A9}" name="Column10208"/>
    <tableColumn id="10236" xr3:uid="{9F45766A-14A9-40BF-B63A-A9D0AEBDB291}" name="Column10209"/>
    <tableColumn id="10237" xr3:uid="{6AF12A7A-02BD-401A-AC06-44DC63A0C850}" name="Column10210"/>
    <tableColumn id="10238" xr3:uid="{B5D130DD-3230-4882-AA05-F09CC059864A}" name="Column10211"/>
    <tableColumn id="10239" xr3:uid="{99848959-DCE8-41AA-A1C7-4AFCE8177540}" name="Column10212"/>
    <tableColumn id="10240" xr3:uid="{EC792ACE-50D6-4C36-89AB-EB27CFA0B2EC}" name="Column10213"/>
    <tableColumn id="10241" xr3:uid="{FC5C161B-1824-45F3-8C83-D2A7E45E4CBC}" name="Column10214"/>
    <tableColumn id="10242" xr3:uid="{193CB877-7511-47B8-8FCF-206259E3CC35}" name="Column10215"/>
    <tableColumn id="10243" xr3:uid="{C53292A2-8396-41C6-BE20-60A3B726B66D}" name="Column10216"/>
    <tableColumn id="10244" xr3:uid="{51374B82-C915-4414-A3AC-B8D223009864}" name="Column10217"/>
    <tableColumn id="10245" xr3:uid="{31CE301A-8DC5-4E5A-A0CF-E2A36F385C30}" name="Column10218"/>
    <tableColumn id="10246" xr3:uid="{DC10E35D-D6A7-4B77-BEBB-72B285BC64A8}" name="Column10219"/>
    <tableColumn id="10247" xr3:uid="{9CE8523A-C90C-4AC3-B544-26FE633963F8}" name="Column10220"/>
    <tableColumn id="10248" xr3:uid="{D6EAC6EA-A6C5-43A2-8907-4BCCC025C6FC}" name="Column10221"/>
    <tableColumn id="10249" xr3:uid="{BBEB5AEE-6EC9-4533-BF5D-BC8A75248CB6}" name="Column10222"/>
    <tableColumn id="10250" xr3:uid="{7065C03F-9A8C-4918-A486-88A73B72D615}" name="Column10223"/>
    <tableColumn id="10251" xr3:uid="{1E58F2C7-D712-46AC-8AA0-1A9215E1AF5A}" name="Column10224"/>
    <tableColumn id="10252" xr3:uid="{7774E704-08B8-4BCB-BEAD-4CD2BFBE7DC8}" name="Column10225"/>
    <tableColumn id="10253" xr3:uid="{2BF63ACE-EC87-46F3-8C8F-7870F31FADEC}" name="Column10226"/>
    <tableColumn id="10254" xr3:uid="{AE162655-B9BF-4302-B4F9-08A762A77326}" name="Column10227"/>
    <tableColumn id="10255" xr3:uid="{69929F5A-722C-430A-9E8C-5D3738DE2723}" name="Column10228"/>
    <tableColumn id="10256" xr3:uid="{C3B3DD6B-D1AF-409D-85AF-463B068DADD5}" name="Column10229"/>
    <tableColumn id="10257" xr3:uid="{60A96CBD-B665-49C7-B2B5-7FDA3D81FA97}" name="Column10230"/>
    <tableColumn id="10258" xr3:uid="{B045BCCF-12B6-4A0F-87CB-8ADB23A02866}" name="Column10231"/>
    <tableColumn id="10259" xr3:uid="{9100CC3A-02C8-4151-BF38-549A75B5C750}" name="Column10232"/>
    <tableColumn id="10260" xr3:uid="{A759A87A-39C8-44FC-A7DB-145BC071DD0C}" name="Column10233"/>
    <tableColumn id="10261" xr3:uid="{01B335CC-4AF5-483C-93B0-7A9C1BC260E1}" name="Column10234"/>
    <tableColumn id="10262" xr3:uid="{0DB81C11-5473-48A3-8B0C-287F10C89113}" name="Column10235"/>
    <tableColumn id="10263" xr3:uid="{D20E1922-BAC8-4657-B704-8398A8E03649}" name="Column10236"/>
    <tableColumn id="10264" xr3:uid="{F53BB243-811A-4275-91E6-FC05A20F5FAF}" name="Column10237"/>
    <tableColumn id="10265" xr3:uid="{30023968-DB36-449D-921C-0AF4192C8A76}" name="Column10238"/>
    <tableColumn id="10266" xr3:uid="{71CCB418-86D1-440A-8F6D-434046CC7860}" name="Column10239"/>
    <tableColumn id="10267" xr3:uid="{036FE69F-1CCD-4DBA-8716-E72EA1D15419}" name="Column10240"/>
    <tableColumn id="10268" xr3:uid="{D47CE964-8E60-48A6-BFDE-21C0EE52B429}" name="Column10241"/>
    <tableColumn id="10269" xr3:uid="{FD01DC52-B358-4A99-A274-7503654E43FB}" name="Column10242"/>
    <tableColumn id="10270" xr3:uid="{26E2766A-F036-44CC-8239-92C7729CD588}" name="Column10243"/>
    <tableColumn id="10271" xr3:uid="{D76E3413-36D9-49E4-9FBA-DEB0F669A8E1}" name="Column10244"/>
    <tableColumn id="10272" xr3:uid="{6898040C-3197-4686-87F5-2E15358586B6}" name="Column10245"/>
    <tableColumn id="10273" xr3:uid="{821F8DA4-8E79-45AF-BE10-621657AAA2AF}" name="Column10246"/>
    <tableColumn id="10274" xr3:uid="{E3BC6326-59F4-4474-A353-3D05C2F704C1}" name="Column10247"/>
    <tableColumn id="10275" xr3:uid="{F2DD1E76-A8FE-4D6A-BB6D-FE649FF121B0}" name="Column10248"/>
    <tableColumn id="10276" xr3:uid="{DF092CBE-5DEC-4189-B654-AC759A3F67AE}" name="Column10249"/>
    <tableColumn id="10277" xr3:uid="{DA8E3945-8F2F-4FDA-B82C-09DACD60B0D3}" name="Column10250"/>
    <tableColumn id="10278" xr3:uid="{F40AA566-1186-45B7-89AE-C17E8315B5FA}" name="Column10251"/>
    <tableColumn id="10279" xr3:uid="{66E4E196-CDE3-4589-9738-F80756778E6D}" name="Column10252"/>
    <tableColumn id="10280" xr3:uid="{781561DE-0635-448E-961A-9A6CDDA603A0}" name="Column10253"/>
    <tableColumn id="10281" xr3:uid="{B7C4038C-BFD8-4509-ADE3-CB2BA10DB036}" name="Column10254"/>
    <tableColumn id="10282" xr3:uid="{9ACB6F22-0068-4C69-BD83-D4DA80B417F8}" name="Column10255"/>
    <tableColumn id="10283" xr3:uid="{09A1D15F-C95C-4B90-A310-E9C310CFF846}" name="Column10256"/>
    <tableColumn id="10284" xr3:uid="{713C0D9B-8F68-48ED-A0A8-98297F3434CF}" name="Column10257"/>
    <tableColumn id="10285" xr3:uid="{D9C71A39-1AEC-4603-8B28-A3F643888BBE}" name="Column10258"/>
    <tableColumn id="10286" xr3:uid="{5DA612A5-9CFB-4208-A148-1B92A28514C5}" name="Column10259"/>
    <tableColumn id="10287" xr3:uid="{D92A38F0-C70B-439D-885C-2192BD513C0A}" name="Column10260"/>
    <tableColumn id="10288" xr3:uid="{D86F3693-5869-427D-BED1-50F367379E82}" name="Column10261"/>
    <tableColumn id="10289" xr3:uid="{2FDF5892-1FDB-4239-A160-BC4144F5ECA2}" name="Column10262"/>
    <tableColumn id="10290" xr3:uid="{A8723311-41FC-4F46-A666-96987F44DF69}" name="Column10263"/>
    <tableColumn id="10291" xr3:uid="{289BCA81-3997-4CBC-8CF0-DD7608C068D8}" name="Column10264"/>
    <tableColumn id="10292" xr3:uid="{C9C1D335-2F0F-4DAB-993E-AF35664D1276}" name="Column10265"/>
    <tableColumn id="10293" xr3:uid="{1F7C8460-9EE1-4654-952C-A3C5F7030432}" name="Column10266"/>
    <tableColumn id="10294" xr3:uid="{55A75AB5-CE3C-48E4-81A0-9001C19AE95D}" name="Column10267"/>
    <tableColumn id="10295" xr3:uid="{7C91F577-DBB5-4D6E-BBA2-D5B2959A37E4}" name="Column10268"/>
    <tableColumn id="10296" xr3:uid="{B2212D61-DFE2-41D1-8252-8F34C0627FA9}" name="Column10269"/>
    <tableColumn id="10297" xr3:uid="{BB2CF198-C5D0-4FE7-928E-5B2C7D678926}" name="Column10270"/>
    <tableColumn id="10298" xr3:uid="{B67CE74B-4361-4948-A442-B43B3A293511}" name="Column10271"/>
    <tableColumn id="10299" xr3:uid="{C411F844-9A7A-4282-B30A-BC9C0826770A}" name="Column10272"/>
    <tableColumn id="10300" xr3:uid="{EAC7D7B7-1839-4382-BDF6-7487EF8737A4}" name="Column10273"/>
    <tableColumn id="10301" xr3:uid="{376372CF-86E5-48B0-ABFD-22D9B426E533}" name="Column10274"/>
    <tableColumn id="10302" xr3:uid="{6F899E39-757B-490C-BB7B-FEAC3436F6DF}" name="Column10275"/>
    <tableColumn id="10303" xr3:uid="{B51022B8-32F3-4484-B98A-725B132BAB7D}" name="Column10276"/>
    <tableColumn id="10304" xr3:uid="{3D968212-2ED9-4B28-909F-BDF9F1E734C2}" name="Column10277"/>
    <tableColumn id="10305" xr3:uid="{C6435420-88E8-4B9A-970C-F71E3857E96E}" name="Column10278"/>
    <tableColumn id="10306" xr3:uid="{CB774071-2B69-4BDD-974D-6D04EE2FDD5A}" name="Column10279"/>
    <tableColumn id="10307" xr3:uid="{881F676E-9C1D-4494-B8E2-98BC1DE36E4D}" name="Column10280"/>
    <tableColumn id="10308" xr3:uid="{4F3A40C1-1374-46FF-A920-F8E0FF23D12B}" name="Column10281"/>
    <tableColumn id="10309" xr3:uid="{6B148F36-559D-4EBC-9139-2079FF6A7110}" name="Column10282"/>
    <tableColumn id="10310" xr3:uid="{231E8ADA-E239-48B9-90AD-846FA165901F}" name="Column10283"/>
    <tableColumn id="10311" xr3:uid="{CEEE1615-08C4-4527-94CA-417A9D70DC3A}" name="Column10284"/>
    <tableColumn id="10312" xr3:uid="{B6CA0A0C-E465-42C8-AD49-37E668A04FF4}" name="Column10285"/>
    <tableColumn id="10313" xr3:uid="{FE7408F9-37C6-4BF5-96E5-8F0DC3FA3A1C}" name="Column10286"/>
    <tableColumn id="10314" xr3:uid="{A706D137-4D27-4E02-9CEA-64DB923A1B1F}" name="Column10287"/>
    <tableColumn id="10315" xr3:uid="{4C05EF1E-CFE8-4A82-BF2A-3AECB42E7614}" name="Column10288"/>
    <tableColumn id="10316" xr3:uid="{A4A5F38C-943B-4D60-A52A-01788488FA3C}" name="Column10289"/>
    <tableColumn id="10317" xr3:uid="{E4677430-2578-4A24-BD82-D69C0106D8D6}" name="Column10290"/>
    <tableColumn id="10318" xr3:uid="{5C4FA497-09C1-4D15-BA0B-5CD3442B2694}" name="Column10291"/>
    <tableColumn id="10319" xr3:uid="{B7C130E1-A634-443C-B49C-E2873C7FEB28}" name="Column10292"/>
    <tableColumn id="10320" xr3:uid="{F356FA85-BDEE-4901-966C-9AC9136A33C4}" name="Column10293"/>
    <tableColumn id="10321" xr3:uid="{A58181EA-6015-49DB-BCE3-B87FF8AA2B6A}" name="Column10294"/>
    <tableColumn id="10322" xr3:uid="{333F32CE-A7B1-42F0-82D0-D203D9EA09F4}" name="Column10295"/>
    <tableColumn id="10323" xr3:uid="{433D3296-392D-41A9-9A09-AED9BE9B014B}" name="Column10296"/>
    <tableColumn id="10324" xr3:uid="{518DD614-16AE-4AA3-8A25-64E37075A3D1}" name="Column10297"/>
    <tableColumn id="10325" xr3:uid="{5EF01CCD-B54C-4446-803B-A6D50D946605}" name="Column10298"/>
    <tableColumn id="10326" xr3:uid="{3456A7E7-443E-4805-8B5E-82CAFFF10282}" name="Column10299"/>
    <tableColumn id="10327" xr3:uid="{47B56C3C-C7E7-4200-84BC-3D33FC54B11F}" name="Column10300"/>
    <tableColumn id="10328" xr3:uid="{AA557D7B-5FFE-4E03-A9CE-D58955A5DFC8}" name="Column10301"/>
    <tableColumn id="10329" xr3:uid="{3DDBAFBC-D1F1-4168-A0D6-E0A9F1F2C0FF}" name="Column10302"/>
    <tableColumn id="10330" xr3:uid="{61EC0156-7258-437F-9642-B96CD0F11858}" name="Column10303"/>
    <tableColumn id="10331" xr3:uid="{775E8F85-89E6-4635-B15D-D57135DC23FB}" name="Column10304"/>
    <tableColumn id="10332" xr3:uid="{C4591F02-F748-44B1-828B-33FA2E3F6D43}" name="Column10305"/>
    <tableColumn id="10333" xr3:uid="{5BD0FDEC-4BB4-4282-956A-168915BBAECE}" name="Column10306"/>
    <tableColumn id="10334" xr3:uid="{12081224-D1AE-46C5-84D8-7B171953D844}" name="Column10307"/>
    <tableColumn id="10335" xr3:uid="{431981C6-4D4B-474F-8AA1-E566A6782218}" name="Column10308"/>
    <tableColumn id="10336" xr3:uid="{4CE91BAE-8DF8-491F-A1AC-E4E11625FD56}" name="Column10309"/>
    <tableColumn id="10337" xr3:uid="{EAA15C81-82D3-4274-A1D7-C2EEB599493E}" name="Column10310"/>
    <tableColumn id="10338" xr3:uid="{7DF3DB8B-5B30-4622-90A4-160ECE3360C3}" name="Column10311"/>
    <tableColumn id="10339" xr3:uid="{408C0098-3A99-447A-A4EA-482977091735}" name="Column10312"/>
    <tableColumn id="10340" xr3:uid="{52DFE0C6-2A20-4F1D-B497-D8666F06571D}" name="Column10313"/>
    <tableColumn id="10341" xr3:uid="{727156BF-44B6-45F3-80C2-82498017922E}" name="Column10314"/>
    <tableColumn id="10342" xr3:uid="{9F20DAAC-4DC1-4AA5-9780-DF31D1A6CE79}" name="Column10315"/>
    <tableColumn id="10343" xr3:uid="{5D8550C0-A7ED-4D56-80A2-9AD4F9816DC5}" name="Column10316"/>
    <tableColumn id="10344" xr3:uid="{0E1B8D94-49D7-463A-8F69-6BA0C6E2AFC2}" name="Column10317"/>
    <tableColumn id="10345" xr3:uid="{A99666E3-EDC9-4CC9-B16F-4F6F37B2C4E0}" name="Column10318"/>
    <tableColumn id="10346" xr3:uid="{E2405142-13E3-4B3E-9175-15079BFA7CDE}" name="Column10319"/>
    <tableColumn id="10347" xr3:uid="{6681E702-DE92-49B4-8A9E-E8B7D5917983}" name="Column10320"/>
    <tableColumn id="10348" xr3:uid="{B83A7B5E-7179-4ED2-9490-70024D57481E}" name="Column10321"/>
    <tableColumn id="10349" xr3:uid="{90E9EFF0-F09F-40A5-B8E3-F08E613DDE33}" name="Column10322"/>
    <tableColumn id="10350" xr3:uid="{D690A362-047A-4FD6-91A3-9ED9C575454A}" name="Column10323"/>
    <tableColumn id="10351" xr3:uid="{9FA25DE3-5D6D-45C8-A0DC-DDF431718393}" name="Column10324"/>
    <tableColumn id="10352" xr3:uid="{D9F745FC-DCAC-4BBB-8E13-C2EBEB3CBF2F}" name="Column10325"/>
    <tableColumn id="10353" xr3:uid="{8C35BB6A-7CA8-4AF4-93FF-E6635666F96B}" name="Column10326"/>
    <tableColumn id="10354" xr3:uid="{FA77E4F5-DC2E-4FE3-8327-CEBAC830AE8C}" name="Column10327"/>
    <tableColumn id="10355" xr3:uid="{4A06F2A7-D8A0-4A49-AF04-6F6F8DE48350}" name="Column10328"/>
    <tableColumn id="10356" xr3:uid="{5D9021E1-378C-4712-B310-9989E1BE0593}" name="Column10329"/>
    <tableColumn id="10357" xr3:uid="{AF9094F0-E823-4E77-B0A6-934BEC2C59C8}" name="Column10330"/>
    <tableColumn id="10358" xr3:uid="{6B5C93C6-3B90-444B-AFF8-E852A768B951}" name="Column10331"/>
    <tableColumn id="10359" xr3:uid="{82481706-CD41-4F94-A52B-03756F8D7BAD}" name="Column10332"/>
    <tableColumn id="10360" xr3:uid="{06215582-2E4D-4725-A772-3CA2B7F13CA1}" name="Column10333"/>
    <tableColumn id="10361" xr3:uid="{65D9AB09-FA00-4DE3-B6EA-5545934F19CF}" name="Column10334"/>
    <tableColumn id="10362" xr3:uid="{2239D2D8-CDC2-4C98-A5D3-11AF4A123249}" name="Column10335"/>
    <tableColumn id="10363" xr3:uid="{759C7668-3BCD-4CCC-9696-EAF20166B76B}" name="Column10336"/>
    <tableColumn id="10364" xr3:uid="{8C430488-B542-4DB6-A50D-C59AE2F83513}" name="Column10337"/>
    <tableColumn id="10365" xr3:uid="{5EFD2455-5B41-4465-8781-B164853204B2}" name="Column10338"/>
    <tableColumn id="10366" xr3:uid="{8880D258-58F4-45A8-86FB-94A7B0D588A2}" name="Column10339"/>
    <tableColumn id="10367" xr3:uid="{E2D55D2C-572F-4AF7-831F-11EA38B983AF}" name="Column10340"/>
    <tableColumn id="10368" xr3:uid="{2BB90128-DE0E-4EE8-BF96-FBEA9B3AE7B9}" name="Column10341"/>
    <tableColumn id="10369" xr3:uid="{66612DFC-47AF-41FA-BA87-9E72A75C8C1D}" name="Column10342"/>
    <tableColumn id="10370" xr3:uid="{3DC85378-6DFE-40BA-9F90-5CA7F0D590EE}" name="Column10343"/>
    <tableColumn id="10371" xr3:uid="{9026C908-F4A6-4D5C-8B9B-AF9E7755CD3C}" name="Column10344"/>
    <tableColumn id="10372" xr3:uid="{B011935D-C1B4-48EF-9ACC-75935CEEC087}" name="Column10345"/>
    <tableColumn id="10373" xr3:uid="{6BA5BA23-6A99-41FF-AC15-1F04407ECE9E}" name="Column10346"/>
    <tableColumn id="10374" xr3:uid="{E35F7E17-9ABB-4697-BBE3-4EF4D23B8094}" name="Column10347"/>
    <tableColumn id="10375" xr3:uid="{501E6A65-BACE-43A8-96F2-4F6B3AAC4B2D}" name="Column10348"/>
    <tableColumn id="10376" xr3:uid="{59E6E501-B8A2-4713-91E3-11B934FAC206}" name="Column10349"/>
    <tableColumn id="10377" xr3:uid="{4E91D948-1A4C-43A3-9128-949A35D09136}" name="Column10350"/>
    <tableColumn id="10378" xr3:uid="{928D9E7D-8891-4566-84FE-EA630361DD1A}" name="Column10351"/>
    <tableColumn id="10379" xr3:uid="{FC857EFA-7BFB-492E-8B8A-B776D0A8505D}" name="Column10352"/>
    <tableColumn id="10380" xr3:uid="{801EF008-CBF2-4D87-9BC3-BCD78E9A78CC}" name="Column10353"/>
    <tableColumn id="10381" xr3:uid="{52DA7AD0-304B-4DD1-800C-8B9C09E583DD}" name="Column10354"/>
    <tableColumn id="10382" xr3:uid="{8E1FC0A4-830C-41A4-A8B3-E57DA9B32324}" name="Column10355"/>
    <tableColumn id="10383" xr3:uid="{D51A691D-B730-4D3C-BE35-5352FC5FD634}" name="Column10356"/>
    <tableColumn id="10384" xr3:uid="{428F490C-5431-4BC3-8460-C85D2D018BD9}" name="Column10357"/>
    <tableColumn id="10385" xr3:uid="{8FB67F87-A13A-42BE-86C3-F794C4F6EBCE}" name="Column10358"/>
    <tableColumn id="10386" xr3:uid="{135BB49C-E6A4-47DB-9365-7F2A8941DF49}" name="Column10359"/>
    <tableColumn id="10387" xr3:uid="{1358A35A-06C8-41EE-8EF1-4690B17A0D1E}" name="Column10360"/>
    <tableColumn id="10388" xr3:uid="{74DC06C4-B95C-462F-9A58-46D962152C3D}" name="Column10361"/>
    <tableColumn id="10389" xr3:uid="{DFC2AFBC-3346-4E74-8E37-2FE43D818016}" name="Column10362"/>
    <tableColumn id="10390" xr3:uid="{CF6F94B2-5AE4-49CA-925B-017573A9DDA9}" name="Column10363"/>
    <tableColumn id="10391" xr3:uid="{C7A6CA32-1A40-4A08-8E42-9D321989DBBD}" name="Column10364"/>
    <tableColumn id="10392" xr3:uid="{F5007664-CBA2-4180-9940-9B55F291FAA1}" name="Column10365"/>
    <tableColumn id="10393" xr3:uid="{89C03977-4D0C-43D1-8DB4-DF5DD4C56EE3}" name="Column10366"/>
    <tableColumn id="10394" xr3:uid="{BCCE2B3A-B2FE-46D7-913C-1A5AC880B1DE}" name="Column10367"/>
    <tableColumn id="10395" xr3:uid="{64E60B64-59CA-4006-80E5-BD6AAD21F2B8}" name="Column10368"/>
    <tableColumn id="10396" xr3:uid="{B3978D25-29F3-4308-BF1A-BE22A044BCFE}" name="Column10369"/>
    <tableColumn id="10397" xr3:uid="{52C4A5ED-D56B-46CB-8EB1-FB18F2CDA763}" name="Column10370"/>
    <tableColumn id="10398" xr3:uid="{E790F83F-CC35-4E35-9104-C5552CDA2715}" name="Column10371"/>
    <tableColumn id="10399" xr3:uid="{C7131B26-51B8-41FC-ACF6-681CA1E6B60A}" name="Column10372"/>
    <tableColumn id="10400" xr3:uid="{6A5FD908-A285-4EF3-B8AF-B2A8EE331648}" name="Column10373"/>
    <tableColumn id="10401" xr3:uid="{5636304E-0A67-4746-8E29-D90DD06205AE}" name="Column10374"/>
    <tableColumn id="10402" xr3:uid="{3EC2B784-C19B-418C-8C21-994581C97657}" name="Column10375"/>
    <tableColumn id="10403" xr3:uid="{7B1279BD-EE0C-4C44-9F94-21B441F072A5}" name="Column10376"/>
    <tableColumn id="10404" xr3:uid="{522C5CC5-4F9E-485B-AEC3-F95D630B8009}" name="Column10377"/>
    <tableColumn id="10405" xr3:uid="{358A098E-0C6D-49D5-A746-4681ABF35C7B}" name="Column10378"/>
    <tableColumn id="10406" xr3:uid="{A732E79C-2F06-4783-A9A9-B11B7AC61807}" name="Column10379"/>
    <tableColumn id="10407" xr3:uid="{4EBA7911-9FDA-4466-BAA9-645558E342EF}" name="Column10380"/>
    <tableColumn id="10408" xr3:uid="{B90C269F-F30A-4D53-8B29-408218DBFACB}" name="Column10381"/>
    <tableColumn id="10409" xr3:uid="{9C9E0547-1AAE-47E1-BE6B-1B3B497A570D}" name="Column10382"/>
    <tableColumn id="10410" xr3:uid="{8317CB2E-358F-4416-A05C-05BDE698BF64}" name="Column10383"/>
    <tableColumn id="10411" xr3:uid="{4787C0BC-50EB-42AC-AEE5-F1CB467BA148}" name="Column10384"/>
    <tableColumn id="10412" xr3:uid="{F9FE4687-DE97-41B4-9DE3-3EFDA665D040}" name="Column10385"/>
    <tableColumn id="10413" xr3:uid="{93412E57-9D29-4ED4-B6E7-CA05ECE077E4}" name="Column10386"/>
    <tableColumn id="10414" xr3:uid="{1EE2D13A-8324-445E-87EF-6686CDBF0295}" name="Column10387"/>
    <tableColumn id="10415" xr3:uid="{C140252A-7EFC-42EE-B1F5-60D592E3AB4D}" name="Column10388"/>
    <tableColumn id="10416" xr3:uid="{4C93FBB0-ED52-42F6-AB7B-DB83BB8CA92C}" name="Column10389"/>
    <tableColumn id="10417" xr3:uid="{96D92525-16F9-4CA7-8CA3-0CB25A20739D}" name="Column10390"/>
    <tableColumn id="10418" xr3:uid="{074B3217-C3D8-47DF-AB35-3039C671A63C}" name="Column10391"/>
    <tableColumn id="10419" xr3:uid="{E9278B4B-D714-467A-9A93-582893A8CA16}" name="Column10392"/>
    <tableColumn id="10420" xr3:uid="{4936BF07-3981-4754-B277-D392F2BC5851}" name="Column10393"/>
    <tableColumn id="10421" xr3:uid="{233191BD-A40E-473B-97B0-200536B836AC}" name="Column10394"/>
    <tableColumn id="10422" xr3:uid="{E0042564-B253-4B99-B786-168EF70C753D}" name="Column10395"/>
    <tableColumn id="10423" xr3:uid="{B356ABFD-6127-4BD9-9490-B590467088E7}" name="Column10396"/>
    <tableColumn id="10424" xr3:uid="{6D625CE5-1811-4F84-8584-7F865D4A2012}" name="Column10397"/>
    <tableColumn id="10425" xr3:uid="{9672C623-A7B0-448D-9FBF-CD80F110F9EF}" name="Column10398"/>
    <tableColumn id="10426" xr3:uid="{2241C7EC-3C5A-421A-AB84-665F4E54377A}" name="Column10399"/>
    <tableColumn id="10427" xr3:uid="{EE450DFC-3017-4485-BE41-EFBB379F7932}" name="Column10400"/>
    <tableColumn id="10428" xr3:uid="{530CB031-DB9D-4554-A680-BE0AF7F5C55D}" name="Column10401"/>
    <tableColumn id="10429" xr3:uid="{433980EA-E4B5-452C-9FD4-3C4C33F5EB54}" name="Column10402"/>
    <tableColumn id="10430" xr3:uid="{D68DD90A-54B8-439D-8FBE-DAF874DAF05C}" name="Column10403"/>
    <tableColumn id="10431" xr3:uid="{966D85BF-DE0B-46F3-B734-1962786202BF}" name="Column10404"/>
    <tableColumn id="10432" xr3:uid="{4B2174D4-FD3C-4046-95F2-576E5FFC14C0}" name="Column10405"/>
    <tableColumn id="10433" xr3:uid="{DB253C5F-076B-4AD0-B26D-575EE0FF0FE3}" name="Column10406"/>
    <tableColumn id="10434" xr3:uid="{E38835B8-4343-4161-B41E-0092E224051C}" name="Column10407"/>
    <tableColumn id="10435" xr3:uid="{122C3340-4D30-410B-8D0D-8164FDF1382C}" name="Column10408"/>
    <tableColumn id="10436" xr3:uid="{C7BE6632-728A-4A8D-A336-06B716B8DE87}" name="Column10409"/>
    <tableColumn id="10437" xr3:uid="{0D49EC84-AF41-41A5-9FEC-BCAE954C8799}" name="Column10410"/>
    <tableColumn id="10438" xr3:uid="{862C825F-A2D4-466D-8FB4-022E4C8C35E6}" name="Column10411"/>
    <tableColumn id="10439" xr3:uid="{13760151-FC66-404A-A4F1-2D1E03C68FDA}" name="Column10412"/>
    <tableColumn id="10440" xr3:uid="{C734A427-ADAC-437E-B4CF-616C7D9174CD}" name="Column10413"/>
    <tableColumn id="10441" xr3:uid="{E9583104-BD72-48F7-8347-50AE43A68D5C}" name="Column10414"/>
    <tableColumn id="10442" xr3:uid="{8374267B-D34A-4400-8CC0-E61DE54C2BAE}" name="Column10415"/>
    <tableColumn id="10443" xr3:uid="{4D3115CA-797F-4D54-AFE8-982BEE6575C0}" name="Column10416"/>
    <tableColumn id="10444" xr3:uid="{004B1761-3E93-4B2B-9D19-41DCAE3235EB}" name="Column10417"/>
    <tableColumn id="10445" xr3:uid="{A4E75EA9-5B82-4D1A-A5C2-068A5CA067BD}" name="Column10418"/>
    <tableColumn id="10446" xr3:uid="{EDF7A9B6-0D25-42AE-B92A-14F9CFB5DE6E}" name="Column10419"/>
    <tableColumn id="10447" xr3:uid="{D961BE30-B4ED-4534-B1AB-D08448AEC73B}" name="Column10420"/>
    <tableColumn id="10448" xr3:uid="{B4DD9575-5151-485E-8D9B-BFEAEE33ABB4}" name="Column10421"/>
    <tableColumn id="10449" xr3:uid="{2C6F4E32-6902-4FBE-A441-04B937AEE00B}" name="Column10422"/>
    <tableColumn id="10450" xr3:uid="{931EC49D-B2C8-4CE3-9613-7F6EEFD16ED4}" name="Column10423"/>
    <tableColumn id="10451" xr3:uid="{1BCCF305-33B3-42CE-922C-6985A6BE303E}" name="Column10424"/>
    <tableColumn id="10452" xr3:uid="{B83695F4-15B6-45DD-9AE7-3CA48B46E81E}" name="Column10425"/>
    <tableColumn id="10453" xr3:uid="{FEC201DA-4F51-426F-9619-620283ADB686}" name="Column10426"/>
    <tableColumn id="10454" xr3:uid="{191A02AC-96C1-4828-8B0C-7D728DBFE6D0}" name="Column10427"/>
    <tableColumn id="10455" xr3:uid="{E0C64C0D-D4A0-461C-A0FF-756E88CC64C3}" name="Column10428"/>
    <tableColumn id="10456" xr3:uid="{8FD8F365-793E-40EB-A189-FF53AFC12B42}" name="Column10429"/>
    <tableColumn id="10457" xr3:uid="{429A8842-1BC9-4EF4-844D-4B81147FCC67}" name="Column10430"/>
    <tableColumn id="10458" xr3:uid="{D2D635BB-9459-4BA2-937E-820EF0C16B27}" name="Column10431"/>
    <tableColumn id="10459" xr3:uid="{E09B1505-FA42-44DF-A4BD-E464DDA8647C}" name="Column10432"/>
    <tableColumn id="10460" xr3:uid="{BEB454E8-FD86-47DD-A819-3B47AA96341D}" name="Column10433"/>
    <tableColumn id="10461" xr3:uid="{E2FF168B-65A1-4B81-A90C-4825950D06D7}" name="Column10434"/>
    <tableColumn id="10462" xr3:uid="{1EF08C0F-6AC6-4EFA-94CA-C382EEF5799C}" name="Column10435"/>
    <tableColumn id="10463" xr3:uid="{04C04A88-2CD3-4316-BBF1-EFD57826377F}" name="Column10436"/>
    <tableColumn id="10464" xr3:uid="{C870CF08-72CC-44DF-88EE-05F9EDD63E5B}" name="Column10437"/>
    <tableColumn id="10465" xr3:uid="{692D262A-395F-4EAD-BC2A-E3771CBB5BFE}" name="Column10438"/>
    <tableColumn id="10466" xr3:uid="{4799D054-4C5D-413F-8C4E-B0BA255D6042}" name="Column10439"/>
    <tableColumn id="10467" xr3:uid="{5FFE09B1-ECA6-4AED-A69F-10F26428FDAB}" name="Column10440"/>
    <tableColumn id="10468" xr3:uid="{351B45DC-D0B9-44D2-981C-002B99241955}" name="Column10441"/>
    <tableColumn id="10469" xr3:uid="{9DEFF4CC-2103-4732-B611-FDE1ECC4767F}" name="Column10442"/>
    <tableColumn id="10470" xr3:uid="{920499F4-1F52-4B73-853E-87F1AAE18280}" name="Column10443"/>
    <tableColumn id="10471" xr3:uid="{3A5DF1CF-CA84-4F92-9571-FF7CB60F7A3A}" name="Column10444"/>
    <tableColumn id="10472" xr3:uid="{E514C83A-013B-44A3-BB9F-9953AA4B3F40}" name="Column10445"/>
    <tableColumn id="10473" xr3:uid="{7F1ED381-3B3F-42B0-A52F-BE9F2CA54C68}" name="Column10446"/>
    <tableColumn id="10474" xr3:uid="{4028D021-2FEF-4AD0-B695-FF25C364A855}" name="Column10447"/>
    <tableColumn id="10475" xr3:uid="{3F922C40-9125-4E11-A1B6-0466766EC642}" name="Column10448"/>
    <tableColumn id="10476" xr3:uid="{E31825FD-79C5-4924-924C-260723597750}" name="Column10449"/>
    <tableColumn id="10477" xr3:uid="{C4141110-0D4D-4621-8B3F-9B7D482759D2}" name="Column10450"/>
    <tableColumn id="10478" xr3:uid="{77357D2F-421B-40A6-BEB6-78B3784E7159}" name="Column10451"/>
    <tableColumn id="10479" xr3:uid="{7B164289-CD79-49A1-8ABA-6A88949AE750}" name="Column10452"/>
    <tableColumn id="10480" xr3:uid="{E86C953A-7B30-4757-8E69-94766406D5D5}" name="Column10453"/>
    <tableColumn id="10481" xr3:uid="{43504800-A731-43DF-9B1B-F1B9CDDD1F78}" name="Column10454"/>
    <tableColumn id="10482" xr3:uid="{D46D01C2-55A8-4F50-B785-52BCA007F7EC}" name="Column10455"/>
    <tableColumn id="10483" xr3:uid="{686D68B2-9B4C-487F-BA2E-ADA33D6CD4F1}" name="Column10456"/>
    <tableColumn id="10484" xr3:uid="{0E2D3A52-242D-4307-AC69-2C4971577B77}" name="Column10457"/>
    <tableColumn id="10485" xr3:uid="{55504AEF-DEF3-41DB-9D4C-7A14A6D260AE}" name="Column10458"/>
    <tableColumn id="10486" xr3:uid="{66153F15-C441-43C2-93F8-57B006573764}" name="Column10459"/>
    <tableColumn id="10487" xr3:uid="{79D9FBE9-37DE-466F-8BF9-B46295CB6EC8}" name="Column10460"/>
    <tableColumn id="10488" xr3:uid="{A53AE20B-1128-41C3-BFF6-C0CEB34B1FC4}" name="Column10461"/>
    <tableColumn id="10489" xr3:uid="{24BC426F-8597-485D-98ED-137855805596}" name="Column10462"/>
    <tableColumn id="10490" xr3:uid="{A969A3AC-1635-4FCE-AA5F-BEAEC05F0F2B}" name="Column10463"/>
    <tableColumn id="10491" xr3:uid="{4979A58E-2720-451B-B138-4F50E6156B3D}" name="Column10464"/>
    <tableColumn id="10492" xr3:uid="{F7B75F1F-3E54-492E-BCE2-4697193862FA}" name="Column10465"/>
    <tableColumn id="10493" xr3:uid="{B5F1D810-C498-4462-B46C-50226D963B8C}" name="Column10466"/>
    <tableColumn id="10494" xr3:uid="{521CBEDC-B016-453A-8263-47E3EB6DBAB2}" name="Column10467"/>
    <tableColumn id="10495" xr3:uid="{0DD5B2C6-6CB7-4472-9514-069A9C13BEAF}" name="Column10468"/>
    <tableColumn id="10496" xr3:uid="{E1792D6D-65C8-4AC2-8E9C-F5E18CB8CD5D}" name="Column10469"/>
    <tableColumn id="10497" xr3:uid="{F40F8111-55ED-4DF4-9EE5-33275DAFAE28}" name="Column10470"/>
    <tableColumn id="10498" xr3:uid="{E71D494A-D2CC-4284-BED7-08F3F44F3EDD}" name="Column10471"/>
    <tableColumn id="10499" xr3:uid="{82DA8499-2A21-4DB1-BF61-47F24A1A7019}" name="Column10472"/>
    <tableColumn id="10500" xr3:uid="{18823A7C-8659-4D23-93E6-720C8B6A93EC}" name="Column10473"/>
    <tableColumn id="10501" xr3:uid="{149019AC-302D-4B89-A37B-855F3FD7AECC}" name="Column10474"/>
    <tableColumn id="10502" xr3:uid="{CF077890-3DB1-44C7-8A20-B0813AFE3653}" name="Column10475"/>
    <tableColumn id="10503" xr3:uid="{BE8749A6-3DDC-45BD-8FD1-BB9E1AAD5A55}" name="Column10476"/>
    <tableColumn id="10504" xr3:uid="{98DAB48F-9E7C-4E4B-B0B3-E3042348788C}" name="Column10477"/>
    <tableColumn id="10505" xr3:uid="{2424A91E-38EF-4AB6-815F-A7D6258F1F0E}" name="Column10478"/>
    <tableColumn id="10506" xr3:uid="{C7D9D537-3158-4C74-8837-3DA20566DB11}" name="Column10479"/>
    <tableColumn id="10507" xr3:uid="{2FBD9D76-9C69-48C5-94E8-5C528E8B2A81}" name="Column10480"/>
    <tableColumn id="10508" xr3:uid="{737938A2-0BF1-40D8-8E86-84A8FAF415CD}" name="Column10481"/>
    <tableColumn id="10509" xr3:uid="{60D74E30-1C02-411C-BDF2-830A8AD917FD}" name="Column10482"/>
    <tableColumn id="10510" xr3:uid="{D90E0D5B-BDE4-4417-92B2-DADBCB914194}" name="Column10483"/>
    <tableColumn id="10511" xr3:uid="{C0CA9634-E7DF-4CAB-B7DD-745549A85828}" name="Column10484"/>
    <tableColumn id="10512" xr3:uid="{C41AA524-1FCB-49D0-B4FC-2FCFC40FFE95}" name="Column10485"/>
    <tableColumn id="10513" xr3:uid="{E4610C47-F749-4D68-A2C7-B11CE1F2638A}" name="Column10486"/>
    <tableColumn id="10514" xr3:uid="{27117AAE-9F41-4E66-80C2-C3F883C539F1}" name="Column10487"/>
    <tableColumn id="10515" xr3:uid="{75BA732B-EE24-44AC-AFB7-BE720F301789}" name="Column10488"/>
    <tableColumn id="10516" xr3:uid="{522DC97C-61B2-4D29-86CB-9872867D1FA6}" name="Column10489"/>
    <tableColumn id="10517" xr3:uid="{94BD52ED-6F26-472C-AE6D-42D87CC5CC17}" name="Column10490"/>
    <tableColumn id="10518" xr3:uid="{8F8C9E82-FE26-4E7E-A92B-235D8E160F3B}" name="Column10491"/>
    <tableColumn id="10519" xr3:uid="{29A40944-2DC4-4C42-AEF5-58EBA708CFFC}" name="Column10492"/>
    <tableColumn id="10520" xr3:uid="{F515F830-BA5A-4F6D-B0D7-E0A802EFF6D0}" name="Column10493"/>
    <tableColumn id="10521" xr3:uid="{583C2335-1C8B-4763-9D55-650273E0444C}" name="Column10494"/>
    <tableColumn id="10522" xr3:uid="{E0EA5B3C-49E4-4254-B32A-6CA244A4F619}" name="Column10495"/>
    <tableColumn id="10523" xr3:uid="{B564B3CB-E17F-41D2-8462-6EA21C689A6F}" name="Column10496"/>
    <tableColumn id="10524" xr3:uid="{ED767606-116F-4C3E-B1E1-B9468098E0DA}" name="Column10497"/>
    <tableColumn id="10525" xr3:uid="{C9290FD4-F325-4FBD-9CE1-098B8260C19A}" name="Column10498"/>
    <tableColumn id="10526" xr3:uid="{A5A6573F-4B9E-4BC8-B9D6-AA343A9A37D3}" name="Column10499"/>
    <tableColumn id="10527" xr3:uid="{4AE22A78-9B42-4F4F-BDE9-45A54F0DEDAF}" name="Column10500"/>
    <tableColumn id="10528" xr3:uid="{3051C7C7-36A5-4C19-B8DA-FE94EC3A4FBB}" name="Column10501"/>
    <tableColumn id="10529" xr3:uid="{31734E8A-6E66-4EBF-8B35-237AD052E28F}" name="Column10502"/>
    <tableColumn id="10530" xr3:uid="{798C955C-E5A5-4932-9319-5CE0574F3842}" name="Column10503"/>
    <tableColumn id="10531" xr3:uid="{7E43A100-1B7B-4EC4-A119-80E88AB00D44}" name="Column10504"/>
    <tableColumn id="10532" xr3:uid="{450EA9F3-10E4-41D5-8E13-98FA402E6D5C}" name="Column10505"/>
    <tableColumn id="10533" xr3:uid="{5AD79E29-4045-4C20-87E5-A7DBA9962DCE}" name="Column10506"/>
    <tableColumn id="10534" xr3:uid="{8BC1652A-6F26-4EC5-9B53-4D7567C45041}" name="Column10507"/>
    <tableColumn id="10535" xr3:uid="{723AFE25-7F83-40CD-9D31-B3D84691407C}" name="Column10508"/>
    <tableColumn id="10536" xr3:uid="{64C38C02-95B3-46BB-BF7D-0D5DAFC6B802}" name="Column10509"/>
    <tableColumn id="10537" xr3:uid="{26BEE279-4670-49C6-A89E-9998076C542E}" name="Column10510"/>
    <tableColumn id="10538" xr3:uid="{B6FAD3A7-BB14-472C-9CFB-2D429F68DEA8}" name="Column10511"/>
    <tableColumn id="10539" xr3:uid="{6E589823-DC8A-42EC-82C8-2F7A1A2F84AA}" name="Column10512"/>
    <tableColumn id="10540" xr3:uid="{E81A5F6C-E9F1-4E14-B701-348573D40908}" name="Column10513"/>
    <tableColumn id="10541" xr3:uid="{4DC10BBF-2B2C-4DDE-8E40-B6EEB3DCA428}" name="Column10514"/>
    <tableColumn id="10542" xr3:uid="{56125D47-2399-4A28-9B66-CBE4D421C3B1}" name="Column10515"/>
    <tableColumn id="10543" xr3:uid="{2537AE48-80DF-4A74-AC88-878CF797A785}" name="Column10516"/>
    <tableColumn id="10544" xr3:uid="{B54FB968-AC6B-487B-B00B-C03E4ABD6102}" name="Column10517"/>
    <tableColumn id="10545" xr3:uid="{D04A2BFE-0D56-4572-832E-3BF3D4A96B2E}" name="Column10518"/>
    <tableColumn id="10546" xr3:uid="{25C9E947-147D-49F4-B163-5C4FC373AAE7}" name="Column10519"/>
    <tableColumn id="10547" xr3:uid="{C393726C-5B58-45D2-97CC-E55FC2D9B2EE}" name="Column10520"/>
    <tableColumn id="10548" xr3:uid="{6BB144E8-DA8D-494B-B1D6-D8AF2EA1A567}" name="Column10521"/>
    <tableColumn id="10549" xr3:uid="{25EB3AB6-C3E1-40D6-84A4-3513D7ECEE4B}" name="Column10522"/>
    <tableColumn id="10550" xr3:uid="{006831A4-B83D-4D02-BFB0-DED5B8C9656A}" name="Column10523"/>
    <tableColumn id="10551" xr3:uid="{E86519DA-93C4-48AC-944D-2C7B59B1966B}" name="Column10524"/>
    <tableColumn id="10552" xr3:uid="{3ED91ADD-046C-4725-B169-B0B8B12CC808}" name="Column10525"/>
    <tableColumn id="10553" xr3:uid="{29304CD5-FC97-4153-B5EB-11E46FFACF91}" name="Column10526"/>
    <tableColumn id="10554" xr3:uid="{2EAC867A-CE9A-4347-8ABF-79B5E0804535}" name="Column10527"/>
    <tableColumn id="10555" xr3:uid="{49B30690-8411-4681-BB38-A257325C5655}" name="Column10528"/>
    <tableColumn id="10556" xr3:uid="{4167DF8F-5764-447D-87A4-EC8BA3E4B825}" name="Column10529"/>
    <tableColumn id="10557" xr3:uid="{61111224-B3B6-4669-B9B8-FCA74163B248}" name="Column10530"/>
    <tableColumn id="10558" xr3:uid="{DA175AC8-21A2-4120-B1ED-3BDC63E4B4A5}" name="Column10531"/>
    <tableColumn id="10559" xr3:uid="{E0D27BEE-C50D-426A-94C3-B72DF835B029}" name="Column10532"/>
    <tableColumn id="10560" xr3:uid="{1550C123-B214-408F-BC6D-1AEE3349157A}" name="Column10533"/>
    <tableColumn id="10561" xr3:uid="{AF5B66F1-F1F8-4795-8360-2B2C2F7AE46F}" name="Column10534"/>
    <tableColumn id="10562" xr3:uid="{33CA5478-D366-4E15-A0C2-166413698D59}" name="Column10535"/>
    <tableColumn id="10563" xr3:uid="{70CF46BF-CE4F-4F25-9325-F4DB08AD29E5}" name="Column10536"/>
    <tableColumn id="10564" xr3:uid="{B04E8C39-B6FF-4F64-9491-C191A3B60897}" name="Column10537"/>
    <tableColumn id="10565" xr3:uid="{6093F60B-B28B-45B1-B4DD-4B3FFBA4863A}" name="Column10538"/>
    <tableColumn id="10566" xr3:uid="{4DBFB14C-38D7-403A-BAE4-FC13BE982813}" name="Column10539"/>
    <tableColumn id="10567" xr3:uid="{BCDA36E9-C123-4018-A0A3-4ECD2DDACBC2}" name="Column10540"/>
    <tableColumn id="10568" xr3:uid="{579C5652-2A34-4BF9-BBD6-361A317CFC3E}" name="Column10541"/>
    <tableColumn id="10569" xr3:uid="{E7EA7498-88EE-4C91-AC87-772C6A70687A}" name="Column10542"/>
    <tableColumn id="10570" xr3:uid="{E3A5917C-C8B3-4377-91A1-6D1748CAF08A}" name="Column10543"/>
    <tableColumn id="10571" xr3:uid="{E2BB2EC6-ECA9-4A6C-AA48-AEEE2037B5FF}" name="Column10544"/>
    <tableColumn id="10572" xr3:uid="{8192EFC8-97D5-4802-AFF7-A16FF6E194B1}" name="Column10545"/>
    <tableColumn id="10573" xr3:uid="{E749DBA0-A08A-41D2-8826-64F32187981E}" name="Column10546"/>
    <tableColumn id="10574" xr3:uid="{FEC0DD39-1D26-4FF1-A0A3-EA4F875E8072}" name="Column10547"/>
    <tableColumn id="10575" xr3:uid="{68D96C90-0E68-4434-92CA-9E469E04CCC2}" name="Column10548"/>
    <tableColumn id="10576" xr3:uid="{E292C020-CFF3-435B-A6BC-B0EEC7ABB5F3}" name="Column10549"/>
    <tableColumn id="10577" xr3:uid="{A8A80634-FAF5-4648-8D00-40DF13EF6656}" name="Column10550"/>
    <tableColumn id="10578" xr3:uid="{295E52C6-0D0E-45AD-A71F-B1D1DB62027E}" name="Column10551"/>
    <tableColumn id="10579" xr3:uid="{5C41BBF8-1F30-477E-8839-40E0789722D0}" name="Column10552"/>
    <tableColumn id="10580" xr3:uid="{B5B95B13-6E25-4150-BD36-09FC92206793}" name="Column10553"/>
    <tableColumn id="10581" xr3:uid="{A53DDDDC-BDBF-42E9-A75C-81835212D2B3}" name="Column10554"/>
    <tableColumn id="10582" xr3:uid="{6B11F2A6-EC43-416A-A7CD-C0E9B9FDA0C4}" name="Column10555"/>
    <tableColumn id="10583" xr3:uid="{A4958E72-490E-4023-A3E1-BC27920F84FE}" name="Column10556"/>
    <tableColumn id="10584" xr3:uid="{97B552E7-86F9-4DD9-A62D-37B717069461}" name="Column10557"/>
    <tableColumn id="10585" xr3:uid="{93FAC9A5-F8EB-4454-B6F9-1B208198FA1A}" name="Column10558"/>
    <tableColumn id="10586" xr3:uid="{44850224-90B4-4DD2-92EE-A543F6472AFB}" name="Column10559"/>
    <tableColumn id="10587" xr3:uid="{04DD5F4A-3DE1-4D42-8826-E6E52DC6BE74}" name="Column10560"/>
    <tableColumn id="10588" xr3:uid="{6EAB3626-0E66-4395-AFA0-D3364C0D2515}" name="Column10561"/>
    <tableColumn id="10589" xr3:uid="{C399889B-CC74-4D10-B25E-7820EBB93B70}" name="Column10562"/>
    <tableColumn id="10590" xr3:uid="{D8E958E1-9B2C-4E42-9AFB-A7A0E050C188}" name="Column10563"/>
    <tableColumn id="10591" xr3:uid="{F5CC66BB-B768-4A89-A254-821C74FDBB9B}" name="Column10564"/>
    <tableColumn id="10592" xr3:uid="{DC7D08E6-A68C-4411-AEDA-FC65A74795CE}" name="Column10565"/>
    <tableColumn id="10593" xr3:uid="{FDBA7DBE-5D0C-4F14-88BA-98751ED6A508}" name="Column10566"/>
    <tableColumn id="10594" xr3:uid="{05D8D021-A82F-4B61-AE64-F89063350D88}" name="Column10567"/>
    <tableColumn id="10595" xr3:uid="{F19DCE31-CBA7-450E-9B45-7D535C07A743}" name="Column10568"/>
    <tableColumn id="10596" xr3:uid="{06DED1E3-F44E-481D-A3C8-C9C0E340432F}" name="Column10569"/>
    <tableColumn id="10597" xr3:uid="{B7115713-4161-4703-9610-FD64C5A3EB43}" name="Column10570"/>
    <tableColumn id="10598" xr3:uid="{89F3944B-D014-4832-83D2-E5636393BE1F}" name="Column10571"/>
    <tableColumn id="10599" xr3:uid="{BE329115-9BA0-4969-A78A-A17633A734A8}" name="Column10572"/>
    <tableColumn id="10600" xr3:uid="{0B35D921-792A-493E-BEEC-00A8A532629B}" name="Column10573"/>
    <tableColumn id="10601" xr3:uid="{6462E6E3-7BC4-4B5D-AA90-014FEFBEE38E}" name="Column10574"/>
    <tableColumn id="10602" xr3:uid="{22C5CAB0-E418-4EBC-9289-8EAA1EAC7741}" name="Column10575"/>
    <tableColumn id="10603" xr3:uid="{2284F119-E163-409A-B573-B9E313756833}" name="Column10576"/>
    <tableColumn id="10604" xr3:uid="{64C228EA-F5FC-4D2C-87F4-7C207E86F9B1}" name="Column10577"/>
    <tableColumn id="10605" xr3:uid="{B55946CB-C426-4ECC-98E4-6185EAAE6541}" name="Column10578"/>
    <tableColumn id="10606" xr3:uid="{7FE20EBE-A3DE-46AF-BA96-38D7BBD755D5}" name="Column10579"/>
    <tableColumn id="10607" xr3:uid="{6E6B9BB1-B461-4A4F-B67E-520358A346F1}" name="Column10580"/>
    <tableColumn id="10608" xr3:uid="{EAF6E8BF-82CC-4B67-81A8-B7D623F78287}" name="Column10581"/>
    <tableColumn id="10609" xr3:uid="{0F42D88F-EF44-491F-AF09-2114EE422D0B}" name="Column10582"/>
    <tableColumn id="10610" xr3:uid="{76493F68-1A36-4417-970A-34EE44D52926}" name="Column10583"/>
    <tableColumn id="10611" xr3:uid="{8370276E-C482-403E-8805-07F60DF05B88}" name="Column10584"/>
    <tableColumn id="10612" xr3:uid="{70314234-377E-4835-A4E0-A06B9B50C1A2}" name="Column10585"/>
    <tableColumn id="10613" xr3:uid="{639F6E70-C4A4-4BFC-853B-D34CB654DDE9}" name="Column10586"/>
    <tableColumn id="10614" xr3:uid="{B052E82D-3071-4095-A3AC-CE39D5628737}" name="Column10587"/>
    <tableColumn id="10615" xr3:uid="{F058E058-06CC-4B3E-9671-BFD6539A802D}" name="Column10588"/>
    <tableColumn id="10616" xr3:uid="{768FF80C-CAE4-4B50-9C25-4CE8C3A191B0}" name="Column10589"/>
    <tableColumn id="10617" xr3:uid="{465B877E-5F85-441A-B56F-87867B9607EE}" name="Column10590"/>
    <tableColumn id="10618" xr3:uid="{65A96147-70EC-4342-9887-2385117DFFE5}" name="Column10591"/>
    <tableColumn id="10619" xr3:uid="{1387CF3A-955F-4435-9514-911538073F0F}" name="Column10592"/>
    <tableColumn id="10620" xr3:uid="{1AB30C2A-C83F-464C-9EF6-B5702C94376B}" name="Column10593"/>
    <tableColumn id="10621" xr3:uid="{87674930-3C2B-484D-8745-A59E2AFA08D4}" name="Column10594"/>
    <tableColumn id="10622" xr3:uid="{3A168CC6-3947-49C4-94C4-C2BDE230B904}" name="Column10595"/>
    <tableColumn id="10623" xr3:uid="{9EC5E8DB-7D9E-41C1-8DF9-E98C94B825BD}" name="Column10596"/>
    <tableColumn id="10624" xr3:uid="{D4179708-5EFB-4D61-B50B-322061A82374}" name="Column10597"/>
    <tableColumn id="10625" xr3:uid="{8925D937-63F6-4D7F-AA78-FC4C88A16349}" name="Column10598"/>
    <tableColumn id="10626" xr3:uid="{45C8FE23-66E1-4EB6-B4CD-D006C4B6520C}" name="Column10599"/>
    <tableColumn id="10627" xr3:uid="{AC4A09F7-8E26-4FA9-8A84-AB5903EEA903}" name="Column10600"/>
    <tableColumn id="10628" xr3:uid="{0362F1FF-9AD4-495C-9E6A-66ED212765C8}" name="Column10601"/>
    <tableColumn id="10629" xr3:uid="{5D35C685-50BF-4A2A-AB2C-BD188729903E}" name="Column10602"/>
    <tableColumn id="10630" xr3:uid="{21B5024D-179B-4692-92B9-4B561A5DD553}" name="Column10603"/>
    <tableColumn id="10631" xr3:uid="{6AA58541-73E5-4902-AF89-7776B507ED5C}" name="Column10604"/>
    <tableColumn id="10632" xr3:uid="{9AACC9F6-583E-4D7B-B1E5-1160883A48F3}" name="Column10605"/>
    <tableColumn id="10633" xr3:uid="{7C7C80B9-E7B3-46E3-BAC8-1BD1AF498B19}" name="Column10606"/>
    <tableColumn id="10634" xr3:uid="{58176DD0-C4A7-4A30-94BF-34ADE14F250B}" name="Column10607"/>
    <tableColumn id="10635" xr3:uid="{51BC5DF2-DBCF-4C30-BC6F-D51A37204843}" name="Column10608"/>
    <tableColumn id="10636" xr3:uid="{18B31D62-9A3D-4F72-8F2A-74D945E3817F}" name="Column10609"/>
    <tableColumn id="10637" xr3:uid="{478239EA-6A15-44F7-A812-E0CEC9F717F5}" name="Column10610"/>
    <tableColumn id="10638" xr3:uid="{C3E50EB2-94DA-4FAD-9A01-F03529C53EB2}" name="Column10611"/>
    <tableColumn id="10639" xr3:uid="{C4E32A2D-0397-4293-A34B-3FB054D5935F}" name="Column10612"/>
    <tableColumn id="10640" xr3:uid="{8F9EE106-A0CD-47AD-AE0D-97E150152286}" name="Column10613"/>
    <tableColumn id="10641" xr3:uid="{7E19923B-E324-46D2-9E7A-17E2A328091E}" name="Column10614"/>
    <tableColumn id="10642" xr3:uid="{F916FB7C-39D4-4BDE-9BAC-A878C6343283}" name="Column10615"/>
    <tableColumn id="10643" xr3:uid="{89EA9C89-778D-4AC2-BCC8-D689FF854ACD}" name="Column10616"/>
    <tableColumn id="10644" xr3:uid="{9AA8C3AE-BF21-4720-8FB2-ABAFB675C7B0}" name="Column10617"/>
    <tableColumn id="10645" xr3:uid="{F41AC316-E1BC-484F-809E-769DA5CA0CB3}" name="Column10618"/>
    <tableColumn id="10646" xr3:uid="{A7FDFAEC-6B61-4F62-92FF-DCA2F368CEB2}" name="Column10619"/>
    <tableColumn id="10647" xr3:uid="{B4963008-4DC7-4048-A363-014439CFB468}" name="Column10620"/>
    <tableColumn id="10648" xr3:uid="{2EED124D-4B06-4351-96BE-00A3B5BDB419}" name="Column10621"/>
    <tableColumn id="10649" xr3:uid="{7C4A43D8-9F43-4BDD-AE03-9F350A8864BB}" name="Column10622"/>
    <tableColumn id="10650" xr3:uid="{B627F16B-E6FC-4394-97B2-3C36343CB948}" name="Column10623"/>
    <tableColumn id="10651" xr3:uid="{918EA019-FAF7-4701-BC71-A5033EB42C17}" name="Column10624"/>
    <tableColumn id="10652" xr3:uid="{2BB7F615-6C8E-46ED-ABC8-DE0B6BBF2ACF}" name="Column10625"/>
    <tableColumn id="10653" xr3:uid="{73D6A144-3BFE-4902-9051-16DF39032673}" name="Column10626"/>
    <tableColumn id="10654" xr3:uid="{22E1D2E5-1F88-4CAF-A385-2176659AB3CF}" name="Column10627"/>
    <tableColumn id="10655" xr3:uid="{70CD7178-1185-4332-9F42-9C8BBBE3C9C9}" name="Column10628"/>
    <tableColumn id="10656" xr3:uid="{D2A1DC97-3662-4246-ACAB-4958031C95CA}" name="Column10629"/>
    <tableColumn id="10657" xr3:uid="{883A510D-189E-4992-80FC-487624B40B97}" name="Column10630"/>
    <tableColumn id="10658" xr3:uid="{1A6F2AD5-8F92-4D79-82B9-056BD4D2C937}" name="Column10631"/>
    <tableColumn id="10659" xr3:uid="{E4E51470-DF12-4903-A716-E3E17AE7D01C}" name="Column10632"/>
    <tableColumn id="10660" xr3:uid="{D6A41633-ED8F-47C9-8341-8542099B6BAD}" name="Column10633"/>
    <tableColumn id="10661" xr3:uid="{4007571B-B3CD-421B-82FE-4D8B0EC874CB}" name="Column10634"/>
    <tableColumn id="10662" xr3:uid="{1405F635-7D8F-4862-8FE6-8AE895632CA9}" name="Column10635"/>
    <tableColumn id="10663" xr3:uid="{105AA2F4-FAA9-4946-BCE1-9CEAB22C59F2}" name="Column10636"/>
    <tableColumn id="10664" xr3:uid="{D8CEAAB0-9560-44C3-9209-115C0AA63512}" name="Column10637"/>
    <tableColumn id="10665" xr3:uid="{C0514F1A-2E4F-4F3B-9BC0-E71F21029FD0}" name="Column10638"/>
    <tableColumn id="10666" xr3:uid="{BAD47629-3F67-4F15-B168-72A9EB8A5A8C}" name="Column10639"/>
    <tableColumn id="10667" xr3:uid="{1234BEF5-864F-44E1-A42C-2B7B027E8242}" name="Column10640"/>
    <tableColumn id="10668" xr3:uid="{4B75741C-A28C-42E9-8691-D3846EA9BB4A}" name="Column10641"/>
    <tableColumn id="10669" xr3:uid="{DBA36E6B-3F62-4A7F-B5BC-009C94A33732}" name="Column10642"/>
    <tableColumn id="10670" xr3:uid="{30238B90-DE65-47F9-8F22-57F1D3D3002C}" name="Column10643"/>
    <tableColumn id="10671" xr3:uid="{75F38608-AA4A-422D-87D8-92C5D790F2CD}" name="Column10644"/>
    <tableColumn id="10672" xr3:uid="{E5E666C1-E8F4-4A72-A8A2-F68EA508BF11}" name="Column10645"/>
    <tableColumn id="10673" xr3:uid="{F30E1262-EA09-4A99-B433-E2F891F3312A}" name="Column10646"/>
    <tableColumn id="10674" xr3:uid="{4575F8A9-5110-4955-A718-B70B9716587E}" name="Column10647"/>
    <tableColumn id="10675" xr3:uid="{6F8901B9-16D6-4200-B45C-FFF77E885E4C}" name="Column10648"/>
    <tableColumn id="10676" xr3:uid="{72B484B3-FA79-461F-94E3-3EEB8955DB12}" name="Column10649"/>
    <tableColumn id="10677" xr3:uid="{2780540D-5D06-4D71-99F8-ACDBF83F3750}" name="Column10650"/>
    <tableColumn id="10678" xr3:uid="{D32AFF14-65F4-46B9-BA9B-9C93CCBD9863}" name="Column10651"/>
    <tableColumn id="10679" xr3:uid="{2320743A-938E-4ADA-86C2-96F17556624E}" name="Column10652"/>
    <tableColumn id="10680" xr3:uid="{7E6BAA70-4534-4793-9761-837F45D68187}" name="Column10653"/>
    <tableColumn id="10681" xr3:uid="{D4921C85-AB79-4FE0-A5E1-E21964F4B7E6}" name="Column10654"/>
    <tableColumn id="10682" xr3:uid="{EBC4DFFC-E97B-4520-B6B2-ADFF0B7A5FFD}" name="Column10655"/>
    <tableColumn id="10683" xr3:uid="{71708DB1-409C-4C80-ADDB-EB31EFB875AB}" name="Column10656"/>
    <tableColumn id="10684" xr3:uid="{565D4E19-D7D1-4835-B3D0-7E230F700D40}" name="Column10657"/>
    <tableColumn id="10685" xr3:uid="{43B8B0EE-5EA5-4080-9E39-D0CE6C3F9620}" name="Column10658"/>
    <tableColumn id="10686" xr3:uid="{0E2A1824-4310-4920-9232-3B08B61575B5}" name="Column10659"/>
    <tableColumn id="10687" xr3:uid="{34F90303-449C-4A30-9DBB-7C13AB47E7EC}" name="Column10660"/>
    <tableColumn id="10688" xr3:uid="{D1C6759A-5DC9-4B5E-AED4-9773FBE5F645}" name="Column10661"/>
    <tableColumn id="10689" xr3:uid="{057C6868-BCAF-4B2C-B24B-EED41214BA36}" name="Column10662"/>
    <tableColumn id="10690" xr3:uid="{951A95D4-34CB-412B-A47A-E87BE2E19718}" name="Column10663"/>
    <tableColumn id="10691" xr3:uid="{CF716CAF-9914-4D65-8432-AC718B4B6076}" name="Column10664"/>
    <tableColumn id="10692" xr3:uid="{B3A254CF-0D52-4066-96AA-245924E395E4}" name="Column10665"/>
    <tableColumn id="10693" xr3:uid="{8318577E-CACA-4433-A4EE-4DEB1072D213}" name="Column10666"/>
    <tableColumn id="10694" xr3:uid="{D53EDEEC-7BA8-45AA-8FC3-ED47775EFA23}" name="Column10667"/>
    <tableColumn id="10695" xr3:uid="{8A527197-82D6-4A56-85E0-1207F97A90C3}" name="Column10668"/>
    <tableColumn id="10696" xr3:uid="{2C9FDEF5-1CF4-4884-BA09-837AA93DD971}" name="Column10669"/>
    <tableColumn id="10697" xr3:uid="{F24FF791-D1CD-4E77-9DDB-387617FE0FFE}" name="Column10670"/>
    <tableColumn id="10698" xr3:uid="{85E76AE3-796D-4390-9009-5C413B39E33E}" name="Column10671"/>
    <tableColumn id="10699" xr3:uid="{D6F4AEF0-0D00-4D17-B1A7-4C8B61D090C0}" name="Column10672"/>
    <tableColumn id="10700" xr3:uid="{0F04FBEF-9A26-4C8C-9C83-6026CCA0A76A}" name="Column10673"/>
    <tableColumn id="10701" xr3:uid="{055CD07E-F443-45CD-BD08-C29CC635E02D}" name="Column10674"/>
    <tableColumn id="10702" xr3:uid="{9929893E-8B05-4052-BE2A-5A6F65CE61BF}" name="Column10675"/>
    <tableColumn id="10703" xr3:uid="{3CCE9FB0-953D-4CD7-B810-EDD6E6F33DC2}" name="Column10676"/>
    <tableColumn id="10704" xr3:uid="{136B54C4-4762-4602-BC85-CFFB896D03B8}" name="Column10677"/>
    <tableColumn id="10705" xr3:uid="{0F669D90-A808-4A0D-9EA5-6CE2A218D154}" name="Column10678"/>
    <tableColumn id="10706" xr3:uid="{9C212536-221F-44B2-B58A-AA56BA3673D0}" name="Column10679"/>
    <tableColumn id="10707" xr3:uid="{09B3F4F9-81C2-45CA-BF0D-2090142DF8AD}" name="Column10680"/>
    <tableColumn id="10708" xr3:uid="{82143FE4-F556-4712-BB39-DEEC677D306D}" name="Column10681"/>
    <tableColumn id="10709" xr3:uid="{6B2C3A2A-6E89-444A-8239-1D32063934BF}" name="Column10682"/>
    <tableColumn id="10710" xr3:uid="{2C172EB6-E327-47BD-8B29-585253CDA771}" name="Column10683"/>
    <tableColumn id="10711" xr3:uid="{D86351F6-B9E6-44A8-8500-B86D0A1E3E39}" name="Column10684"/>
    <tableColumn id="10712" xr3:uid="{7F7BA2C3-D00E-4241-9C67-A127C983029E}" name="Column10685"/>
    <tableColumn id="10713" xr3:uid="{2AD74F79-3247-4E76-9846-45E62557F22B}" name="Column10686"/>
    <tableColumn id="10714" xr3:uid="{76DC85B5-8BE1-4DB5-8F9F-53214C56FA5E}" name="Column10687"/>
    <tableColumn id="10715" xr3:uid="{EF86370D-D375-41AD-9554-1F42B5D4A81F}" name="Column10688"/>
    <tableColumn id="10716" xr3:uid="{F7F33A81-1A35-4413-86C8-053EDABD7B62}" name="Column10689"/>
    <tableColumn id="10717" xr3:uid="{C0BA632F-E63B-4D89-8557-EA126CEA4FA0}" name="Column10690"/>
    <tableColumn id="10718" xr3:uid="{B3991CB3-6E07-4933-BF76-E6FC1163F1C1}" name="Column10691"/>
    <tableColumn id="10719" xr3:uid="{2D423201-DA5A-4586-BC1B-829B8D448D8A}" name="Column10692"/>
    <tableColumn id="10720" xr3:uid="{CB702D96-9986-4133-8E06-F8DAAFAE8EB9}" name="Column10693"/>
    <tableColumn id="10721" xr3:uid="{7C1F2C33-F0FD-46DF-92C7-A6A3786ABD44}" name="Column10694"/>
    <tableColumn id="10722" xr3:uid="{3F7E6A82-1B78-415A-8789-158390F6E589}" name="Column10695"/>
    <tableColumn id="10723" xr3:uid="{3FF94C24-1A5D-4093-9AF7-25D16F990A4C}" name="Column10696"/>
    <tableColumn id="10724" xr3:uid="{19738737-6625-4A55-A4CD-5A15BC92B3DC}" name="Column10697"/>
    <tableColumn id="10725" xr3:uid="{3FBCB888-2DBF-4659-A475-FCDA0E60C790}" name="Column10698"/>
    <tableColumn id="10726" xr3:uid="{07BF7EA9-A7DE-45B0-94BA-240216E6923A}" name="Column10699"/>
    <tableColumn id="10727" xr3:uid="{33801097-0DC2-4699-A127-54C242D471B1}" name="Column10700"/>
    <tableColumn id="10728" xr3:uid="{A9BA09C6-181B-4CF8-A9E2-BB10C59D0AB4}" name="Column10701"/>
    <tableColumn id="10729" xr3:uid="{D079BC66-4E39-4539-9F4A-815BABE19780}" name="Column10702"/>
    <tableColumn id="10730" xr3:uid="{7DEED8D8-CDF6-43B1-AEDE-49F22BE73C8F}" name="Column10703"/>
    <tableColumn id="10731" xr3:uid="{AAD30397-F5B2-42FD-8335-9C790D255D73}" name="Column10704"/>
    <tableColumn id="10732" xr3:uid="{33EF355D-34D3-4DBA-9FB9-C31EC134B822}" name="Column10705"/>
    <tableColumn id="10733" xr3:uid="{DA669D03-E868-4BB6-8751-1F6EE96A65C0}" name="Column10706"/>
    <tableColumn id="10734" xr3:uid="{363A876A-46FE-43D3-A08E-89184CB10F30}" name="Column10707"/>
    <tableColumn id="10735" xr3:uid="{1459FC11-B955-462C-A909-1E649F2BDECD}" name="Column10708"/>
    <tableColumn id="10736" xr3:uid="{BCD1406F-4F45-4327-848A-CCBA88C8F99D}" name="Column10709"/>
    <tableColumn id="10737" xr3:uid="{8539411C-4866-4E71-8A89-2E6D43C3D3BE}" name="Column10710"/>
    <tableColumn id="10738" xr3:uid="{63C43581-2F1A-4F50-BD38-413753C02562}" name="Column10711"/>
    <tableColumn id="10739" xr3:uid="{AEF73E67-89BC-46B0-AA9D-EA422F8820B8}" name="Column10712"/>
    <tableColumn id="10740" xr3:uid="{2BD9DE73-CDE2-43DE-8D9F-BB08DE1E15B5}" name="Column10713"/>
    <tableColumn id="10741" xr3:uid="{837FEBFF-DF3F-40F6-B080-695419A78BFA}" name="Column10714"/>
    <tableColumn id="10742" xr3:uid="{C0F37AEE-BF63-4C6D-919D-8C139FA7A04C}" name="Column10715"/>
    <tableColumn id="10743" xr3:uid="{7FE4DF51-22E3-4884-9712-E263485AD8E2}" name="Column10716"/>
    <tableColumn id="10744" xr3:uid="{4DAAC608-7DF8-4978-A22D-53226E7BBC22}" name="Column10717"/>
    <tableColumn id="10745" xr3:uid="{ACAC0FCB-76FF-4F3A-A57D-DCB6683FAF88}" name="Column10718"/>
    <tableColumn id="10746" xr3:uid="{E645FB69-3383-4365-8C27-42C245706479}" name="Column10719"/>
    <tableColumn id="10747" xr3:uid="{6F4ABF94-693F-4B1F-9D82-C7A84E201D10}" name="Column10720"/>
    <tableColumn id="10748" xr3:uid="{A5333F5E-FFE2-49F1-BDBB-49A30F445527}" name="Column10721"/>
    <tableColumn id="10749" xr3:uid="{CE5AD064-5608-41C4-A6DB-31E963C34621}" name="Column10722"/>
    <tableColumn id="10750" xr3:uid="{5AE050C8-B00B-43C6-9B05-9574CECE3066}" name="Column10723"/>
    <tableColumn id="10751" xr3:uid="{D99C12B3-67E0-427D-B471-64DBA40A5170}" name="Column10724"/>
    <tableColumn id="10752" xr3:uid="{8FE73A30-6CF0-47FF-AC55-3BE0519938C1}" name="Column10725"/>
    <tableColumn id="10753" xr3:uid="{11B7DF26-BBE7-472D-BFB6-03CFF8A64B50}" name="Column10726"/>
    <tableColumn id="10754" xr3:uid="{31EFC5D8-ED22-4DFB-A80A-6556391ABFB7}" name="Column10727"/>
    <tableColumn id="10755" xr3:uid="{C5B74FB6-B1AC-40B3-9ABF-26D80AACA694}" name="Column10728"/>
    <tableColumn id="10756" xr3:uid="{E55B8CA5-1CBC-4BAA-81D8-FD2C8D2CA2B6}" name="Column10729"/>
    <tableColumn id="10757" xr3:uid="{4303E0D4-F4B5-458E-87CA-27554D08155E}" name="Column10730"/>
    <tableColumn id="10758" xr3:uid="{741FA710-84C9-468B-A3DA-E5B8F8E6E32F}" name="Column10731"/>
    <tableColumn id="10759" xr3:uid="{6AA3C186-DD14-41E0-A8E7-662799C7DD2D}" name="Column10732"/>
    <tableColumn id="10760" xr3:uid="{D18D1C0E-FCAD-4954-8663-64CAB386E4F2}" name="Column10733"/>
    <tableColumn id="10761" xr3:uid="{C35F4DEE-16DF-49EA-9BDF-37A6C6416C50}" name="Column10734"/>
    <tableColumn id="10762" xr3:uid="{D7D0156F-C814-4A47-978B-7B0019DCF156}" name="Column10735"/>
    <tableColumn id="10763" xr3:uid="{48900632-77A0-4DE0-B6E5-23083D09D50B}" name="Column10736"/>
    <tableColumn id="10764" xr3:uid="{E2A63B6B-6FF8-4DB8-A5B1-4BA7593CE1FD}" name="Column10737"/>
    <tableColumn id="10765" xr3:uid="{7ACB4679-C64A-4722-A5F9-4E07A9ACA2ED}" name="Column10738"/>
    <tableColumn id="10766" xr3:uid="{D826DCED-31AD-4CC6-A247-ED20746483F4}" name="Column10739"/>
    <tableColumn id="10767" xr3:uid="{076741D2-8823-419D-A84B-5F5F060B14D8}" name="Column10740"/>
    <tableColumn id="10768" xr3:uid="{DB998136-C1FA-4A01-8ECB-0CB915780117}" name="Column10741"/>
    <tableColumn id="10769" xr3:uid="{D6C4B7A0-B3E6-4682-8AB0-12CE54F2BBF5}" name="Column10742"/>
    <tableColumn id="10770" xr3:uid="{200843EB-15DE-4150-B2FE-17F63F57DCE3}" name="Column10743"/>
    <tableColumn id="10771" xr3:uid="{1C10E353-40D9-4B2C-A5FD-E4E3AD175B2A}" name="Column10744"/>
    <tableColumn id="10772" xr3:uid="{492C4103-573C-40D9-9B7F-392FE78E3817}" name="Column10745"/>
    <tableColumn id="10773" xr3:uid="{A8BA9847-09E1-45E9-9AD5-A0391F2C0900}" name="Column10746"/>
    <tableColumn id="10774" xr3:uid="{5452D996-FC43-4C8D-83F2-83EEEE04886C}" name="Column10747"/>
    <tableColumn id="10775" xr3:uid="{975AC6F9-061B-4ADE-9758-59C76A651E94}" name="Column10748"/>
    <tableColumn id="10776" xr3:uid="{933B1694-0BBF-4D37-8DE8-4C04EF6BD11E}" name="Column10749"/>
    <tableColumn id="10777" xr3:uid="{64279C53-AAB7-489A-A2A7-220C55E13F83}" name="Column10750"/>
    <tableColumn id="10778" xr3:uid="{CA8DE004-0B74-48F3-BBBF-5DE6D3168793}" name="Column10751"/>
    <tableColumn id="10779" xr3:uid="{669D2C3E-EAC0-4188-8197-DB6DBB364442}" name="Column10752"/>
    <tableColumn id="10780" xr3:uid="{84054E73-80D7-4062-A0E6-4912E52EF6DC}" name="Column10753"/>
    <tableColumn id="10781" xr3:uid="{81272672-A6D5-4582-B0A1-4A57DB06A446}" name="Column10754"/>
    <tableColumn id="10782" xr3:uid="{A622B601-7A1A-4F50-8615-EDBC60B130F0}" name="Column10755"/>
    <tableColumn id="10783" xr3:uid="{7245F69D-5C4C-4715-9B16-DCDF8F499D65}" name="Column10756"/>
    <tableColumn id="10784" xr3:uid="{5ADB9E4E-DE06-4886-BA41-46E1B5254A22}" name="Column10757"/>
    <tableColumn id="10785" xr3:uid="{1D758EDE-F9E2-4E30-8927-E574BC447F63}" name="Column10758"/>
    <tableColumn id="10786" xr3:uid="{986A9750-8497-4223-AB43-3B23E363AFB1}" name="Column10759"/>
    <tableColumn id="10787" xr3:uid="{7CEA7C26-BF3F-4FFC-B1F6-953149666D48}" name="Column10760"/>
    <tableColumn id="10788" xr3:uid="{E25FF8D8-9952-4EBC-AE37-BE3C1698D515}" name="Column10761"/>
    <tableColumn id="10789" xr3:uid="{3CFE0738-C0C1-4BD6-80E9-281B130FA75C}" name="Column10762"/>
    <tableColumn id="10790" xr3:uid="{537B24AA-E99E-4A6A-A7DF-3E2994D785A4}" name="Column10763"/>
    <tableColumn id="10791" xr3:uid="{9ED65D9B-B889-4400-BE86-CBFFE83CC68E}" name="Column10764"/>
    <tableColumn id="10792" xr3:uid="{384DD2E9-8768-420E-A8B7-62CF99F7EFF0}" name="Column10765"/>
    <tableColumn id="10793" xr3:uid="{96297FB0-C5D2-461F-9AA0-D9298DADB588}" name="Column10766"/>
    <tableColumn id="10794" xr3:uid="{447A1341-7E03-4ACD-97D7-6C9D15DBF260}" name="Column10767"/>
    <tableColumn id="10795" xr3:uid="{9C77322D-81AB-4986-B87A-0D6598E26DCB}" name="Column10768"/>
    <tableColumn id="10796" xr3:uid="{5328FD2F-020F-4937-BCE3-CFC6A223370A}" name="Column10769"/>
    <tableColumn id="10797" xr3:uid="{564946C9-0C3E-4C9E-ABDB-98CDE9E63D9D}" name="Column10770"/>
    <tableColumn id="10798" xr3:uid="{2A9BE261-2A08-48EB-958A-891AA44F3702}" name="Column10771"/>
    <tableColumn id="10799" xr3:uid="{B3C5B67C-B4AF-498C-B915-C680350A63A5}" name="Column10772"/>
    <tableColumn id="10800" xr3:uid="{1266AEF5-046F-43F2-BC57-F909DBA054CD}" name="Column10773"/>
    <tableColumn id="10801" xr3:uid="{F8D0F9B2-4593-4C12-B8C5-CB8CBEBEBFB1}" name="Column10774"/>
    <tableColumn id="10802" xr3:uid="{0BE60AF4-CEA5-4538-B86D-79C61EFDF3C0}" name="Column10775"/>
    <tableColumn id="10803" xr3:uid="{94E9BC21-1179-47F5-9996-CC87A621956A}" name="Column10776"/>
    <tableColumn id="10804" xr3:uid="{87207475-FB89-4B72-80C1-9CAAB5118863}" name="Column10777"/>
    <tableColumn id="10805" xr3:uid="{5716AEC0-66B5-4AF8-B3AA-8D8AC2960604}" name="Column10778"/>
    <tableColumn id="10806" xr3:uid="{9FBE47A7-D8BA-4BF3-90F5-6F1CBA4B59D8}" name="Column10779"/>
    <tableColumn id="10807" xr3:uid="{F01E5357-9CB6-4D6E-86D0-5D18EA4D8FDF}" name="Column10780"/>
    <tableColumn id="10808" xr3:uid="{4AAEB70C-80C4-4E0D-842A-F03CBB0624FA}" name="Column10781"/>
    <tableColumn id="10809" xr3:uid="{AE5C4B44-4371-47BC-8E0E-7C03214F3074}" name="Column10782"/>
    <tableColumn id="10810" xr3:uid="{CA02175A-8559-4013-AD53-6729D2B6271C}" name="Column10783"/>
    <tableColumn id="10811" xr3:uid="{267F47CB-E7EB-4A61-86CD-BF16BC578CBB}" name="Column10784"/>
    <tableColumn id="10812" xr3:uid="{93A0E6D3-D5DF-4DF0-94D0-CF162565B17A}" name="Column10785"/>
    <tableColumn id="10813" xr3:uid="{810CDE4F-2563-4C7A-8F39-BC7B2F1FFF56}" name="Column10786"/>
    <tableColumn id="10814" xr3:uid="{C3F3CA59-9E9A-45BE-A7AD-DF52B1F67437}" name="Column10787"/>
    <tableColumn id="10815" xr3:uid="{4F8D2137-D58C-4922-9748-89A3C301F940}" name="Column10788"/>
    <tableColumn id="10816" xr3:uid="{7764FB51-AAD7-4667-B19B-64860572D858}" name="Column10789"/>
    <tableColumn id="10817" xr3:uid="{BCC553D4-5CC0-4D75-B28B-E9413607EE29}" name="Column10790"/>
    <tableColumn id="10818" xr3:uid="{0A70BEB0-AA2A-4A2A-8D85-ACEEBC5BE4D1}" name="Column10791"/>
    <tableColumn id="10819" xr3:uid="{881AD737-9A6B-4170-BF0E-B9ABFCB64B6A}" name="Column10792"/>
    <tableColumn id="10820" xr3:uid="{A9190819-1F2B-4F85-85FA-475A70BC0E1D}" name="Column10793"/>
    <tableColumn id="10821" xr3:uid="{A920C129-3211-4BE5-BD19-33D340D6A236}" name="Column10794"/>
    <tableColumn id="10822" xr3:uid="{588B6111-114F-459D-8F29-38C397DE7FA6}" name="Column10795"/>
    <tableColumn id="10823" xr3:uid="{E5B7060C-B8DD-4284-A4AE-ED1506160AF0}" name="Column10796"/>
    <tableColumn id="10824" xr3:uid="{6D1F9225-F489-46A3-981F-870403F6FE7E}" name="Column10797"/>
    <tableColumn id="10825" xr3:uid="{2A5ABED8-556C-456B-8879-04088A14A106}" name="Column10798"/>
    <tableColumn id="10826" xr3:uid="{E3AA62DC-802C-4854-B3AE-CD95C5F131B7}" name="Column10799"/>
    <tableColumn id="10827" xr3:uid="{1DAD2AFF-525A-4B1E-9CB3-5FEA0C1D694C}" name="Column10800"/>
    <tableColumn id="10828" xr3:uid="{1B85F7E3-94D5-49A6-AF44-24F95E947883}" name="Column10801"/>
    <tableColumn id="10829" xr3:uid="{C3F21FA8-641A-462B-BC46-94FF242A94E6}" name="Column10802"/>
    <tableColumn id="10830" xr3:uid="{788DAE4D-2CBD-48EE-9ABD-C40BF4846B69}" name="Column10803"/>
    <tableColumn id="10831" xr3:uid="{10C0B83A-54BC-4FB9-95FE-DB89854D52E1}" name="Column10804"/>
    <tableColumn id="10832" xr3:uid="{A68673F6-4C2E-4B8A-A8EF-846486016496}" name="Column10805"/>
    <tableColumn id="10833" xr3:uid="{B554104B-FE72-4B49-AF8B-F9172DD6AB04}" name="Column10806"/>
    <tableColumn id="10834" xr3:uid="{3BBB5AF6-5735-42F1-BFAA-B0E7D14C0FBF}" name="Column10807"/>
    <tableColumn id="10835" xr3:uid="{6299AA21-FCBD-4439-8177-9FBDC94CAA6C}" name="Column10808"/>
    <tableColumn id="10836" xr3:uid="{D5DE29C5-D5FB-4019-A2DD-629BD8ABDAE0}" name="Column10809"/>
    <tableColumn id="10837" xr3:uid="{A093D42B-5572-4FDB-B1B3-F55D41408BFF}" name="Column10810"/>
    <tableColumn id="10838" xr3:uid="{C8CA73B1-84CA-4426-ACAB-2161DD3669DB}" name="Column10811"/>
    <tableColumn id="10839" xr3:uid="{9A714D80-9078-40A1-83EA-7089D1DC18A9}" name="Column10812"/>
    <tableColumn id="10840" xr3:uid="{00F0D283-9311-4821-856D-099878F930C7}" name="Column10813"/>
    <tableColumn id="10841" xr3:uid="{94F691BC-9A3D-4E23-BFE2-A9DAB0F5E6A7}" name="Column10814"/>
    <tableColumn id="10842" xr3:uid="{90F49B7D-1DFB-4E39-A743-43B6AA139226}" name="Column10815"/>
    <tableColumn id="10843" xr3:uid="{F3AF8C4A-81A6-4B1E-B5DA-D3899B68A325}" name="Column10816"/>
    <tableColumn id="10844" xr3:uid="{0EE3484D-FCB9-4796-8812-9378AAB207F4}" name="Column10817"/>
    <tableColumn id="10845" xr3:uid="{8190DD70-AE99-455F-A860-67F56F727F47}" name="Column10818"/>
    <tableColumn id="10846" xr3:uid="{2D614D17-FE80-4447-83B5-07A62A14920D}" name="Column10819"/>
    <tableColumn id="10847" xr3:uid="{5757FD00-40B2-4385-B21F-AAAF82C02EAF}" name="Column10820"/>
    <tableColumn id="10848" xr3:uid="{22DE448E-FC5F-4AF8-8BF4-7A2A691A91F1}" name="Column10821"/>
    <tableColumn id="10849" xr3:uid="{CC68D9CE-8E1A-4BC9-B35E-CB8C654AB1A1}" name="Column10822"/>
    <tableColumn id="10850" xr3:uid="{CC10E1FF-F41E-4436-B66F-99E1E66A4AE6}" name="Column10823"/>
    <tableColumn id="10851" xr3:uid="{8650580D-82CF-4459-974E-13864384D79E}" name="Column10824"/>
    <tableColumn id="10852" xr3:uid="{4FCC7772-C8C8-4D95-9EC0-F9A9F51FDAA4}" name="Column10825"/>
    <tableColumn id="10853" xr3:uid="{EA47B2BA-2A06-461F-AE9E-BAC63A39C694}" name="Column10826"/>
    <tableColumn id="10854" xr3:uid="{B0AB0A8C-A98C-4AE1-BD96-E82997C708E5}" name="Column10827"/>
    <tableColumn id="10855" xr3:uid="{A59A7546-5F4D-4ABD-83E8-47F8E558C0EA}" name="Column10828"/>
    <tableColumn id="10856" xr3:uid="{742ADE05-7687-40B8-946B-177E12B4C351}" name="Column10829"/>
    <tableColumn id="10857" xr3:uid="{6215BBC5-4E36-4690-91CE-35190943C7E1}" name="Column10830"/>
    <tableColumn id="10858" xr3:uid="{DA595FA0-9372-403C-B163-F1A0914AD28F}" name="Column10831"/>
    <tableColumn id="10859" xr3:uid="{73B0A196-EBE0-4494-8471-D0A54476D556}" name="Column10832"/>
    <tableColumn id="10860" xr3:uid="{03DEA85B-B5F2-4BAA-851A-8E3790D1FB76}" name="Column10833"/>
    <tableColumn id="10861" xr3:uid="{A87A1CD2-CD3B-4784-B466-09B1AAB16A9D}" name="Column10834"/>
    <tableColumn id="10862" xr3:uid="{B9FC5B39-3003-4D54-9997-764074745B26}" name="Column10835"/>
    <tableColumn id="10863" xr3:uid="{A1F988F2-14AD-4650-B052-5B20D716EB8C}" name="Column10836"/>
    <tableColumn id="10864" xr3:uid="{D1055B60-5FA5-46E6-AFF2-A0BED431F1DA}" name="Column10837"/>
    <tableColumn id="10865" xr3:uid="{382895D3-18E1-4501-BEBA-8B3939E8332E}" name="Column10838"/>
    <tableColumn id="10866" xr3:uid="{EF6B6259-F468-4997-B138-C9CAECA3E85E}" name="Column10839"/>
    <tableColumn id="10867" xr3:uid="{CCB1189F-8877-447B-B22F-5A442C8E752A}" name="Column10840"/>
    <tableColumn id="10868" xr3:uid="{D3A915EB-22CA-49E1-90CA-5F749B40DE33}" name="Column10841"/>
    <tableColumn id="10869" xr3:uid="{0595B904-43C4-43CA-BD14-3DD86CA44CC7}" name="Column10842"/>
    <tableColumn id="10870" xr3:uid="{A8247F09-34A7-4E22-91C9-15568F184BD6}" name="Column10843"/>
    <tableColumn id="10871" xr3:uid="{6E719ABE-EEB3-4F55-ADA5-3A4CBAEF617E}" name="Column10844"/>
    <tableColumn id="10872" xr3:uid="{A4116445-4634-4965-A24C-E0590CDA64CF}" name="Column10845"/>
    <tableColumn id="10873" xr3:uid="{5D5CA675-2B59-4BC6-97F5-BA03BE736269}" name="Column10846"/>
    <tableColumn id="10874" xr3:uid="{34D0544E-BC48-4873-9E78-FAEB18893716}" name="Column10847"/>
    <tableColumn id="10875" xr3:uid="{B9740DB1-BD76-43AA-9E50-FFD56410000A}" name="Column10848"/>
    <tableColumn id="10876" xr3:uid="{8694DB15-C694-4419-8C35-3A0A76A7561A}" name="Column10849"/>
    <tableColumn id="10877" xr3:uid="{04C3972C-86D0-4F39-BDFA-4633BFFC8AF4}" name="Column10850"/>
    <tableColumn id="10878" xr3:uid="{3E4EAB57-F386-47AB-BF25-551D1B42B182}" name="Column10851"/>
    <tableColumn id="10879" xr3:uid="{6649B49A-5338-439D-82F0-DD7E53F6433C}" name="Column10852"/>
    <tableColumn id="10880" xr3:uid="{B932983A-CAEC-46B1-A2C9-720F4814D0BD}" name="Column10853"/>
    <tableColumn id="10881" xr3:uid="{C1CDAA08-1071-4464-A263-BB341CCA6BF2}" name="Column10854"/>
    <tableColumn id="10882" xr3:uid="{8E9056F3-3E2C-431B-B74F-C0CEC5B0EDAC}" name="Column10855"/>
    <tableColumn id="10883" xr3:uid="{7CF729EF-1B23-4E80-8EF8-64F4077D741E}" name="Column10856"/>
    <tableColumn id="10884" xr3:uid="{1AD931F8-2C60-42EB-B59A-DB3E3330FBDE}" name="Column10857"/>
    <tableColumn id="10885" xr3:uid="{FE2AE344-BBC2-4D09-83A4-46EFAC045A15}" name="Column10858"/>
    <tableColumn id="10886" xr3:uid="{2A268A6E-7C04-404D-99AE-24939C82CDEA}" name="Column10859"/>
    <tableColumn id="10887" xr3:uid="{9009607C-96AE-4B7D-8137-273C369F32C3}" name="Column10860"/>
    <tableColumn id="10888" xr3:uid="{F165EC13-3F48-4651-9508-7064E2D7C1FB}" name="Column10861"/>
    <tableColumn id="10889" xr3:uid="{30F5C056-354C-4E97-B97C-535104D36489}" name="Column10862"/>
    <tableColumn id="10890" xr3:uid="{D04E731F-AE6A-4F92-977D-37C216C201A0}" name="Column10863"/>
    <tableColumn id="10891" xr3:uid="{19E898CF-26AB-4010-A709-80266408A51A}" name="Column10864"/>
    <tableColumn id="10892" xr3:uid="{FD63D06B-D4C3-487A-A9D4-D2402AB0DCE8}" name="Column10865"/>
    <tableColumn id="10893" xr3:uid="{6389AEA4-DF70-4223-9C0D-B055D8739445}" name="Column10866"/>
    <tableColumn id="10894" xr3:uid="{3B54E479-A77E-4878-B331-EF050747A285}" name="Column10867"/>
    <tableColumn id="10895" xr3:uid="{10A0662D-358C-4A36-A101-B28300A648F1}" name="Column10868"/>
    <tableColumn id="10896" xr3:uid="{B856153D-F8E9-4FC2-8257-6212468C3AB9}" name="Column10869"/>
    <tableColumn id="10897" xr3:uid="{F9BE1920-198D-4A8B-BCA6-577721A8D31D}" name="Column10870"/>
    <tableColumn id="10898" xr3:uid="{DFDC1378-3581-4A46-B726-6EEF8CC310B4}" name="Column10871"/>
    <tableColumn id="10899" xr3:uid="{A5A87868-20A2-4959-BCD6-868B46AACDE9}" name="Column10872"/>
    <tableColumn id="10900" xr3:uid="{88DD4986-2D09-4A9B-B851-B1694D9DB139}" name="Column10873"/>
    <tableColumn id="10901" xr3:uid="{6EB4DE6A-EC8E-47FE-A23D-3CF527E878C3}" name="Column10874"/>
    <tableColumn id="10902" xr3:uid="{313F2C77-51F2-4119-A4CC-0F126CE714F7}" name="Column10875"/>
    <tableColumn id="10903" xr3:uid="{54147C54-BF63-4B7F-B156-D42DA5251AD2}" name="Column10876"/>
    <tableColumn id="10904" xr3:uid="{0B6AA3D0-3BE2-47CB-A5F5-3FE5D724011C}" name="Column10877"/>
    <tableColumn id="10905" xr3:uid="{378E34DD-6116-4DCA-A2AC-51782B7FB947}" name="Column10878"/>
    <tableColumn id="10906" xr3:uid="{3577DEC1-88A3-4DC9-9BE4-8F2EA3ADB86B}" name="Column10879"/>
    <tableColumn id="10907" xr3:uid="{1A4A3BB2-D413-4158-A609-36A5FE3CE345}" name="Column10880"/>
    <tableColumn id="10908" xr3:uid="{E251143C-38E9-4832-BDBE-78907E465DEA}" name="Column10881"/>
    <tableColumn id="10909" xr3:uid="{315ABA7F-FBAF-468C-8E4C-EFF3CB52146A}" name="Column10882"/>
    <tableColumn id="10910" xr3:uid="{869B7B63-2F2D-4DC5-9D9B-8FA2092B2484}" name="Column10883"/>
    <tableColumn id="10911" xr3:uid="{DD9F9510-1E54-49B9-8D5B-F0C7B0ABBB70}" name="Column10884"/>
    <tableColumn id="10912" xr3:uid="{6A554F88-E124-484E-9454-B303A65977D6}" name="Column10885"/>
    <tableColumn id="10913" xr3:uid="{4BF05383-8B97-4DF7-8870-8F7F8C184A62}" name="Column10886"/>
    <tableColumn id="10914" xr3:uid="{BEC434D9-0F33-4EE6-82FA-F13F35655CDF}" name="Column10887"/>
    <tableColumn id="10915" xr3:uid="{868A8A10-35B6-44C4-AA22-E1451EA44095}" name="Column10888"/>
    <tableColumn id="10916" xr3:uid="{59FB5D16-87A2-4A46-8039-270686D18A42}" name="Column10889"/>
    <tableColumn id="10917" xr3:uid="{0B33121D-74F9-451F-865C-8F77F901CFEC}" name="Column10890"/>
    <tableColumn id="10918" xr3:uid="{5CC9AA67-2D18-4B85-83D4-7970B0EF72B7}" name="Column10891"/>
    <tableColumn id="10919" xr3:uid="{73CCD5FA-E1DD-4E7C-9096-0E74FBDF18CD}" name="Column10892"/>
    <tableColumn id="10920" xr3:uid="{5039D624-E679-45AD-A88E-39C3D4522B73}" name="Column10893"/>
    <tableColumn id="10921" xr3:uid="{F6000903-6261-4797-8C4A-8B93D5110E8D}" name="Column10894"/>
    <tableColumn id="10922" xr3:uid="{AD8CF240-E2D6-4F88-825D-3C87358C506E}" name="Column10895"/>
    <tableColumn id="10923" xr3:uid="{6F96882C-F6E4-40BB-AE15-327AC0E92CDE}" name="Column10896"/>
    <tableColumn id="10924" xr3:uid="{088F3C3D-98F6-49C3-AA54-E68525EBF501}" name="Column10897"/>
    <tableColumn id="10925" xr3:uid="{267B95E4-AAED-44D5-9B77-52F8D522E89E}" name="Column10898"/>
    <tableColumn id="10926" xr3:uid="{20D838F6-1842-4D9E-8714-F85E9E81DF9A}" name="Column10899"/>
    <tableColumn id="10927" xr3:uid="{1FEE9B44-33C2-479A-A368-4F60BA4A2700}" name="Column10900"/>
    <tableColumn id="10928" xr3:uid="{040E2AA2-25DF-4E87-8999-200F45A3AFCD}" name="Column10901"/>
    <tableColumn id="10929" xr3:uid="{135CAD46-C166-41C9-9657-C8DE79A902DF}" name="Column10902"/>
    <tableColumn id="10930" xr3:uid="{029E4497-DF73-4544-8A62-2FBBC58910A6}" name="Column10903"/>
    <tableColumn id="10931" xr3:uid="{9462CEDA-1B04-48B9-BDCD-78328CDE920F}" name="Column10904"/>
    <tableColumn id="10932" xr3:uid="{071BB851-9370-40F3-8DE4-E0E548AF1B09}" name="Column10905"/>
    <tableColumn id="10933" xr3:uid="{F57C81E6-8867-414E-A977-099BAE6E36A9}" name="Column10906"/>
    <tableColumn id="10934" xr3:uid="{C599876D-1CBE-4700-BF45-06D28558C73A}" name="Column10907"/>
    <tableColumn id="10935" xr3:uid="{C5C41F20-0E34-48DC-AFE4-A42ECB43EBC8}" name="Column10908"/>
    <tableColumn id="10936" xr3:uid="{A92AC586-C0B7-4F02-83C1-3340E3F31ED3}" name="Column10909"/>
    <tableColumn id="10937" xr3:uid="{0B6E0ED4-A4B0-4A74-942F-6D7E26789569}" name="Column10910"/>
    <tableColumn id="10938" xr3:uid="{6C5FA4BE-7C94-483A-AF42-E79FC4BCCB18}" name="Column10911"/>
    <tableColumn id="10939" xr3:uid="{C702413D-ABE4-4A0B-A899-6B0D0D1F5623}" name="Column10912"/>
    <tableColumn id="10940" xr3:uid="{658EB543-0A70-4F1A-93DE-E38373E8525A}" name="Column10913"/>
    <tableColumn id="10941" xr3:uid="{39AC2145-0C4A-4B39-A03C-4E6AC32B25F2}" name="Column10914"/>
    <tableColumn id="10942" xr3:uid="{66C52E57-811B-41D6-9953-A0640B9514EF}" name="Column10915"/>
    <tableColumn id="10943" xr3:uid="{6E81C35D-5084-49DA-8633-1AC65F647131}" name="Column10916"/>
    <tableColumn id="10944" xr3:uid="{359868F8-56D0-4587-8BD6-5F91589C036E}" name="Column10917"/>
    <tableColumn id="10945" xr3:uid="{32EBD487-ED31-4972-A622-C5AF114727F0}" name="Column10918"/>
    <tableColumn id="10946" xr3:uid="{1C4CFDFA-FB99-45C6-A41A-3071FD4FA0CE}" name="Column10919"/>
    <tableColumn id="10947" xr3:uid="{9380233C-FE7B-4D8C-82F4-BC261D756818}" name="Column10920"/>
    <tableColumn id="10948" xr3:uid="{60838DFC-53DB-41B7-A6A6-49213D00A56A}" name="Column10921"/>
    <tableColumn id="10949" xr3:uid="{52132D55-EADE-4664-9236-F329AB2260A6}" name="Column10922"/>
    <tableColumn id="10950" xr3:uid="{757BC7F5-DC6C-4837-B807-C8371D968C51}" name="Column10923"/>
    <tableColumn id="10951" xr3:uid="{B765989A-9088-479E-98CF-674A87BBF965}" name="Column10924"/>
    <tableColumn id="10952" xr3:uid="{9FDF4B49-352F-41E4-93B3-9F5E7A932467}" name="Column10925"/>
    <tableColumn id="10953" xr3:uid="{EF48BA0C-B469-4705-BA62-62B6DDD2426C}" name="Column10926"/>
    <tableColumn id="10954" xr3:uid="{B52D34FB-07BE-4C38-952C-43F96251A4F3}" name="Column10927"/>
    <tableColumn id="10955" xr3:uid="{839ECDE5-09BA-4456-B675-3B86C005A4A0}" name="Column10928"/>
    <tableColumn id="10956" xr3:uid="{C63E0BCD-8230-4E19-80DA-A14DB4E7728D}" name="Column10929"/>
    <tableColumn id="10957" xr3:uid="{0ECBC5C2-B3AA-487F-A400-1B4FA696EEC0}" name="Column10930"/>
    <tableColumn id="10958" xr3:uid="{A6FC64D6-7135-4A7F-8FE9-2710B7D4F1E0}" name="Column10931"/>
    <tableColumn id="10959" xr3:uid="{8A99F032-BE72-4289-8BE1-327A8C6921D7}" name="Column10932"/>
    <tableColumn id="10960" xr3:uid="{8511DD6E-0529-4BF5-98A2-69E09267028B}" name="Column10933"/>
    <tableColumn id="10961" xr3:uid="{F5F6D2E3-0EF2-47B7-9E61-B2C14750F3F9}" name="Column10934"/>
    <tableColumn id="10962" xr3:uid="{D931523A-4F5F-4314-A80D-FB1EB665FCB2}" name="Column10935"/>
    <tableColumn id="10963" xr3:uid="{8B395017-2020-4FA7-823A-07CFCA360A72}" name="Column10936"/>
    <tableColumn id="10964" xr3:uid="{329C2079-FAAA-4117-ABE8-FF7E06E0CDF7}" name="Column10937"/>
    <tableColumn id="10965" xr3:uid="{2115D311-ACAA-4A53-BDBE-EAFF71F0C327}" name="Column10938"/>
    <tableColumn id="10966" xr3:uid="{CAD49A97-D9E0-4EF4-BB12-C2DB1C228F7B}" name="Column10939"/>
    <tableColumn id="10967" xr3:uid="{B865AB58-D026-4276-AF85-BBC158ACC42C}" name="Column10940"/>
    <tableColumn id="10968" xr3:uid="{187C07BA-051C-4CF4-B1A8-41F9ED6374F9}" name="Column10941"/>
    <tableColumn id="10969" xr3:uid="{64FD2B95-C59B-4186-B4C9-8FB498F0EAE7}" name="Column10942"/>
    <tableColumn id="10970" xr3:uid="{CCB046CE-9D4B-4054-A7F8-33C652CAE659}" name="Column10943"/>
    <tableColumn id="10971" xr3:uid="{13910BAD-2DA5-4721-827F-A2BE3FD54E94}" name="Column10944"/>
    <tableColumn id="10972" xr3:uid="{2207756C-5EA8-4C19-8395-B565DAEFDC51}" name="Column10945"/>
    <tableColumn id="10973" xr3:uid="{56C34C17-AD4F-47C5-A9C3-6DA9C8BFF5B0}" name="Column10946"/>
    <tableColumn id="10974" xr3:uid="{D880BACD-BC90-4A48-AABE-8B3232BB7443}" name="Column10947"/>
    <tableColumn id="10975" xr3:uid="{AC88A660-CA84-4FE6-A3B8-799EFCCB2A1A}" name="Column10948"/>
    <tableColumn id="10976" xr3:uid="{A294C5C3-F944-4CEC-BC70-9AB776F4D29D}" name="Column10949"/>
    <tableColumn id="10977" xr3:uid="{3F1024E1-0358-4C5C-A2BE-54D11C3CEBE9}" name="Column10950"/>
    <tableColumn id="10978" xr3:uid="{0642F7A7-1E04-4CC7-9A62-DDD5ED798D8F}" name="Column10951"/>
    <tableColumn id="10979" xr3:uid="{B5C4D9DD-252E-41FD-9B1C-A3768A214ECF}" name="Column10952"/>
    <tableColumn id="10980" xr3:uid="{9B17714C-9F39-43C5-96EF-9871802EBE84}" name="Column10953"/>
    <tableColumn id="10981" xr3:uid="{0233E638-66A2-4542-A08C-FD7D3BABB99C}" name="Column10954"/>
    <tableColumn id="10982" xr3:uid="{923FA07D-5363-459B-A122-D9AD606AF0AD}" name="Column10955"/>
    <tableColumn id="10983" xr3:uid="{4BC7F51F-D363-4608-B9A5-ACFE38D1B498}" name="Column10956"/>
    <tableColumn id="10984" xr3:uid="{773F0DD0-3511-4BB3-9643-79E19E32E10E}" name="Column10957"/>
    <tableColumn id="10985" xr3:uid="{C0330C62-9967-4380-879C-FD635C98A6D0}" name="Column10958"/>
    <tableColumn id="10986" xr3:uid="{C3589C1E-BE96-4F5E-838B-E57FAB45BFEA}" name="Column10959"/>
    <tableColumn id="10987" xr3:uid="{0374011C-A24A-423F-88AE-09516CA1A8B8}" name="Column10960"/>
    <tableColumn id="10988" xr3:uid="{6424AC05-14C3-448F-9531-FF10D4DB00BC}" name="Column10961"/>
    <tableColumn id="10989" xr3:uid="{D1666F8A-4EC3-416D-A9F7-8B45D4FCA0D7}" name="Column10962"/>
    <tableColumn id="10990" xr3:uid="{F5BA2ACB-DE3C-4542-A230-3254649DA009}" name="Column10963"/>
    <tableColumn id="10991" xr3:uid="{A45B546B-D690-406D-BCB5-608EE80F672F}" name="Column10964"/>
    <tableColumn id="10992" xr3:uid="{D21584FD-53CB-4BD8-8D90-1F792C5511A0}" name="Column10965"/>
    <tableColumn id="10993" xr3:uid="{7A08A0C6-27F6-4796-B85D-10F4E4588353}" name="Column10966"/>
    <tableColumn id="10994" xr3:uid="{8E8F5A6C-732F-4332-AB5C-72503F7D7CA2}" name="Column10967"/>
    <tableColumn id="10995" xr3:uid="{F2A311C6-1AED-4A6E-8B60-3A0097086271}" name="Column10968"/>
    <tableColumn id="10996" xr3:uid="{0E00C7A6-422A-45EA-A26F-3E00177FBC89}" name="Column10969"/>
    <tableColumn id="10997" xr3:uid="{EB393593-52E3-425C-B286-91E70734CAF0}" name="Column10970"/>
    <tableColumn id="10998" xr3:uid="{B32A8555-BA8C-47AD-AE22-D0469FB1E887}" name="Column10971"/>
    <tableColumn id="10999" xr3:uid="{C385F0E4-E7CB-40C6-924A-2FA613711B7D}" name="Column10972"/>
    <tableColumn id="11000" xr3:uid="{F80E1AD6-6758-4C58-9353-C36353E74D2E}" name="Column10973"/>
    <tableColumn id="11001" xr3:uid="{2A957C41-C3ED-48F1-A708-0078DB3BDBC1}" name="Column10974"/>
    <tableColumn id="11002" xr3:uid="{AC523111-3CC4-4A72-BCDA-41EE10EE2C4E}" name="Column10975"/>
    <tableColumn id="11003" xr3:uid="{02FAF779-EEA9-428F-AC9B-E9F92474B180}" name="Column10976"/>
    <tableColumn id="11004" xr3:uid="{879790E8-F875-4EE6-97AE-086928FCBA4C}" name="Column10977"/>
    <tableColumn id="11005" xr3:uid="{B1F32970-E74B-47F4-B2AF-2E52D8032B4F}" name="Column10978"/>
    <tableColumn id="11006" xr3:uid="{BAD4F614-EBD0-4915-8E6C-2F974BC29BE9}" name="Column10979"/>
    <tableColumn id="11007" xr3:uid="{43C0F41D-CCF4-4319-B27E-54C9B8DD0A9E}" name="Column10980"/>
    <tableColumn id="11008" xr3:uid="{B887A2F6-F687-45A2-AA27-29E355A8E857}" name="Column10981"/>
    <tableColumn id="11009" xr3:uid="{7F573887-232C-42D3-9880-984B755750AD}" name="Column10982"/>
    <tableColumn id="11010" xr3:uid="{B9A3DDC8-EF69-44D9-AFC9-CC86601173C3}" name="Column10983"/>
    <tableColumn id="11011" xr3:uid="{93A25190-47D0-422D-9B1E-9D16BF8C3F84}" name="Column10984"/>
    <tableColumn id="11012" xr3:uid="{92E01A52-85D7-4123-A73F-FF07A087DB16}" name="Column10985"/>
    <tableColumn id="11013" xr3:uid="{19219804-9FDA-4347-81E8-8B14B1BF091B}" name="Column10986"/>
    <tableColumn id="11014" xr3:uid="{D2C55D0A-6CD6-4C55-B6D1-639A89B80FBE}" name="Column10987"/>
    <tableColumn id="11015" xr3:uid="{43204C3E-D8C2-4DA4-AE31-C49E4A4D6283}" name="Column10988"/>
    <tableColumn id="11016" xr3:uid="{E6C3AEAE-E081-48CD-8519-6B6799579C95}" name="Column10989"/>
    <tableColumn id="11017" xr3:uid="{75A8EBF6-7864-4C68-AEEF-D51575B1549B}" name="Column10990"/>
    <tableColumn id="11018" xr3:uid="{09C76FAE-2A53-48DC-9463-601AE5132D1D}" name="Column10991"/>
    <tableColumn id="11019" xr3:uid="{76A6B678-587C-4431-90A0-5FD50E4B4A0D}" name="Column10992"/>
    <tableColumn id="11020" xr3:uid="{EA9A7E39-A4D1-46F0-A1AA-3773DA4B7C67}" name="Column10993"/>
    <tableColumn id="11021" xr3:uid="{F5D1FA10-5DD6-415D-815B-C4D6A5240E08}" name="Column10994"/>
    <tableColumn id="11022" xr3:uid="{7527696A-E472-44C9-8769-A418559A4E37}" name="Column10995"/>
    <tableColumn id="11023" xr3:uid="{ACED4570-DF91-4616-A8FA-0054D95A8CFA}" name="Column10996"/>
    <tableColumn id="11024" xr3:uid="{255AD0ED-6BA8-4E51-B2AF-AC86CA04025E}" name="Column10997"/>
    <tableColumn id="11025" xr3:uid="{E64523B0-5A5E-4B30-B34A-794364C22202}" name="Column10998"/>
    <tableColumn id="11026" xr3:uid="{D24D18F3-F45A-4BC3-8283-54A8BDA527D6}" name="Column10999"/>
    <tableColumn id="11027" xr3:uid="{572FD42C-BCEC-4728-B2AE-BE174F0D6C65}" name="Column11000"/>
    <tableColumn id="11028" xr3:uid="{535C79F6-3BE3-417F-9ABB-2274153C41F0}" name="Column11001"/>
    <tableColumn id="11029" xr3:uid="{BE97F9D1-0836-4F99-8A4C-88DF543F23B2}" name="Column11002"/>
    <tableColumn id="11030" xr3:uid="{5FD4A842-5EA4-42EC-90E9-B1B3012422D1}" name="Column11003"/>
    <tableColumn id="11031" xr3:uid="{4184CE7F-0796-461D-9D80-FBB5829750A2}" name="Column11004"/>
    <tableColumn id="11032" xr3:uid="{F1B14379-B918-48C2-9A16-2E2299DA262F}" name="Column11005"/>
    <tableColumn id="11033" xr3:uid="{1343141E-D584-493D-8C8C-BD53D725FA83}" name="Column11006"/>
    <tableColumn id="11034" xr3:uid="{9C48DF7C-0C15-4255-BD72-707219834362}" name="Column11007"/>
    <tableColumn id="11035" xr3:uid="{4AE3DBB0-D161-4EB9-89E3-C4248CA8781D}" name="Column11008"/>
    <tableColumn id="11036" xr3:uid="{815F5BC8-6A7B-4BA0-9364-458DAEED554E}" name="Column11009"/>
    <tableColumn id="11037" xr3:uid="{04A22618-52D9-4915-9D8D-8138901270E5}" name="Column11010"/>
    <tableColumn id="11038" xr3:uid="{6F3FD463-E5FF-469C-947D-E7CFFE9389FD}" name="Column11011"/>
    <tableColumn id="11039" xr3:uid="{B3CDF3A4-298D-4D6B-B46B-14A3623F246B}" name="Column11012"/>
    <tableColumn id="11040" xr3:uid="{619FE7E3-6735-4270-A0C3-6917695AA7B7}" name="Column11013"/>
    <tableColumn id="11041" xr3:uid="{E2344D29-6823-4B6C-A25B-03BBF4425C76}" name="Column11014"/>
    <tableColumn id="11042" xr3:uid="{B886A04E-3F2A-40C9-9ADE-045FDA1348F2}" name="Column11015"/>
    <tableColumn id="11043" xr3:uid="{D2FE5E24-B00C-4344-BEEC-21C404ECFD7C}" name="Column11016"/>
    <tableColumn id="11044" xr3:uid="{96D7E4D1-CD39-4F17-8C2F-EC62297C33C5}" name="Column11017"/>
    <tableColumn id="11045" xr3:uid="{279735DA-CCD1-4F72-B738-B0B61C9B768D}" name="Column11018"/>
    <tableColumn id="11046" xr3:uid="{823CCC00-4A8F-4A76-A958-C7DA2031807F}" name="Column11019"/>
    <tableColumn id="11047" xr3:uid="{F5CADEBC-1B48-4DB0-9BDA-FA0060A5A68A}" name="Column11020"/>
    <tableColumn id="11048" xr3:uid="{7431B9C2-2E03-48F8-B093-2CD375EB988F}" name="Column11021"/>
    <tableColumn id="11049" xr3:uid="{8B6E53E0-C9FE-4AAF-BFE5-AF726F3E3E44}" name="Column11022"/>
    <tableColumn id="11050" xr3:uid="{5B6FD5B0-F8C2-43C1-8A16-4D5F78B3048F}" name="Column11023"/>
    <tableColumn id="11051" xr3:uid="{08576B34-0085-4B98-9366-992BC70DD49D}" name="Column11024"/>
    <tableColumn id="11052" xr3:uid="{85D7BA9B-E9A6-4178-9D35-26BEA3254E19}" name="Column11025"/>
    <tableColumn id="11053" xr3:uid="{2824B9F4-FC44-43A7-A153-9B113FBC9B41}" name="Column11026"/>
    <tableColumn id="11054" xr3:uid="{164E9079-AAA5-427C-B4E0-A13388FE4285}" name="Column11027"/>
    <tableColumn id="11055" xr3:uid="{6DF9953C-4A38-4A03-8568-C88C10851111}" name="Column11028"/>
    <tableColumn id="11056" xr3:uid="{EF6DF1A7-078D-48A7-96CC-AAD9A0F7A50F}" name="Column11029"/>
    <tableColumn id="11057" xr3:uid="{11B421EE-001C-4A81-B3FC-7FDD3171C585}" name="Column11030"/>
    <tableColumn id="11058" xr3:uid="{411DC5DA-2AB8-423B-9C6E-F9E47E33E02E}" name="Column11031"/>
    <tableColumn id="11059" xr3:uid="{A7007A0A-7ECF-4F00-9547-4BD4B9AEA27B}" name="Column11032"/>
    <tableColumn id="11060" xr3:uid="{BE235C5D-2123-44EB-872C-E3697B258DCE}" name="Column11033"/>
    <tableColumn id="11061" xr3:uid="{3A512B45-A04E-423F-8999-6EE22CF68AA7}" name="Column11034"/>
    <tableColumn id="11062" xr3:uid="{1B1CE477-8713-4F63-A304-1F1B3A5B1829}" name="Column11035"/>
    <tableColumn id="11063" xr3:uid="{82CC1AEB-AFDA-4A14-AB9D-7AA1E1560360}" name="Column11036"/>
    <tableColumn id="11064" xr3:uid="{5BDEBE49-DE01-456B-A6B3-B131EB4CB6E3}" name="Column11037"/>
    <tableColumn id="11065" xr3:uid="{7C54FF39-1C12-46D4-83DE-008C04A48CA9}" name="Column11038"/>
    <tableColumn id="11066" xr3:uid="{FE02CCB9-D82B-4258-AA60-7B8D060661A7}" name="Column11039"/>
    <tableColumn id="11067" xr3:uid="{53A4B982-2147-4923-8B23-CCAB50F38F23}" name="Column11040"/>
    <tableColumn id="11068" xr3:uid="{11784F28-C8B4-4C74-8286-99ABB0E0D217}" name="Column11041"/>
    <tableColumn id="11069" xr3:uid="{9A32DD58-74E0-45E7-AE47-8CCF016A79DA}" name="Column11042"/>
    <tableColumn id="11070" xr3:uid="{8384E81B-575D-4EE8-A471-D883AA4D3608}" name="Column11043"/>
    <tableColumn id="11071" xr3:uid="{C2F3A403-F9C0-4FFC-9268-2CBCA74D26BE}" name="Column11044"/>
    <tableColumn id="11072" xr3:uid="{FC67FB20-0139-4E4F-A1CC-DAC9558A15B6}" name="Column11045"/>
    <tableColumn id="11073" xr3:uid="{DC8DA623-BC18-4CF5-8A07-C8FCA191DD8C}" name="Column11046"/>
    <tableColumn id="11074" xr3:uid="{EA1F9EED-B9E0-4DAF-B594-1A64813AEA80}" name="Column11047"/>
    <tableColumn id="11075" xr3:uid="{63294AEC-E20B-4E14-AE80-5002F4E817EF}" name="Column11048"/>
    <tableColumn id="11076" xr3:uid="{8BCE6E26-01ED-4898-8B44-07127B4B5306}" name="Column11049"/>
    <tableColumn id="11077" xr3:uid="{A1CDE008-C974-4A83-AE2F-F97084E399B5}" name="Column11050"/>
    <tableColumn id="11078" xr3:uid="{7052B78C-290B-42E0-B441-184FC871B11E}" name="Column11051"/>
    <tableColumn id="11079" xr3:uid="{FDAB0C5A-A5B6-4B83-A972-35524C4E4280}" name="Column11052"/>
    <tableColumn id="11080" xr3:uid="{D905FCEC-ABF6-4001-A132-8D87F9CE5FA4}" name="Column11053"/>
    <tableColumn id="11081" xr3:uid="{6A31788E-EAEB-4290-9791-C7BCF9DE9D3B}" name="Column11054"/>
    <tableColumn id="11082" xr3:uid="{15C83A58-34EF-4F97-8D2B-57FF928C6E1D}" name="Column11055"/>
    <tableColumn id="11083" xr3:uid="{29A1E8FB-8C40-4065-9F8D-C3AE844B804C}" name="Column11056"/>
    <tableColumn id="11084" xr3:uid="{C7F87EE9-C6BA-414F-9099-57F8C7B72B96}" name="Column11057"/>
    <tableColumn id="11085" xr3:uid="{8C7AACF4-1B09-41B3-9B6F-B6A992D0D66F}" name="Column11058"/>
    <tableColumn id="11086" xr3:uid="{B1E8CA93-A8D2-429A-BB41-A4A4B69A10AA}" name="Column11059"/>
    <tableColumn id="11087" xr3:uid="{ABCA1999-DC49-4009-981D-B6B86E240A08}" name="Column11060"/>
    <tableColumn id="11088" xr3:uid="{A5085433-370A-4424-9B7F-241D7EB9DD0B}" name="Column11061"/>
    <tableColumn id="11089" xr3:uid="{C8535EFE-28B2-4EDC-A284-02D51FBE2EBB}" name="Column11062"/>
    <tableColumn id="11090" xr3:uid="{5240FC85-4572-4430-8173-7C9F96B97E89}" name="Column11063"/>
    <tableColumn id="11091" xr3:uid="{1D07BF44-1FA1-4688-BE81-6DEF2CBB7EBF}" name="Column11064"/>
    <tableColumn id="11092" xr3:uid="{A5E4586A-3B1E-477C-8C7D-A9411A355296}" name="Column11065"/>
    <tableColumn id="11093" xr3:uid="{EFAE02A8-B398-472B-BD68-80E659E137F6}" name="Column11066"/>
    <tableColumn id="11094" xr3:uid="{DC17F095-13C1-463F-A6DA-84B6211B8CBF}" name="Column11067"/>
    <tableColumn id="11095" xr3:uid="{3FE39686-F4D4-4CD2-9D82-362372FF9794}" name="Column11068"/>
    <tableColumn id="11096" xr3:uid="{7B38A934-B2D3-40EC-86F7-89ED8F1E89E3}" name="Column11069"/>
    <tableColumn id="11097" xr3:uid="{E35E2679-CDDF-429B-AF03-DE42A76F902A}" name="Column11070"/>
    <tableColumn id="11098" xr3:uid="{2C7C1331-951E-462E-8B6A-364E48884FB0}" name="Column11071"/>
    <tableColumn id="11099" xr3:uid="{85C888BA-0B12-418D-AF8C-460F4E5E8758}" name="Column11072"/>
    <tableColumn id="11100" xr3:uid="{6123CF86-C649-4D49-81B2-D12BA72D1327}" name="Column11073"/>
    <tableColumn id="11101" xr3:uid="{AF4A84F5-2AE7-44CE-A626-B96FD74F37FA}" name="Column11074"/>
    <tableColumn id="11102" xr3:uid="{2D3E3F0B-4F66-450A-8C51-7E69F5C6FB3B}" name="Column11075"/>
    <tableColumn id="11103" xr3:uid="{127A1D5E-FAD6-451E-91D8-7448BDACB266}" name="Column11076"/>
    <tableColumn id="11104" xr3:uid="{A09639B1-BCCA-424A-A6ED-1CF14287832F}" name="Column11077"/>
    <tableColumn id="11105" xr3:uid="{7CE2E76F-143A-469D-8786-DA756043BE11}" name="Column11078"/>
    <tableColumn id="11106" xr3:uid="{C4682C55-874F-454B-9B39-82D016E4CB47}" name="Column11079"/>
    <tableColumn id="11107" xr3:uid="{8B5A4870-4D0E-4631-AD21-408018F432E0}" name="Column11080"/>
    <tableColumn id="11108" xr3:uid="{0C39F007-2EED-432C-A0EA-9A5388E39FB9}" name="Column11081"/>
    <tableColumn id="11109" xr3:uid="{290200FB-052C-4FAA-8BF0-3B7270F7DFDE}" name="Column11082"/>
    <tableColumn id="11110" xr3:uid="{D8FF3C83-BDE3-43C2-93EA-9E3C6D5897B1}" name="Column11083"/>
    <tableColumn id="11111" xr3:uid="{C5401309-5FC6-41A8-9312-E300B1FA99DC}" name="Column11084"/>
    <tableColumn id="11112" xr3:uid="{4E696BFE-A6C8-4A2E-AC54-3E6515E0E7C9}" name="Column11085"/>
    <tableColumn id="11113" xr3:uid="{2AF4FF49-8D72-4786-8BAF-3EECBA0732B1}" name="Column11086"/>
    <tableColumn id="11114" xr3:uid="{3847BEBF-D4FF-4EFA-BC24-D3CF5C40CCCA}" name="Column11087"/>
    <tableColumn id="11115" xr3:uid="{B626440D-A4AF-4ACA-AA43-80AA17E483CB}" name="Column11088"/>
    <tableColumn id="11116" xr3:uid="{33314F6D-FB64-452C-A626-ECBEBEFDF189}" name="Column11089"/>
    <tableColumn id="11117" xr3:uid="{2404F7BF-8B53-413B-9B87-918B750387D6}" name="Column11090"/>
    <tableColumn id="11118" xr3:uid="{E47B1C9D-B5C1-4330-9251-3140813A8F6D}" name="Column11091"/>
    <tableColumn id="11119" xr3:uid="{14EF48AE-86DB-49FF-A994-C0A679A9ED9E}" name="Column11092"/>
    <tableColumn id="11120" xr3:uid="{C902CE6C-AD25-4BDC-B103-FB7463041067}" name="Column11093"/>
    <tableColumn id="11121" xr3:uid="{8E9D50AF-D4BF-4F7C-9922-8E5AB2825CEF}" name="Column11094"/>
    <tableColumn id="11122" xr3:uid="{D3D05F92-7AEA-4E87-A18F-DD3750469596}" name="Column11095"/>
    <tableColumn id="11123" xr3:uid="{DE624E82-A9B3-4824-88E0-866A7AA73709}" name="Column11096"/>
    <tableColumn id="11124" xr3:uid="{3749C431-DB72-45D2-A197-B73C829B3340}" name="Column11097"/>
    <tableColumn id="11125" xr3:uid="{8914966D-D355-44B4-B13F-0EED20240911}" name="Column11098"/>
    <tableColumn id="11126" xr3:uid="{5DD5EECE-C894-49F8-ADDB-C666344A9FE2}" name="Column11099"/>
    <tableColumn id="11127" xr3:uid="{7983EC94-99DD-4444-86EC-5ED129D9D114}" name="Column11100"/>
    <tableColumn id="11128" xr3:uid="{D9B3B2C4-596A-4F77-8E7D-114D9D757FE8}" name="Column11101"/>
    <tableColumn id="11129" xr3:uid="{6B7A5A75-CAC8-4D18-810E-F3B3D5E4C7BF}" name="Column11102"/>
    <tableColumn id="11130" xr3:uid="{BFFD8F78-1440-4751-958C-9EEC052B5BDF}" name="Column11103"/>
    <tableColumn id="11131" xr3:uid="{CE23C83D-F72A-4D9C-B839-742120E65B74}" name="Column11104"/>
    <tableColumn id="11132" xr3:uid="{942F3E19-2588-4C3C-8344-63250B530B71}" name="Column11105"/>
    <tableColumn id="11133" xr3:uid="{65B7402E-8BAF-4226-91A8-460CAA0D418B}" name="Column11106"/>
    <tableColumn id="11134" xr3:uid="{88E82FA7-4272-49D8-816A-D9A9AFE444C2}" name="Column11107"/>
    <tableColumn id="11135" xr3:uid="{495C87FB-E7FA-435B-B6BA-44E92D080EA8}" name="Column11108"/>
    <tableColumn id="11136" xr3:uid="{B301322F-4A77-41EB-88F0-2F14D4FFD8E7}" name="Column11109"/>
    <tableColumn id="11137" xr3:uid="{7A126634-9D0D-4A6B-8421-566849075001}" name="Column11110"/>
    <tableColumn id="11138" xr3:uid="{B3198334-13B9-4E62-B56F-F32BF11BAD28}" name="Column11111"/>
    <tableColumn id="11139" xr3:uid="{7748FF78-31A3-4A9C-9645-5BFA439D685E}" name="Column11112"/>
    <tableColumn id="11140" xr3:uid="{61AAD580-53DF-4F72-8843-C847B4D1BA4B}" name="Column11113"/>
    <tableColumn id="11141" xr3:uid="{0B4529EC-B027-4AC5-AE22-020B44AE884A}" name="Column11114"/>
    <tableColumn id="11142" xr3:uid="{487561EE-CFD5-4BBB-B8C6-801F0A247BE8}" name="Column11115"/>
    <tableColumn id="11143" xr3:uid="{FE55B73B-B4B6-49BE-8EB7-20A1B88B37C8}" name="Column11116"/>
    <tableColumn id="11144" xr3:uid="{A81D4638-DD57-4D2D-B1C1-AA9B25617257}" name="Column11117"/>
    <tableColumn id="11145" xr3:uid="{F860DE41-F716-4D20-BEA0-50A1FF368F14}" name="Column11118"/>
    <tableColumn id="11146" xr3:uid="{B45C390F-296C-43B0-B702-399DF6D06E8E}" name="Column11119"/>
    <tableColumn id="11147" xr3:uid="{09D951AB-A359-4099-8243-78C44CB23C2E}" name="Column11120"/>
    <tableColumn id="11148" xr3:uid="{94B56C2D-8F92-4CBB-9F91-954739D8C259}" name="Column11121"/>
    <tableColumn id="11149" xr3:uid="{14A40459-7231-4D30-9B50-87F9586FACBC}" name="Column11122"/>
    <tableColumn id="11150" xr3:uid="{9FB69505-E993-415A-9A36-2FAEDA6E46CF}" name="Column11123"/>
    <tableColumn id="11151" xr3:uid="{C49AC696-1229-4986-8D69-5897158F88D8}" name="Column11124"/>
    <tableColumn id="11152" xr3:uid="{04E1628D-DFA6-41E4-A6F9-BAC9241D4F17}" name="Column11125"/>
    <tableColumn id="11153" xr3:uid="{8F688F04-E7BC-4CAC-92CB-6939522A6031}" name="Column11126"/>
    <tableColumn id="11154" xr3:uid="{CBDD13C5-0CD9-4A09-8E96-372766DA5910}" name="Column11127"/>
    <tableColumn id="11155" xr3:uid="{073C7877-7FA6-4D8C-8ACA-0980EF666ADD}" name="Column11128"/>
    <tableColumn id="11156" xr3:uid="{A4E5C353-82F3-40BF-ACE8-5A64AF997B7B}" name="Column11129"/>
    <tableColumn id="11157" xr3:uid="{07DA69FE-7B33-42AD-96A4-172D1B9FE183}" name="Column11130"/>
    <tableColumn id="11158" xr3:uid="{B150D48C-4109-4CB3-9942-367207FE2F86}" name="Column11131"/>
    <tableColumn id="11159" xr3:uid="{D06200A7-665B-4AAD-BF88-995CD6CD0EAD}" name="Column11132"/>
    <tableColumn id="11160" xr3:uid="{C22F09E1-727B-4560-AF5C-453BA43225AD}" name="Column11133"/>
    <tableColumn id="11161" xr3:uid="{E07A94B0-1FBA-4A9E-B8DE-948D9AA211B2}" name="Column11134"/>
    <tableColumn id="11162" xr3:uid="{D73E31A6-49BB-4FFE-ACE3-BC82A5FC39ED}" name="Column11135"/>
    <tableColumn id="11163" xr3:uid="{29F36F30-F69E-4AAF-B1D2-B12FB5EA6E55}" name="Column11136"/>
    <tableColumn id="11164" xr3:uid="{366C9725-87B6-489D-B25D-64BE72C0D543}" name="Column11137"/>
    <tableColumn id="11165" xr3:uid="{2C0D3E52-9D11-4E59-9355-31BB951D1443}" name="Column11138"/>
    <tableColumn id="11166" xr3:uid="{65B5ACDD-50D4-4E96-BD67-64130D684C52}" name="Column11139"/>
    <tableColumn id="11167" xr3:uid="{4F09DC1B-1975-4814-AC41-BE569BE7CFA8}" name="Column11140"/>
    <tableColumn id="11168" xr3:uid="{B8A686EE-2E1F-40E0-91D5-C8DF56256064}" name="Column11141"/>
    <tableColumn id="11169" xr3:uid="{F37A61DD-2F76-4B37-92B5-A8B956593245}" name="Column11142"/>
    <tableColumn id="11170" xr3:uid="{E57096C4-5A10-4E2E-9DA9-BB4CF3451800}" name="Column11143"/>
    <tableColumn id="11171" xr3:uid="{78E74372-0343-4D39-A5FB-C92D3FDC0A35}" name="Column11144"/>
    <tableColumn id="11172" xr3:uid="{1C293EDF-A4E6-4D4C-AB74-04A3C805D063}" name="Column11145"/>
    <tableColumn id="11173" xr3:uid="{F8CFFCCD-018C-43F4-A67C-7CDC67F2A7FC}" name="Column11146"/>
    <tableColumn id="11174" xr3:uid="{7466B25A-879B-4863-AB1C-8C7070C9DD65}" name="Column11147"/>
    <tableColumn id="11175" xr3:uid="{F83079C7-6CCE-4C99-BD7E-C3452D40E9AE}" name="Column11148"/>
    <tableColumn id="11176" xr3:uid="{8485D2A5-9D6F-4238-BC7D-864ED85E9B3A}" name="Column11149"/>
    <tableColumn id="11177" xr3:uid="{F92A60DD-9FCF-4B4F-BC47-AFCDCCD7D7D0}" name="Column11150"/>
    <tableColumn id="11178" xr3:uid="{26ADA53E-99B2-4528-9553-21F4BC829FCA}" name="Column11151"/>
    <tableColumn id="11179" xr3:uid="{A52498D1-79FD-48AD-989D-2079B7B0D40E}" name="Column11152"/>
    <tableColumn id="11180" xr3:uid="{AF738ED6-899E-470F-8AD6-C8026557AA14}" name="Column11153"/>
    <tableColumn id="11181" xr3:uid="{6026B00A-97AC-4124-9302-DD59C3FE2758}" name="Column11154"/>
    <tableColumn id="11182" xr3:uid="{9B610C54-90E3-4341-AFF6-50A35E77742A}" name="Column11155"/>
    <tableColumn id="11183" xr3:uid="{7048B73E-E868-4668-AAFD-DD92BE96C02C}" name="Column11156"/>
    <tableColumn id="11184" xr3:uid="{2A921B79-3CE7-4C50-91EF-89D1649F3EBD}" name="Column11157"/>
    <tableColumn id="11185" xr3:uid="{C21F61B0-C277-4270-B477-268D613C260A}" name="Column11158"/>
    <tableColumn id="11186" xr3:uid="{40E83528-0AD8-4417-9E31-69F2F8E87953}" name="Column11159"/>
    <tableColumn id="11187" xr3:uid="{421F438D-FC3E-4043-ADE4-F0FE676049D4}" name="Column11160"/>
    <tableColumn id="11188" xr3:uid="{39F60D5E-5801-4053-BF70-227CBF15FC7F}" name="Column11161"/>
    <tableColumn id="11189" xr3:uid="{AD623CF4-6F96-4092-8359-A0F1562A21C3}" name="Column11162"/>
    <tableColumn id="11190" xr3:uid="{B3C64291-FD58-424B-8A7A-33C3BB01852D}" name="Column11163"/>
    <tableColumn id="11191" xr3:uid="{10CB91EB-BADE-415F-B7BC-D55FBAF3CCDC}" name="Column11164"/>
    <tableColumn id="11192" xr3:uid="{0B8FE997-E7B1-4671-BB1A-8E17D975C8D8}" name="Column11165"/>
    <tableColumn id="11193" xr3:uid="{0B28832C-2F6B-4A91-A431-C0495B32ED99}" name="Column11166"/>
    <tableColumn id="11194" xr3:uid="{870ABCA0-49CE-4EF0-BD19-C152555017EA}" name="Column11167"/>
    <tableColumn id="11195" xr3:uid="{6D491BDA-76AF-415C-AC84-E623F5B198A0}" name="Column11168"/>
    <tableColumn id="11196" xr3:uid="{49085B2D-DF10-45CE-9475-79F4F44FD4DA}" name="Column11169"/>
    <tableColumn id="11197" xr3:uid="{4DDB66B0-3D3B-4E33-AFA7-3AC17D56D6FA}" name="Column11170"/>
    <tableColumn id="11198" xr3:uid="{F5A83545-4397-4BB6-A95A-71761B0152FD}" name="Column11171"/>
    <tableColumn id="11199" xr3:uid="{E4C44AD3-C939-46BF-BC3A-0B38A377993A}" name="Column11172"/>
    <tableColumn id="11200" xr3:uid="{0EA99197-DB64-4177-9AD4-CBA1DE088250}" name="Column11173"/>
    <tableColumn id="11201" xr3:uid="{7E548280-9930-416A-8244-58CEADF7D0C5}" name="Column11174"/>
    <tableColumn id="11202" xr3:uid="{6F13F40A-4199-4E51-9869-D6D323194796}" name="Column11175"/>
    <tableColumn id="11203" xr3:uid="{C334DDC2-3743-4CDD-B716-F347835191D6}" name="Column11176"/>
    <tableColumn id="11204" xr3:uid="{4E896E4A-C64B-4036-AB3E-86D451D419EB}" name="Column11177"/>
    <tableColumn id="11205" xr3:uid="{E839BF9A-1D50-4783-922B-E9BA99D6646F}" name="Column11178"/>
    <tableColumn id="11206" xr3:uid="{9FF7186A-4630-4F4E-9DF5-36412AF40F69}" name="Column11179"/>
    <tableColumn id="11207" xr3:uid="{940F0026-98E8-468D-974C-4E60F23DE756}" name="Column11180"/>
    <tableColumn id="11208" xr3:uid="{4C42F485-ADDB-495F-805D-6F553C30529E}" name="Column11181"/>
    <tableColumn id="11209" xr3:uid="{EDCE962B-D243-4E45-81BF-41F9EC489DAD}" name="Column11182"/>
    <tableColumn id="11210" xr3:uid="{0F741CE7-3812-4BA8-8CF1-44D85F05D7A7}" name="Column11183"/>
    <tableColumn id="11211" xr3:uid="{877C0F11-4655-42E8-A7C8-7E6C4A4B88B5}" name="Column11184"/>
    <tableColumn id="11212" xr3:uid="{C12FB547-254D-400F-99C2-9FE4C1D37EC1}" name="Column11185"/>
    <tableColumn id="11213" xr3:uid="{2BF1CB63-821D-45A0-A54A-4148466F2B7E}" name="Column11186"/>
    <tableColumn id="11214" xr3:uid="{02E95012-9C3F-4C94-9CBF-165083D4A1AE}" name="Column11187"/>
    <tableColumn id="11215" xr3:uid="{DC06B67E-A051-490E-8C3A-E44E59525A7C}" name="Column11188"/>
    <tableColumn id="11216" xr3:uid="{F08AFD05-68D5-402D-AC42-F7BADBBAD392}" name="Column11189"/>
    <tableColumn id="11217" xr3:uid="{BF41B22B-F099-49DE-8DBB-F91D69ED46A9}" name="Column11190"/>
    <tableColumn id="11218" xr3:uid="{F048489A-8D20-4030-8907-78268EECA847}" name="Column11191"/>
    <tableColumn id="11219" xr3:uid="{5949BD74-4C29-4C3A-ACED-9A378D3CA18A}" name="Column11192"/>
    <tableColumn id="11220" xr3:uid="{23B24814-C074-4536-AE5D-4F3E01FBAA3E}" name="Column11193"/>
    <tableColumn id="11221" xr3:uid="{8C9759FD-D6BB-4140-9599-3179517ABF05}" name="Column11194"/>
    <tableColumn id="11222" xr3:uid="{7210D173-218F-4917-A38E-906A0A0AC999}" name="Column11195"/>
    <tableColumn id="11223" xr3:uid="{68DF7BD8-C9A5-403B-BA59-75683DA14B77}" name="Column11196"/>
    <tableColumn id="11224" xr3:uid="{DEA416ED-8B3C-43A7-AE74-E2D982D3AED2}" name="Column11197"/>
    <tableColumn id="11225" xr3:uid="{4EB653C6-40E5-44E0-8875-2361A5721F80}" name="Column11198"/>
    <tableColumn id="11226" xr3:uid="{C3F8394F-677F-41EC-A566-E2DB6E0C5271}" name="Column11199"/>
    <tableColumn id="11227" xr3:uid="{2EEB12DC-8958-459E-A41C-CBF0FFB58A77}" name="Column11200"/>
    <tableColumn id="11228" xr3:uid="{E3B6765F-ED34-47C5-B2D8-A9A8AE06EBF0}" name="Column11201"/>
    <tableColumn id="11229" xr3:uid="{C53E3BB5-3F16-491F-891A-9932E2D8AA51}" name="Column11202"/>
    <tableColumn id="11230" xr3:uid="{74C2864F-6F20-45F8-8D9F-5EEFBF279D90}" name="Column11203"/>
    <tableColumn id="11231" xr3:uid="{87FB530D-60D5-432D-8652-5ED0A0E12A90}" name="Column11204"/>
    <tableColumn id="11232" xr3:uid="{C4BDB3F1-5D7C-4A16-BB09-82F04C5845C7}" name="Column11205"/>
    <tableColumn id="11233" xr3:uid="{559D4C37-F14B-4D75-B442-8438B20225D4}" name="Column11206"/>
    <tableColumn id="11234" xr3:uid="{1B8B2A52-9D59-4765-927E-2C6687988114}" name="Column11207"/>
    <tableColumn id="11235" xr3:uid="{54ADEC15-273D-45CF-A8A4-C49F40FDBFD2}" name="Column11208"/>
    <tableColumn id="11236" xr3:uid="{2CC35CE7-5693-4F72-98F7-D74EC60F9DC4}" name="Column11209"/>
    <tableColumn id="11237" xr3:uid="{57710BF7-4AA2-4980-9632-632033B61876}" name="Column11210"/>
    <tableColumn id="11238" xr3:uid="{3E8FC384-D207-46E3-844C-00B2690D7482}" name="Column11211"/>
    <tableColumn id="11239" xr3:uid="{066C7957-5459-4C4E-AAA5-C171C6950964}" name="Column11212"/>
    <tableColumn id="11240" xr3:uid="{D866FADE-2144-47F1-A10A-703F61924C43}" name="Column11213"/>
    <tableColumn id="11241" xr3:uid="{9E6A39BF-E838-466C-BCD1-8732CE10A315}" name="Column11214"/>
    <tableColumn id="11242" xr3:uid="{90B58394-14A3-4550-BD65-4FEB50C2CC9A}" name="Column11215"/>
    <tableColumn id="11243" xr3:uid="{03A0EDD6-5C46-496B-B93D-44F5C2AB1A86}" name="Column11216"/>
    <tableColumn id="11244" xr3:uid="{EDADEE8E-AE93-4C97-9C7C-172A4D5B69E6}" name="Column11217"/>
    <tableColumn id="11245" xr3:uid="{B210F40F-3DD4-4847-ABA9-BC922108ABD9}" name="Column11218"/>
    <tableColumn id="11246" xr3:uid="{CDE68A73-E4B4-4703-B454-0A08C05B104F}" name="Column11219"/>
    <tableColumn id="11247" xr3:uid="{8ABF8A7E-ED67-496E-B4BA-950F13ED30A5}" name="Column11220"/>
    <tableColumn id="11248" xr3:uid="{045FF3A9-DAE7-4EA1-9703-F11EABB48464}" name="Column11221"/>
    <tableColumn id="11249" xr3:uid="{051D6B07-EA04-4AE0-BF6F-5C8DD6C8847A}" name="Column11222"/>
    <tableColumn id="11250" xr3:uid="{F2A67AC0-8406-4D80-B076-C0BDBA0583E5}" name="Column11223"/>
    <tableColumn id="11251" xr3:uid="{97C270E0-E9A2-4096-86B2-4CD64B3D9E07}" name="Column11224"/>
    <tableColumn id="11252" xr3:uid="{91294A4C-0FF5-425B-A45E-CCCA31317842}" name="Column11225"/>
    <tableColumn id="11253" xr3:uid="{B9091F36-8F17-4F53-8C0C-0D7C40B08804}" name="Column11226"/>
    <tableColumn id="11254" xr3:uid="{EC00F832-C837-4F2C-8001-D5FCBEBCB2A5}" name="Column11227"/>
    <tableColumn id="11255" xr3:uid="{4D023849-265E-4676-8F08-CAF812444C01}" name="Column11228"/>
    <tableColumn id="11256" xr3:uid="{43671EEC-EE51-4155-87FF-2142E475E71C}" name="Column11229"/>
    <tableColumn id="11257" xr3:uid="{CE413BF5-D951-4557-993A-B57FF930B139}" name="Column11230"/>
    <tableColumn id="11258" xr3:uid="{C03CA10A-DD51-4DF5-A8F3-0EE84983A2B6}" name="Column11231"/>
    <tableColumn id="11259" xr3:uid="{BC31B415-5D26-41DA-86C0-5552D9552917}" name="Column11232"/>
    <tableColumn id="11260" xr3:uid="{2978EA67-264D-4EE9-B12F-D25BACD504B7}" name="Column11233"/>
    <tableColumn id="11261" xr3:uid="{376E260A-8CE0-4A1E-A1B3-70699E201106}" name="Column11234"/>
    <tableColumn id="11262" xr3:uid="{1F7CC6B8-588F-4061-8C4B-B9B9263A7B9A}" name="Column11235"/>
    <tableColumn id="11263" xr3:uid="{93FFC41A-A23D-42D0-8598-04117B398AF8}" name="Column11236"/>
    <tableColumn id="11264" xr3:uid="{AB5A6DC2-CC33-40B1-9DD4-3BFF5264172B}" name="Column11237"/>
    <tableColumn id="11265" xr3:uid="{B008ABE8-015A-4945-835E-4AF82E3E5B8C}" name="Column11238"/>
    <tableColumn id="11266" xr3:uid="{D1597F46-4CC5-4766-B3D4-5F9B2CD93925}" name="Column11239"/>
    <tableColumn id="11267" xr3:uid="{A46D62B6-CC5A-4840-AC3C-AAA01485BB05}" name="Column11240"/>
    <tableColumn id="11268" xr3:uid="{9987C3CD-8AA8-4D5B-965B-F2B3BCEC4B13}" name="Column11241"/>
    <tableColumn id="11269" xr3:uid="{56D95EE2-6853-4671-86A1-8909D6ACBC79}" name="Column11242"/>
    <tableColumn id="11270" xr3:uid="{37A61A45-483C-4C0C-88F4-96EA894F8DA9}" name="Column11243"/>
    <tableColumn id="11271" xr3:uid="{69B32DC8-8475-4F77-974E-38283341E125}" name="Column11244"/>
    <tableColumn id="11272" xr3:uid="{3AE1D811-9EFE-47D4-86D8-C2771520ACF2}" name="Column11245"/>
    <tableColumn id="11273" xr3:uid="{E914236B-D0D5-422A-BFE5-DC0471ED2E0C}" name="Column11246"/>
    <tableColumn id="11274" xr3:uid="{6B2BA547-57E1-41A2-A6FD-F04EF9BB389D}" name="Column11247"/>
    <tableColumn id="11275" xr3:uid="{86B59F8C-A106-47D0-A2E6-EB7872913D97}" name="Column11248"/>
    <tableColumn id="11276" xr3:uid="{DB022CB3-EECA-4B0F-AC04-D997E86EE5B9}" name="Column11249"/>
    <tableColumn id="11277" xr3:uid="{42C14F09-6F23-451A-B80D-CAD156781D48}" name="Column11250"/>
    <tableColumn id="11278" xr3:uid="{9F5B0A0B-0CED-48D0-BD57-DEBE96CD9470}" name="Column11251"/>
    <tableColumn id="11279" xr3:uid="{C7AC2B96-48A2-4A11-A526-5CEF7A222616}" name="Column11252"/>
    <tableColumn id="11280" xr3:uid="{43A031BA-A4F9-494A-9634-8962F632C752}" name="Column11253"/>
    <tableColumn id="11281" xr3:uid="{971DAC70-B97F-4598-B398-68D4818EA84D}" name="Column11254"/>
    <tableColumn id="11282" xr3:uid="{824E1FCE-5BC7-4D0D-9AEA-897E1F07DDD9}" name="Column11255"/>
    <tableColumn id="11283" xr3:uid="{54E5CC25-0233-4680-8C12-24F7A10666A1}" name="Column11256"/>
    <tableColumn id="11284" xr3:uid="{DF00AD01-8AF9-41DA-B04F-EBC455103151}" name="Column11257"/>
    <tableColumn id="11285" xr3:uid="{A3E87117-5AC0-4034-88D8-B352682079AF}" name="Column11258"/>
    <tableColumn id="11286" xr3:uid="{BABA6160-2466-4E5B-AFA4-20899D04F1B7}" name="Column11259"/>
    <tableColumn id="11287" xr3:uid="{D9E8684B-D456-453B-B317-0406AAC8F379}" name="Column11260"/>
    <tableColumn id="11288" xr3:uid="{9C183564-A6CA-4992-8016-98B55F7210E8}" name="Column11261"/>
    <tableColumn id="11289" xr3:uid="{3A6B8FD7-DAA7-4B59-AB69-60CE70D1E4C5}" name="Column11262"/>
    <tableColumn id="11290" xr3:uid="{91E2E2B3-3899-4F66-8205-B8F32C4C1F6C}" name="Column11263"/>
    <tableColumn id="11291" xr3:uid="{8E5A42E1-30B5-4EEB-9E4B-0B288D8D0BB8}" name="Column11264"/>
    <tableColumn id="11292" xr3:uid="{1256FB7B-505D-4F14-B5A2-579B554996E4}" name="Column11265"/>
    <tableColumn id="11293" xr3:uid="{105266BC-FEB5-4C82-B149-4417FDD8C7C4}" name="Column11266"/>
    <tableColumn id="11294" xr3:uid="{D29CCA56-8D3C-40B9-961B-9E7CEC1A6CAD}" name="Column11267"/>
    <tableColumn id="11295" xr3:uid="{6B33CD87-D3F6-4EDD-B837-E0ACC3CC3832}" name="Column11268"/>
    <tableColumn id="11296" xr3:uid="{16BEB3C0-8749-40E1-ACD1-739D60C6DCC5}" name="Column11269"/>
    <tableColumn id="11297" xr3:uid="{B4EE63ED-38D5-4D28-9268-BBFA4A923086}" name="Column11270"/>
    <tableColumn id="11298" xr3:uid="{921687C1-F803-4E30-BC56-7106E6CDC3D2}" name="Column11271"/>
    <tableColumn id="11299" xr3:uid="{489A2B2A-6E19-4833-BD70-B0A529A0E46A}" name="Column11272"/>
    <tableColumn id="11300" xr3:uid="{CAA36383-A1D7-44C2-BE3D-0B251E0F3472}" name="Column11273"/>
    <tableColumn id="11301" xr3:uid="{5694A4E5-E7D5-4311-B5DC-9B651C259143}" name="Column11274"/>
    <tableColumn id="11302" xr3:uid="{E6AC2B50-B57E-4663-98E1-6D7B5169BEBF}" name="Column11275"/>
    <tableColumn id="11303" xr3:uid="{8AADEE13-8F19-41B9-AF40-E8ED379329A6}" name="Column11276"/>
    <tableColumn id="11304" xr3:uid="{0E4034F6-C0EE-46E2-835A-E0390CCB1216}" name="Column11277"/>
    <tableColumn id="11305" xr3:uid="{80429107-F72F-42CF-A1CC-411846BF1FB3}" name="Column11278"/>
    <tableColumn id="11306" xr3:uid="{813A7E62-A6F0-4ACF-BCE7-F083C3ECA66C}" name="Column11279"/>
    <tableColumn id="11307" xr3:uid="{EF07A747-0E54-46B8-BCBD-A50BA52E88A4}" name="Column11280"/>
    <tableColumn id="11308" xr3:uid="{5C9F5903-8BAA-4851-AAFA-9E84CAB8FD53}" name="Column11281"/>
    <tableColumn id="11309" xr3:uid="{4F37924B-10DA-404E-9815-A8B40123C35D}" name="Column11282"/>
    <tableColumn id="11310" xr3:uid="{364B826A-D7BD-47D3-B57D-ADAE14A65194}" name="Column11283"/>
    <tableColumn id="11311" xr3:uid="{B33E1766-A1DC-4426-A206-5FCA63E4A174}" name="Column11284"/>
    <tableColumn id="11312" xr3:uid="{324218DC-40B0-4D19-838E-6BBDD631CC57}" name="Column11285"/>
    <tableColumn id="11313" xr3:uid="{ACE49772-0A26-4771-8F1B-653ED0F6ABE2}" name="Column11286"/>
    <tableColumn id="11314" xr3:uid="{037ABF7B-1639-42FA-8253-DB205186768E}" name="Column11287"/>
    <tableColumn id="11315" xr3:uid="{FC6D2207-47F8-437E-95A1-F9D2BB92E25A}" name="Column11288"/>
    <tableColumn id="11316" xr3:uid="{B8DA642E-9601-4BE4-B09C-7BDA7B83A392}" name="Column11289"/>
    <tableColumn id="11317" xr3:uid="{B526D00D-2823-4DEF-8784-D84B3F55785A}" name="Column11290"/>
    <tableColumn id="11318" xr3:uid="{66ADACD3-4E15-49CA-9042-317B4F806112}" name="Column11291"/>
    <tableColumn id="11319" xr3:uid="{1E9BBCBA-C1DE-46FC-9F91-2E29F426F171}" name="Column11292"/>
    <tableColumn id="11320" xr3:uid="{6026378F-B812-486B-95BA-8F9EBE0D6F29}" name="Column11293"/>
    <tableColumn id="11321" xr3:uid="{A08E339D-1529-4A15-9D42-4A9DCEEB99FC}" name="Column11294"/>
    <tableColumn id="11322" xr3:uid="{1559CA3C-8AB5-41B6-89D5-1ED110EA58C7}" name="Column11295"/>
    <tableColumn id="11323" xr3:uid="{B25DBC98-8E49-4F9E-8EE1-05568F82A4B8}" name="Column11296"/>
    <tableColumn id="11324" xr3:uid="{94DA0FE8-6AC7-4EF2-9308-C0C57152465A}" name="Column11297"/>
    <tableColumn id="11325" xr3:uid="{5A9EE1BD-01F3-41BD-AAE9-CDEB1B3DFA82}" name="Column11298"/>
    <tableColumn id="11326" xr3:uid="{CD7082EE-FE67-47DA-921D-46C6D38D705F}" name="Column11299"/>
    <tableColumn id="11327" xr3:uid="{7B52FD0A-9116-4B32-8902-FD5F4EE43C0E}" name="Column11300"/>
    <tableColumn id="11328" xr3:uid="{4103162F-2C0C-4D59-8043-F9F428CDE44B}" name="Column11301"/>
    <tableColumn id="11329" xr3:uid="{259F805B-511C-4992-AA0F-043E44452FB7}" name="Column11302"/>
    <tableColumn id="11330" xr3:uid="{A31F06DE-E520-4BD7-87EB-7ECFA3077B6A}" name="Column11303"/>
    <tableColumn id="11331" xr3:uid="{7FE554E4-F278-4BF0-8CDD-8D805991EE1C}" name="Column11304"/>
    <tableColumn id="11332" xr3:uid="{69C1C1D0-6F98-46F1-AA16-8707DE109475}" name="Column11305"/>
    <tableColumn id="11333" xr3:uid="{CAF7E147-E151-4DA8-ACC3-7FF64944A1EA}" name="Column11306"/>
    <tableColumn id="11334" xr3:uid="{05E80E1A-7D60-4AE7-8295-9649EC654329}" name="Column11307"/>
    <tableColumn id="11335" xr3:uid="{36120AAC-30CC-4594-A60C-67275DE1A16A}" name="Column11308"/>
    <tableColumn id="11336" xr3:uid="{8FD6C1CB-BDAC-4511-B71B-1D355AF8A380}" name="Column11309"/>
    <tableColumn id="11337" xr3:uid="{BA085D80-7F5D-4F04-8999-AA36540B7B37}" name="Column11310"/>
    <tableColumn id="11338" xr3:uid="{3E29F612-2D9C-4090-BCDC-E6AF31A9F729}" name="Column11311"/>
    <tableColumn id="11339" xr3:uid="{F8DC3F49-1273-4B32-B48A-75F436DE1861}" name="Column11312"/>
    <tableColumn id="11340" xr3:uid="{58E1944B-482F-43F6-AE14-B8FB43ACDD0C}" name="Column11313"/>
    <tableColumn id="11341" xr3:uid="{34237FAB-C826-46D9-A8F9-B04CA3B56050}" name="Column11314"/>
    <tableColumn id="11342" xr3:uid="{F8CDBCAA-50A1-4B3F-82F3-D0C4687F82F6}" name="Column11315"/>
    <tableColumn id="11343" xr3:uid="{1A3F44C3-14DA-42FE-A014-A6063E602544}" name="Column11316"/>
    <tableColumn id="11344" xr3:uid="{75ABD77F-CC71-4D42-BD61-744F11124C3E}" name="Column11317"/>
    <tableColumn id="11345" xr3:uid="{A32BD3C1-0139-4106-A797-94179FF3BE6D}" name="Column11318"/>
    <tableColumn id="11346" xr3:uid="{AAA4651C-0D58-489F-8879-86DACC356BF2}" name="Column11319"/>
    <tableColumn id="11347" xr3:uid="{D356E04D-CC57-440B-AB61-458C00CA253E}" name="Column11320"/>
    <tableColumn id="11348" xr3:uid="{1D28AB30-EC5C-4E0E-8518-349965AF83E0}" name="Column11321"/>
    <tableColumn id="11349" xr3:uid="{E4B2465F-3784-4D54-9295-77C735BF111F}" name="Column11322"/>
    <tableColumn id="11350" xr3:uid="{BBC4A8D1-AB10-4E5E-A375-40466CF3C785}" name="Column11323"/>
    <tableColumn id="11351" xr3:uid="{2E56FB50-BDC6-4EA3-B77A-1D9BDE9D82E0}" name="Column11324"/>
    <tableColumn id="11352" xr3:uid="{6D6E6CB0-8C3D-4595-824E-EA28176AAFB0}" name="Column11325"/>
    <tableColumn id="11353" xr3:uid="{897D3205-406F-408E-A646-F19F99958CAC}" name="Column11326"/>
    <tableColumn id="11354" xr3:uid="{9EB7FA57-E9ED-4F6B-8B21-E4169642912C}" name="Column11327"/>
    <tableColumn id="11355" xr3:uid="{C386158C-398F-4BB1-8A3B-99FBE884F118}" name="Column11328"/>
    <tableColumn id="11356" xr3:uid="{D3085D3C-A860-4DA6-98F6-BFC50A510D1E}" name="Column11329"/>
    <tableColumn id="11357" xr3:uid="{2FE44D35-AB1F-4B10-908C-64BFE696334A}" name="Column11330"/>
    <tableColumn id="11358" xr3:uid="{83D1DBC4-0150-459C-8CD2-5E1DED233631}" name="Column11331"/>
    <tableColumn id="11359" xr3:uid="{FFCABE12-435B-408A-920F-8AF5ED9A7E01}" name="Column11332"/>
    <tableColumn id="11360" xr3:uid="{1606AD2A-16E0-47CD-B634-70C0669C0BA0}" name="Column11333"/>
    <tableColumn id="11361" xr3:uid="{1991AE0C-44C6-4E21-ABEB-92CE2404A486}" name="Column11334"/>
    <tableColumn id="11362" xr3:uid="{482F8585-A6A0-4F0B-B752-1945061DB384}" name="Column11335"/>
    <tableColumn id="11363" xr3:uid="{E10195CD-0EBC-4162-B6BD-A37AE4B2996B}" name="Column11336"/>
    <tableColumn id="11364" xr3:uid="{612422DC-8ADD-4354-AF53-C0BA1056701D}" name="Column11337"/>
    <tableColumn id="11365" xr3:uid="{E053C37D-238F-4843-89D5-4C473F076C5E}" name="Column11338"/>
    <tableColumn id="11366" xr3:uid="{FEB75BB2-AA40-4654-96A5-A600E61B51DC}" name="Column11339"/>
    <tableColumn id="11367" xr3:uid="{A599669C-A510-4C6E-8AE9-A0BDC7B0D43B}" name="Column11340"/>
    <tableColumn id="11368" xr3:uid="{8CE143A8-E131-4488-8385-6625013C8AC4}" name="Column11341"/>
    <tableColumn id="11369" xr3:uid="{9A0FA0E2-ABE6-4161-AC85-2668F815C755}" name="Column11342"/>
    <tableColumn id="11370" xr3:uid="{57BFAA7E-E99F-4262-9147-E0D4CD566614}" name="Column11343"/>
    <tableColumn id="11371" xr3:uid="{701E0043-A5E7-43D3-8414-BB11C80F15B1}" name="Column11344"/>
    <tableColumn id="11372" xr3:uid="{14A38039-9D8C-48A7-B321-3A3B3C4485B1}" name="Column11345"/>
    <tableColumn id="11373" xr3:uid="{06DB694A-BA71-4C08-9EEC-2AC1A8D5636D}" name="Column11346"/>
    <tableColumn id="11374" xr3:uid="{417831CD-86F2-49DC-9844-F7580BD4E9C8}" name="Column11347"/>
    <tableColumn id="11375" xr3:uid="{8DB0E370-20FE-4D2F-AA5B-51181C60657B}" name="Column11348"/>
    <tableColumn id="11376" xr3:uid="{F5E79198-7BB0-4D0F-B8D0-527E5EC922E8}" name="Column11349"/>
    <tableColumn id="11377" xr3:uid="{D49BEDE0-40A7-4070-B785-91AA8E78C498}" name="Column11350"/>
    <tableColumn id="11378" xr3:uid="{B6F774E3-17F3-4D42-B283-21C3986432B6}" name="Column11351"/>
    <tableColumn id="11379" xr3:uid="{AF78888E-E63B-4A7B-AE30-C072A9D37648}" name="Column11352"/>
    <tableColumn id="11380" xr3:uid="{5AFC9C19-D589-4F56-80AB-354B89CE5512}" name="Column11353"/>
    <tableColumn id="11381" xr3:uid="{FAE434D6-7942-4DEC-BC5F-24AD40D0AC53}" name="Column11354"/>
    <tableColumn id="11382" xr3:uid="{3E247FB1-6910-4946-9348-2CEBDA7A9823}" name="Column11355"/>
    <tableColumn id="11383" xr3:uid="{A399298F-4DEC-4C84-BBDA-7E90F9D3B82A}" name="Column11356"/>
    <tableColumn id="11384" xr3:uid="{A03F0299-1C95-4F77-A5D6-A0F189519337}" name="Column11357"/>
    <tableColumn id="11385" xr3:uid="{89D8282B-8905-4235-B4E1-CA128D0945F3}" name="Column11358"/>
    <tableColumn id="11386" xr3:uid="{7327FBB1-48AB-4436-A9C6-A2D541406C12}" name="Column11359"/>
    <tableColumn id="11387" xr3:uid="{328DDC69-173D-48A0-A1C8-26D81C39AA3B}" name="Column11360"/>
    <tableColumn id="11388" xr3:uid="{03F6579E-9CD3-4F12-A004-29D2CB7D2F8E}" name="Column11361"/>
    <tableColumn id="11389" xr3:uid="{1635496C-CA54-4C55-8328-9FAF3612C221}" name="Column11362"/>
    <tableColumn id="11390" xr3:uid="{4FD8618F-5DCE-4B8E-B5A6-6E39DC310D0F}" name="Column11363"/>
    <tableColumn id="11391" xr3:uid="{4516E03E-B796-481E-B8D2-2E6BEB8B39F3}" name="Column11364"/>
    <tableColumn id="11392" xr3:uid="{11F573DF-4942-4304-8625-98C2244C7B4B}" name="Column11365"/>
    <tableColumn id="11393" xr3:uid="{554F4E77-AC0A-447F-A6F0-B5996DBB33B5}" name="Column11366"/>
    <tableColumn id="11394" xr3:uid="{6388648F-E643-49B7-BB77-41324A305C32}" name="Column11367"/>
    <tableColumn id="11395" xr3:uid="{6013ABBE-97BE-4002-991C-2EAF6C58211B}" name="Column11368"/>
    <tableColumn id="11396" xr3:uid="{0C942ADF-DBBF-43D2-BA06-943D5715FD8F}" name="Column11369"/>
    <tableColumn id="11397" xr3:uid="{F9EC31FE-9718-4908-B257-DAF2A59AD19F}" name="Column11370"/>
    <tableColumn id="11398" xr3:uid="{F6285EEF-021A-4449-B483-3FFAEF00C020}" name="Column11371"/>
    <tableColumn id="11399" xr3:uid="{34D2F581-DF5F-4F4D-851B-51830E94103E}" name="Column11372"/>
    <tableColumn id="11400" xr3:uid="{AD09785F-C9AE-4657-BE89-E5213E7AD63E}" name="Column11373"/>
    <tableColumn id="11401" xr3:uid="{14FFA686-8597-478E-B4BB-2F1E24AEDBB5}" name="Column11374"/>
    <tableColumn id="11402" xr3:uid="{A3EF3781-F18D-49CA-8721-1E515E75A4AF}" name="Column11375"/>
    <tableColumn id="11403" xr3:uid="{5D97A5A7-51C8-4FAA-AE21-9BF6C49E1522}" name="Column11376"/>
    <tableColumn id="11404" xr3:uid="{6E91F0A9-28C2-4445-96A1-84D891B89D17}" name="Column11377"/>
    <tableColumn id="11405" xr3:uid="{891D7747-BB7C-47A7-B6F9-14C2507495BE}" name="Column11378"/>
    <tableColumn id="11406" xr3:uid="{D71208DC-ED38-47CC-BDCA-47C64033BBBE}" name="Column11379"/>
    <tableColumn id="11407" xr3:uid="{8E3DADDE-5E73-4867-839A-8DFCC04A867E}" name="Column11380"/>
    <tableColumn id="11408" xr3:uid="{707C210C-7446-452F-8FB8-E43FA6251530}" name="Column11381"/>
    <tableColumn id="11409" xr3:uid="{8BB86C1E-478C-4FFA-B59D-C1FDFA795A5F}" name="Column11382"/>
    <tableColumn id="11410" xr3:uid="{57EA3423-840F-4B27-A132-8AB22522D94B}" name="Column11383"/>
    <tableColumn id="11411" xr3:uid="{8E494E5B-122F-4DF9-8ABF-53B69A6B8B23}" name="Column11384"/>
    <tableColumn id="11412" xr3:uid="{B86576A8-2C44-4DD4-804B-55590BBF5F39}" name="Column11385"/>
    <tableColumn id="11413" xr3:uid="{6CF84950-109C-4DA0-AF03-1D3D0E8DBD21}" name="Column11386"/>
    <tableColumn id="11414" xr3:uid="{C45E791C-7160-46E3-B513-326537F85145}" name="Column11387"/>
    <tableColumn id="11415" xr3:uid="{A04BD9B2-B239-454F-8E48-AD90619883D6}" name="Column11388"/>
    <tableColumn id="11416" xr3:uid="{F3CC0DEB-46E9-4CFA-8156-A1DC5533702D}" name="Column11389"/>
    <tableColumn id="11417" xr3:uid="{3DFA5B85-822E-4BBD-977C-B25B061A8B68}" name="Column11390"/>
    <tableColumn id="11418" xr3:uid="{C386ED85-318B-4BA7-B181-E23EAAFA6DA2}" name="Column11391"/>
    <tableColumn id="11419" xr3:uid="{FF959842-BD97-4180-8756-4A022ACC1AF3}" name="Column11392"/>
    <tableColumn id="11420" xr3:uid="{F2A41B94-977B-4EFA-874A-6EEFA35E543A}" name="Column11393"/>
    <tableColumn id="11421" xr3:uid="{AB2072C8-15D2-47CB-8927-A0C535B9E714}" name="Column11394"/>
    <tableColumn id="11422" xr3:uid="{5CCD3963-C20E-4DA2-B127-A558E8347BA8}" name="Column11395"/>
    <tableColumn id="11423" xr3:uid="{9C2DC891-0C0A-4A41-B3BC-FE821D39371E}" name="Column11396"/>
    <tableColumn id="11424" xr3:uid="{89FA66E7-450F-46B7-9F39-134BE067F1CD}" name="Column11397"/>
    <tableColumn id="11425" xr3:uid="{E4B5C9FF-6023-48C5-8FD9-3C463FBB87FF}" name="Column11398"/>
    <tableColumn id="11426" xr3:uid="{52CE8C76-E60C-43A1-AACB-42824F213D83}" name="Column11399"/>
    <tableColumn id="11427" xr3:uid="{6F137060-2C59-40BE-8F46-844A923A4F27}" name="Column11400"/>
    <tableColumn id="11428" xr3:uid="{E9691F50-A175-45AF-A597-2CED65B1B456}" name="Column11401"/>
    <tableColumn id="11429" xr3:uid="{D47965C1-0115-4548-A970-E1000AF8762D}" name="Column11402"/>
    <tableColumn id="11430" xr3:uid="{31FFBD46-7F30-4753-823D-610DE8DFFC21}" name="Column11403"/>
    <tableColumn id="11431" xr3:uid="{76FC17A3-1027-44CB-97E9-B591E6E1E46A}" name="Column11404"/>
    <tableColumn id="11432" xr3:uid="{5AAB24BC-9172-436E-B893-13B20B3EAF01}" name="Column11405"/>
    <tableColumn id="11433" xr3:uid="{F0B20D19-3926-486B-BC11-B2853FEABCF4}" name="Column11406"/>
    <tableColumn id="11434" xr3:uid="{3455F580-C33A-4840-A236-BB206287D55F}" name="Column11407"/>
    <tableColumn id="11435" xr3:uid="{394C3B22-BD95-4637-980F-76750AB22BDB}" name="Column11408"/>
    <tableColumn id="11436" xr3:uid="{A8DE6B69-B6FF-4F5F-A306-9C0C059EE070}" name="Column11409"/>
    <tableColumn id="11437" xr3:uid="{F93692E2-8205-4283-AEDE-61CA9D1E9AE2}" name="Column11410"/>
    <tableColumn id="11438" xr3:uid="{E6BE55CE-98A6-4CCD-9206-24772109AFB8}" name="Column11411"/>
    <tableColumn id="11439" xr3:uid="{B29AB4EB-2DE8-4FF5-8483-9293E07D916D}" name="Column11412"/>
    <tableColumn id="11440" xr3:uid="{20468DA6-49F7-4524-AC67-8A7283797DDD}" name="Column11413"/>
    <tableColumn id="11441" xr3:uid="{0C2515BE-87CD-43D9-80DD-D4B8AD250B4E}" name="Column11414"/>
    <tableColumn id="11442" xr3:uid="{9B6091A5-8A6A-4FB5-B951-5C0C1A537915}" name="Column11415"/>
    <tableColumn id="11443" xr3:uid="{A6D90228-ACC4-4F52-8E7E-EAC58CC37145}" name="Column11416"/>
    <tableColumn id="11444" xr3:uid="{427B8ADB-1619-464F-AF22-9E06036566B5}" name="Column11417"/>
    <tableColumn id="11445" xr3:uid="{C3291C1F-D3BC-4D8C-8058-C928F42E99CB}" name="Column11418"/>
    <tableColumn id="11446" xr3:uid="{C2664B89-D3C7-47F4-B76E-7C76DE26AB2B}" name="Column11419"/>
    <tableColumn id="11447" xr3:uid="{45318C00-2613-4D23-9062-9EF6E8ECF104}" name="Column11420"/>
    <tableColumn id="11448" xr3:uid="{42A1CD9D-3F7A-45BA-970E-ED8AEC7D9F43}" name="Column11421"/>
    <tableColumn id="11449" xr3:uid="{022B1F67-3DF2-48FB-AC1A-53A2C1632321}" name="Column11422"/>
    <tableColumn id="11450" xr3:uid="{76CCFE5E-00D7-4FFE-BF2A-58030BF5DAEA}" name="Column11423"/>
    <tableColumn id="11451" xr3:uid="{BFA6AC08-8473-4C8D-A61D-F313C38C0ABE}" name="Column11424"/>
    <tableColumn id="11452" xr3:uid="{B96645F9-4458-4462-BAC0-54535EE643E1}" name="Column11425"/>
    <tableColumn id="11453" xr3:uid="{5AEDA927-40AD-4F4B-8386-2B9498845D88}" name="Column11426"/>
    <tableColumn id="11454" xr3:uid="{9C201828-6548-4523-A609-968077FC45FD}" name="Column11427"/>
    <tableColumn id="11455" xr3:uid="{DCEE1A08-50F9-4AA8-BB08-48634FE7AA09}" name="Column11428"/>
    <tableColumn id="11456" xr3:uid="{42AECC7A-1726-4813-A066-E64371BFBFD5}" name="Column11429"/>
    <tableColumn id="11457" xr3:uid="{7E8C7D09-BD90-4B74-8CEF-C87A834141A0}" name="Column11430"/>
    <tableColumn id="11458" xr3:uid="{84750457-6E5E-4A87-B02E-1D404FF2820B}" name="Column11431"/>
    <tableColumn id="11459" xr3:uid="{A998E261-0DA7-403E-BB7F-540A3DB310C2}" name="Column11432"/>
    <tableColumn id="11460" xr3:uid="{760BAA0A-7868-4C8E-953F-03AFD3A37129}" name="Column11433"/>
    <tableColumn id="11461" xr3:uid="{6D0F5F7D-4BF3-4206-B852-33B402B6CA20}" name="Column11434"/>
    <tableColumn id="11462" xr3:uid="{4CC2F1D2-4931-4C33-9EAA-93FBD29A7636}" name="Column11435"/>
    <tableColumn id="11463" xr3:uid="{6F2AE990-9447-4737-9759-AB2AEAC61913}" name="Column11436"/>
    <tableColumn id="11464" xr3:uid="{D413A0F8-CAFB-4AF4-8635-6D7512DED4E1}" name="Column11437"/>
    <tableColumn id="11465" xr3:uid="{2909FA57-DE73-488C-968A-B7A303FEDB47}" name="Column11438"/>
    <tableColumn id="11466" xr3:uid="{A5116A83-A34A-4206-8C11-00B878BADF50}" name="Column11439"/>
    <tableColumn id="11467" xr3:uid="{131A6C91-C39E-4663-BBCF-55AD79434D1A}" name="Column11440"/>
    <tableColumn id="11468" xr3:uid="{DC2BA967-95A7-46BB-AB36-C79BE3E92513}" name="Column11441"/>
    <tableColumn id="11469" xr3:uid="{DA0E3606-7697-49CF-B7B3-D0A38BFCA5A5}" name="Column11442"/>
    <tableColumn id="11470" xr3:uid="{2AF39E0C-CC8B-4B9B-94A9-CE0FA4F60C08}" name="Column11443"/>
    <tableColumn id="11471" xr3:uid="{FB8F7E30-5E45-4D46-9498-0D0AF7531970}" name="Column11444"/>
    <tableColumn id="11472" xr3:uid="{D621C7FF-54DE-493D-9D71-B9C75C97036A}" name="Column11445"/>
    <tableColumn id="11473" xr3:uid="{CC62DD88-43CA-4A7A-9C4A-98A38D3472C9}" name="Column11446"/>
    <tableColumn id="11474" xr3:uid="{4FB60992-3733-4180-8A3A-869B1AA3A61F}" name="Column11447"/>
    <tableColumn id="11475" xr3:uid="{1148A615-1CB4-40D7-B69B-DD6B5B98D95C}" name="Column11448"/>
    <tableColumn id="11476" xr3:uid="{54DDCD19-0F42-4E78-AE5B-D450986AFD15}" name="Column11449"/>
    <tableColumn id="11477" xr3:uid="{89D79324-0452-46E2-81EA-B0B41386C0B9}" name="Column11450"/>
    <tableColumn id="11478" xr3:uid="{06D1DC7F-20B9-48C1-AD1D-1019A4EEA1DE}" name="Column11451"/>
    <tableColumn id="11479" xr3:uid="{DE563494-9DDF-43A3-BA7F-F297AE4CD3EB}" name="Column11452"/>
    <tableColumn id="11480" xr3:uid="{18FF9427-7E00-4020-9629-FB63D035893E}" name="Column11453"/>
    <tableColumn id="11481" xr3:uid="{6E73942F-27B0-4024-971F-A3EFE0C42F27}" name="Column11454"/>
    <tableColumn id="11482" xr3:uid="{7093A04C-A762-4532-A17B-53D00EA83558}" name="Column11455"/>
    <tableColumn id="11483" xr3:uid="{E871906E-B860-4C52-AB87-B80907AEC16A}" name="Column11456"/>
    <tableColumn id="11484" xr3:uid="{7C059095-480D-43F5-86F9-FA198719258D}" name="Column11457"/>
    <tableColumn id="11485" xr3:uid="{DA095B59-A8B5-4585-962B-42E25B9C817D}" name="Column11458"/>
    <tableColumn id="11486" xr3:uid="{20489A70-A5A2-4A95-B10B-BDEF629A90EE}" name="Column11459"/>
    <tableColumn id="11487" xr3:uid="{0EEC0AA9-F37D-4CD6-9A48-15948DAEA3CD}" name="Column11460"/>
    <tableColumn id="11488" xr3:uid="{CA89B9A0-3223-4909-89F9-5FA0CF223188}" name="Column11461"/>
    <tableColumn id="11489" xr3:uid="{9FE829B2-886E-42DA-8A4D-0EA15D858F60}" name="Column11462"/>
    <tableColumn id="11490" xr3:uid="{EBC92763-DB43-474E-9C7B-EFCEBC7AED00}" name="Column11463"/>
    <tableColumn id="11491" xr3:uid="{E5FA47EB-2EE6-44A9-B511-8CC39C3B5A31}" name="Column11464"/>
    <tableColumn id="11492" xr3:uid="{574F488A-F917-44FE-9CE9-41EF7C5E056E}" name="Column11465"/>
    <tableColumn id="11493" xr3:uid="{10227293-1282-4D22-9A6E-D150D9886E65}" name="Column11466"/>
    <tableColumn id="11494" xr3:uid="{385AC167-3EBA-40B6-975B-2CE13C577BC1}" name="Column11467"/>
    <tableColumn id="11495" xr3:uid="{861D213F-D41A-4494-8EA6-DF04E4B75544}" name="Column11468"/>
    <tableColumn id="11496" xr3:uid="{73C49434-57E2-4E19-96A0-29DDF740C0F3}" name="Column11469"/>
    <tableColumn id="11497" xr3:uid="{24D397DE-35A7-4EB4-9BCD-68B3B41AB11C}" name="Column11470"/>
    <tableColumn id="11498" xr3:uid="{08C66C53-2E7C-4181-9BAD-16CFB849F0EA}" name="Column11471"/>
    <tableColumn id="11499" xr3:uid="{89DB561E-FC99-4823-A710-A72149FDF1A3}" name="Column11472"/>
    <tableColumn id="11500" xr3:uid="{DF47C67D-D562-48A4-97F2-14B6D3069EA3}" name="Column11473"/>
    <tableColumn id="11501" xr3:uid="{E89138C6-79C0-4C20-8133-AD1E14D368B5}" name="Column11474"/>
    <tableColumn id="11502" xr3:uid="{BA051D04-93E6-448C-8A83-5C242A434037}" name="Column11475"/>
    <tableColumn id="11503" xr3:uid="{A9A83B34-7BAE-47EC-BDD7-DE528EBF95A3}" name="Column11476"/>
    <tableColumn id="11504" xr3:uid="{8E46B935-4DFB-4D96-9F6B-11BF749E4F0F}" name="Column11477"/>
    <tableColumn id="11505" xr3:uid="{93C7DE70-329D-4D96-9BAB-FA1D04233A5E}" name="Column11478"/>
    <tableColumn id="11506" xr3:uid="{D232BE53-5C4D-4055-AA26-2B5517B67F05}" name="Column11479"/>
    <tableColumn id="11507" xr3:uid="{D2CA3200-4700-4383-B6A4-AEC185209C6D}" name="Column11480"/>
    <tableColumn id="11508" xr3:uid="{30AD32E2-ED0A-4812-A264-AFDD6CAF5E80}" name="Column11481"/>
    <tableColumn id="11509" xr3:uid="{87A762D0-36AF-4713-A49C-1EEA0A81EEE6}" name="Column11482"/>
    <tableColumn id="11510" xr3:uid="{E321B91D-FA9D-4477-893A-7B3ADA24E5F2}" name="Column11483"/>
    <tableColumn id="11511" xr3:uid="{3241D593-B602-4D99-909B-C4B101A28068}" name="Column11484"/>
    <tableColumn id="11512" xr3:uid="{08C9C134-B35F-49B1-98E7-28829B3D0734}" name="Column11485"/>
    <tableColumn id="11513" xr3:uid="{B45E27C6-D6AB-4EA8-A19B-D9DB1A4D2670}" name="Column11486"/>
    <tableColumn id="11514" xr3:uid="{93D9EEDE-9D3A-415C-A224-2348BD507A41}" name="Column11487"/>
    <tableColumn id="11515" xr3:uid="{BAF73987-FC08-42F1-9472-68F6A83F809C}" name="Column11488"/>
    <tableColumn id="11516" xr3:uid="{80910310-E8CC-4607-A862-C92928A12F89}" name="Column11489"/>
    <tableColumn id="11517" xr3:uid="{899BC886-D686-484C-81B0-A7B8352790E4}" name="Column11490"/>
    <tableColumn id="11518" xr3:uid="{96F99F46-5C3E-408B-B816-5A50D82927FA}" name="Column11491"/>
    <tableColumn id="11519" xr3:uid="{44D81A45-1DED-432D-B60C-37B3E750B12F}" name="Column11492"/>
    <tableColumn id="11520" xr3:uid="{912CF863-45AE-4173-A1B6-4684FABA17EE}" name="Column11493"/>
    <tableColumn id="11521" xr3:uid="{25CD2CD3-D7A5-4F9E-97E1-72512341F6F3}" name="Column11494"/>
    <tableColumn id="11522" xr3:uid="{FBE23D34-D447-4BAE-8BA3-FF44BE1A3FC4}" name="Column11495"/>
    <tableColumn id="11523" xr3:uid="{468EAA1E-DBAD-4912-8DCC-8EB9D87EB8AB}" name="Column11496"/>
    <tableColumn id="11524" xr3:uid="{C600EC25-7A8C-4328-8FD2-2835A5DC5EC0}" name="Column11497"/>
    <tableColumn id="11525" xr3:uid="{9A27065F-9C69-4086-AC90-36A93846A7BA}" name="Column11498"/>
    <tableColumn id="11526" xr3:uid="{AAF2BF91-F873-4B1A-BEFC-CA8155A45A76}" name="Column11499"/>
    <tableColumn id="11527" xr3:uid="{19C8ABCF-E9C9-4881-918A-F4FC3F11B754}" name="Column11500"/>
    <tableColumn id="11528" xr3:uid="{8D3C0F94-739C-41E0-84D5-4C50D095F902}" name="Column11501"/>
    <tableColumn id="11529" xr3:uid="{6F60F16D-7713-4570-8E26-B3A8044882DB}" name="Column11502"/>
    <tableColumn id="11530" xr3:uid="{5CEB1EAE-F3BF-4650-8F90-5E5A10272F39}" name="Column11503"/>
    <tableColumn id="11531" xr3:uid="{370E2A99-554F-47BF-962E-A3E4444728A2}" name="Column11504"/>
    <tableColumn id="11532" xr3:uid="{DD148787-8E39-4822-90F5-02DE2B2328CD}" name="Column11505"/>
    <tableColumn id="11533" xr3:uid="{6484F092-FCAE-4104-880E-8FFB7F6648A1}" name="Column11506"/>
    <tableColumn id="11534" xr3:uid="{25748BE1-ADD6-4D08-B5ED-F0431DEABD90}" name="Column11507"/>
    <tableColumn id="11535" xr3:uid="{0143FE61-1CD4-4E10-9D47-D9BB5D2F3EFC}" name="Column11508"/>
    <tableColumn id="11536" xr3:uid="{8B21D084-4645-4CE6-9863-DF76AF11D335}" name="Column11509"/>
    <tableColumn id="11537" xr3:uid="{BB32F215-CE96-4666-804A-ECDEE33D9755}" name="Column11510"/>
    <tableColumn id="11538" xr3:uid="{A3CF9544-7E4C-4E98-9580-D74A2EDF3E35}" name="Column11511"/>
    <tableColumn id="11539" xr3:uid="{7FC9F757-7681-44B0-B12F-A61140A082B0}" name="Column11512"/>
    <tableColumn id="11540" xr3:uid="{F6D8AF2F-3B12-46D0-8A4F-5064A51C223A}" name="Column11513"/>
    <tableColumn id="11541" xr3:uid="{28887092-7D9D-4494-8FF0-C68EE207D66D}" name="Column11514"/>
    <tableColumn id="11542" xr3:uid="{28DF52A3-5FC1-416B-8A85-FDA96D7E3127}" name="Column11515"/>
    <tableColumn id="11543" xr3:uid="{280587BE-731D-4394-99F9-0CAD2DABC049}" name="Column11516"/>
    <tableColumn id="11544" xr3:uid="{C26CB028-050B-4971-B388-555E9E798E0E}" name="Column11517"/>
    <tableColumn id="11545" xr3:uid="{31E59755-D3D5-4B83-AD1B-A8391FC0E0D3}" name="Column11518"/>
    <tableColumn id="11546" xr3:uid="{9BD65112-AFFA-44AA-B961-93AA1D9DDD91}" name="Column11519"/>
    <tableColumn id="11547" xr3:uid="{D4B8EBAF-5AB7-4CB1-A206-5E4CAF9759DB}" name="Column11520"/>
    <tableColumn id="11548" xr3:uid="{33466F9B-7ED7-41E2-B0E2-9504F1696156}" name="Column11521"/>
    <tableColumn id="11549" xr3:uid="{C5800A21-4670-4887-A1B1-597DF5DE311A}" name="Column11522"/>
    <tableColumn id="11550" xr3:uid="{7A72D8D6-942C-4E04-9EC2-5B2D95D4282F}" name="Column11523"/>
    <tableColumn id="11551" xr3:uid="{F8E9F557-87B2-4E99-8B57-130FB91DC458}" name="Column11524"/>
    <tableColumn id="11552" xr3:uid="{3DDF44A6-A875-463C-829F-B985B1262209}" name="Column11525"/>
    <tableColumn id="11553" xr3:uid="{D7A4D982-4E29-462B-9A4C-441D919C6C69}" name="Column11526"/>
    <tableColumn id="11554" xr3:uid="{7FD204BE-7394-4A28-8FA6-835FEF241289}" name="Column11527"/>
    <tableColumn id="11555" xr3:uid="{FC1113F5-A5FA-4938-9F4E-CE2B3F280945}" name="Column11528"/>
    <tableColumn id="11556" xr3:uid="{E126319D-8CA9-4BB4-AB63-110CDA60684B}" name="Column11529"/>
    <tableColumn id="11557" xr3:uid="{ACAE5EBB-976C-41F0-9FB5-3EF40B1857A5}" name="Column11530"/>
    <tableColumn id="11558" xr3:uid="{CE571A65-DD6A-40D8-946D-F39D5FE41537}" name="Column11531"/>
    <tableColumn id="11559" xr3:uid="{F627B77B-E5FC-4013-8B2E-0204D2E3513D}" name="Column11532"/>
    <tableColumn id="11560" xr3:uid="{A2DE4065-CF36-4DFC-A32D-579574B4D457}" name="Column11533"/>
    <tableColumn id="11561" xr3:uid="{A10AF728-0D1F-40C5-9257-657E4489CB8C}" name="Column11534"/>
    <tableColumn id="11562" xr3:uid="{A90C01B9-A235-4E8F-BDA3-D6BD2085AD78}" name="Column11535"/>
    <tableColumn id="11563" xr3:uid="{4EE3FB2B-3A02-4866-8FA4-307621CBAE5D}" name="Column11536"/>
    <tableColumn id="11564" xr3:uid="{6D81A663-1DE0-40B3-BE91-968AEA42CDE5}" name="Column11537"/>
    <tableColumn id="11565" xr3:uid="{073D913A-926D-4AA9-ABF7-A722B0D3747F}" name="Column11538"/>
    <tableColumn id="11566" xr3:uid="{BB4004CD-FE17-448E-8C76-3C1B49293B1E}" name="Column11539"/>
    <tableColumn id="11567" xr3:uid="{AD3B8756-D522-45B6-84D7-823674614ADA}" name="Column11540"/>
    <tableColumn id="11568" xr3:uid="{B49BD033-0698-4C61-B7E8-555FCC72F705}" name="Column11541"/>
    <tableColumn id="11569" xr3:uid="{ACFBC513-D6B9-4CFC-A4C5-4904DAAECFFB}" name="Column11542"/>
    <tableColumn id="11570" xr3:uid="{9ABBF88E-591C-4743-B824-777940FBEA5C}" name="Column11543"/>
    <tableColumn id="11571" xr3:uid="{8CA56CAD-3591-4C7D-8B39-D03D4F76EC58}" name="Column11544"/>
    <tableColumn id="11572" xr3:uid="{297B7FC6-59D9-4253-9E08-3483EBE3589E}" name="Column11545"/>
    <tableColumn id="11573" xr3:uid="{B54B66F5-9C34-4DBD-BACC-02997FDBAA1E}" name="Column11546"/>
    <tableColumn id="11574" xr3:uid="{F5F2050A-635A-4775-9200-6C9E47915282}" name="Column11547"/>
    <tableColumn id="11575" xr3:uid="{081D567E-C2B0-495A-85BE-DFBC3C235A13}" name="Column11548"/>
    <tableColumn id="11576" xr3:uid="{1DA1E643-C27A-40BD-A31F-962EAE7781C7}" name="Column11549"/>
    <tableColumn id="11577" xr3:uid="{B89A5D88-FD39-454C-B142-7D46081FF061}" name="Column11550"/>
    <tableColumn id="11578" xr3:uid="{17006F23-E8F2-4522-91DD-D6B0048A93F9}" name="Column11551"/>
    <tableColumn id="11579" xr3:uid="{BBD56868-4891-4211-9EC2-66231F275DF6}" name="Column11552"/>
    <tableColumn id="11580" xr3:uid="{DADC3DDD-0F9A-470D-8FEE-6ABD3BDC17FD}" name="Column11553"/>
    <tableColumn id="11581" xr3:uid="{A052B993-4424-4D37-8FA1-74D2382E8E74}" name="Column11554"/>
    <tableColumn id="11582" xr3:uid="{72F45ED2-D9EF-43B1-B8E8-49F558B6A668}" name="Column11555"/>
    <tableColumn id="11583" xr3:uid="{84A2BD3C-E9A4-413B-A323-14608E1BD712}" name="Column11556"/>
    <tableColumn id="11584" xr3:uid="{1109C23E-4349-4587-A64A-12561A2C451A}" name="Column11557"/>
    <tableColumn id="11585" xr3:uid="{98683F4D-CE4C-4439-98A9-8A49C3876B41}" name="Column11558"/>
    <tableColumn id="11586" xr3:uid="{FEFF52B4-CB54-4336-89EA-A7BBF7F9209E}" name="Column11559"/>
    <tableColumn id="11587" xr3:uid="{EA3EE450-C34B-4F49-BDD7-5557B61B499B}" name="Column11560"/>
    <tableColumn id="11588" xr3:uid="{A41BDEF6-3EFC-416A-8675-F2775F892187}" name="Column11561"/>
    <tableColumn id="11589" xr3:uid="{BC42BFB9-CDA3-4881-8582-B9652BA04149}" name="Column11562"/>
    <tableColumn id="11590" xr3:uid="{4BF22657-12DF-478B-9139-C1472C1E46F0}" name="Column11563"/>
    <tableColumn id="11591" xr3:uid="{EEED7301-E9FF-477E-AF81-520D66A3498E}" name="Column11564"/>
    <tableColumn id="11592" xr3:uid="{77B8F969-CE25-4E01-8F65-3D435A29401F}" name="Column11565"/>
    <tableColumn id="11593" xr3:uid="{9F53AD7A-B39C-4741-88CC-66B6B94545AC}" name="Column11566"/>
    <tableColumn id="11594" xr3:uid="{BAB972A7-B0CD-4CDD-B1C7-C4ECFBF41FF9}" name="Column11567"/>
    <tableColumn id="11595" xr3:uid="{BF19F8DB-579B-4C81-8A5D-E48CD787FE2F}" name="Column11568"/>
    <tableColumn id="11596" xr3:uid="{F031E7FD-12F6-4DE1-A077-8799CBE5CBCA}" name="Column11569"/>
    <tableColumn id="11597" xr3:uid="{B08A2047-1049-4CB8-A5C8-BE55158E5E59}" name="Column11570"/>
    <tableColumn id="11598" xr3:uid="{25EA60A5-E835-41D1-BE69-203C61ACAD2F}" name="Column11571"/>
    <tableColumn id="11599" xr3:uid="{CE12DFD7-CA8D-4249-A375-B65C1C4D2B59}" name="Column11572"/>
    <tableColumn id="11600" xr3:uid="{941F7BFA-FF32-4387-BCF5-0B0BC586AF11}" name="Column11573"/>
    <tableColumn id="11601" xr3:uid="{B16C819A-70CD-4884-A26E-8DA22AA1C261}" name="Column11574"/>
    <tableColumn id="11602" xr3:uid="{9AB5F847-1A54-4028-9BC8-FE78301F5104}" name="Column11575"/>
    <tableColumn id="11603" xr3:uid="{B0E04AF1-CAB0-455F-B035-78BAE5C2B97D}" name="Column11576"/>
    <tableColumn id="11604" xr3:uid="{52C6FC3F-4D24-4494-AABD-84E023684D30}" name="Column11577"/>
    <tableColumn id="11605" xr3:uid="{7A9AF755-C74A-4A25-B1AB-7393CB41BBF8}" name="Column11578"/>
    <tableColumn id="11606" xr3:uid="{1E63284D-4EAD-4CC1-A38C-76701537D0C8}" name="Column11579"/>
    <tableColumn id="11607" xr3:uid="{8C1023E7-0160-4B8C-BDA9-D96FEB4D25C1}" name="Column11580"/>
    <tableColumn id="11608" xr3:uid="{4CC7A063-9A80-4879-A5A1-11B91639CC3C}" name="Column11581"/>
    <tableColumn id="11609" xr3:uid="{7A173652-CAEF-4558-B9C9-8F796EE8A1CF}" name="Column11582"/>
    <tableColumn id="11610" xr3:uid="{EFDF4AC5-62E9-4F96-8D20-358B66DAD629}" name="Column11583"/>
    <tableColumn id="11611" xr3:uid="{7F49AA48-0CB2-4026-A3DB-57AFFF227061}" name="Column11584"/>
    <tableColumn id="11612" xr3:uid="{DA9A7254-0625-4F78-A828-FB172986B43E}" name="Column11585"/>
    <tableColumn id="11613" xr3:uid="{184BF4B8-1F31-4AA0-BC85-DDA871261E7A}" name="Column11586"/>
    <tableColumn id="11614" xr3:uid="{F7623F1C-EADB-497A-9447-C54B344641AE}" name="Column11587"/>
    <tableColumn id="11615" xr3:uid="{6F02DAFB-C780-4B9E-9608-A267CDDFB1D6}" name="Column11588"/>
    <tableColumn id="11616" xr3:uid="{F827829E-B3F6-48E6-A1E4-FB0F90FBB800}" name="Column11589"/>
    <tableColumn id="11617" xr3:uid="{65E23916-D8D5-43D2-91B7-AC77379C7735}" name="Column11590"/>
    <tableColumn id="11618" xr3:uid="{E2C9D743-9FC6-474C-9FC5-052B1E533DD4}" name="Column11591"/>
    <tableColumn id="11619" xr3:uid="{EA22541E-3D5C-462B-9F34-0319D6AC591B}" name="Column11592"/>
    <tableColumn id="11620" xr3:uid="{4F0EA993-CD98-4D9D-9B6A-2B58C56F5090}" name="Column11593"/>
    <tableColumn id="11621" xr3:uid="{935D8EBA-1463-4D51-AE41-8F870050D910}" name="Column11594"/>
    <tableColumn id="11622" xr3:uid="{FECB4FED-6787-4E7C-99A2-86CE53003C42}" name="Column11595"/>
    <tableColumn id="11623" xr3:uid="{8DAF9432-9699-4B33-9763-2C0C8FB7CF7F}" name="Column11596"/>
    <tableColumn id="11624" xr3:uid="{634460A0-B38D-46A6-A661-F98287E5A76B}" name="Column11597"/>
    <tableColumn id="11625" xr3:uid="{F8E18FD0-721E-4746-8AC7-5018D9407544}" name="Column11598"/>
    <tableColumn id="11626" xr3:uid="{158F8D3C-C8D2-4CEC-8F7C-9FB0FAF0C154}" name="Column11599"/>
    <tableColumn id="11627" xr3:uid="{F6D9EC1D-3571-47D9-BDB3-F28FDC78541A}" name="Column11600"/>
    <tableColumn id="11628" xr3:uid="{98ABC911-2B70-4026-87CF-FE8B9297891A}" name="Column11601"/>
    <tableColumn id="11629" xr3:uid="{9A26A097-795E-4169-96C8-B4D8EE0DD7E2}" name="Column11602"/>
    <tableColumn id="11630" xr3:uid="{77D70B80-954D-40EE-9562-7B3F8DEF847D}" name="Column11603"/>
    <tableColumn id="11631" xr3:uid="{D34040C5-125F-49F2-87E7-B4579CE7432A}" name="Column11604"/>
    <tableColumn id="11632" xr3:uid="{825B178C-50DF-4D60-A7CB-DE85E39C92BA}" name="Column11605"/>
    <tableColumn id="11633" xr3:uid="{D6428F3D-39FC-40C1-9B52-A374688EFEEF}" name="Column11606"/>
    <tableColumn id="11634" xr3:uid="{5DCDD8B2-92FC-4AE6-9086-2690C45077E0}" name="Column11607"/>
    <tableColumn id="11635" xr3:uid="{D94C73FB-50F9-459E-B44A-DCE72DE470A4}" name="Column11608"/>
    <tableColumn id="11636" xr3:uid="{DFC0AED4-35EB-49D9-8386-E7691D09074C}" name="Column11609"/>
    <tableColumn id="11637" xr3:uid="{5ECE5524-F7FC-4B56-B613-C559C4666CF9}" name="Column11610"/>
    <tableColumn id="11638" xr3:uid="{03F41D14-947B-430B-A3E4-A2BD6700435C}" name="Column11611"/>
    <tableColumn id="11639" xr3:uid="{AB0477E4-A5ED-4236-8A51-496013481D50}" name="Column11612"/>
    <tableColumn id="11640" xr3:uid="{BB1CFA89-23F3-4EE8-9B07-621F1A811C6F}" name="Column11613"/>
    <tableColumn id="11641" xr3:uid="{62D74304-CEF9-4238-ABA6-F9CC28B11A0E}" name="Column11614"/>
    <tableColumn id="11642" xr3:uid="{26B27EF5-9D7F-4911-9CFE-E53994617E85}" name="Column11615"/>
    <tableColumn id="11643" xr3:uid="{9A8C9707-483B-4239-811F-A3F0AD8012D7}" name="Column11616"/>
    <tableColumn id="11644" xr3:uid="{9AFFB7DF-EF97-4E28-87F1-C61C5E705153}" name="Column11617"/>
    <tableColumn id="11645" xr3:uid="{1DD8D859-E2CA-42A3-BD81-E0FAD0F3DC20}" name="Column11618"/>
    <tableColumn id="11646" xr3:uid="{4B36B1C9-51FD-4DF8-ADBC-9AEB2D53302D}" name="Column11619"/>
    <tableColumn id="11647" xr3:uid="{245CF7AF-7ACD-4877-8E9F-6A9745F5BB00}" name="Column11620"/>
    <tableColumn id="11648" xr3:uid="{4B23B98A-4C2E-499D-B841-96FC9C6CD53E}" name="Column11621"/>
    <tableColumn id="11649" xr3:uid="{CE66EA3B-46F1-4E5C-99BA-D0859FCF4F71}" name="Column11622"/>
    <tableColumn id="11650" xr3:uid="{4C9AD0F1-90DD-4987-9592-84121691391A}" name="Column11623"/>
    <tableColumn id="11651" xr3:uid="{53FF723B-C42C-45F6-B05C-E694B40A9EC0}" name="Column11624"/>
    <tableColumn id="11652" xr3:uid="{15274C87-04CE-45D2-8C8B-8AB1AD24454A}" name="Column11625"/>
    <tableColumn id="11653" xr3:uid="{BFF6B594-9048-4AD8-B7A5-BB6F495342D4}" name="Column11626"/>
    <tableColumn id="11654" xr3:uid="{CBE8C99A-D3D8-4790-AFF7-63D7D7FE0589}" name="Column11627"/>
    <tableColumn id="11655" xr3:uid="{9DBA0AAE-9B1E-470D-8A74-A61FC8DF9CA5}" name="Column11628"/>
    <tableColumn id="11656" xr3:uid="{1C5D128C-6959-41B2-B3E3-96EFDA7A58AC}" name="Column11629"/>
    <tableColumn id="11657" xr3:uid="{361D71D7-811E-4661-ABA3-89BD1BD490C6}" name="Column11630"/>
    <tableColumn id="11658" xr3:uid="{FDD94A59-BF07-45AB-B2EE-84F8EE2D2D99}" name="Column11631"/>
    <tableColumn id="11659" xr3:uid="{EB3CF4E7-052C-4DA7-99EA-B0689C6DF3F9}" name="Column11632"/>
    <tableColumn id="11660" xr3:uid="{46A88F10-C382-4B6E-AAF7-45AA2B3E7CF6}" name="Column11633"/>
    <tableColumn id="11661" xr3:uid="{90C9E495-ADBC-4567-AC70-78605CDE3B8D}" name="Column11634"/>
    <tableColumn id="11662" xr3:uid="{6F5AB6C1-BFA2-4F52-9FD0-31857C647C08}" name="Column11635"/>
    <tableColumn id="11663" xr3:uid="{A9D64D65-B398-4F4D-8BBD-7F9B7A32A028}" name="Column11636"/>
    <tableColumn id="11664" xr3:uid="{100F5549-2425-46BA-951E-74219A365CAC}" name="Column11637"/>
    <tableColumn id="11665" xr3:uid="{8871CDD0-A85A-45A9-AE1E-CAD05A9B0554}" name="Column11638"/>
    <tableColumn id="11666" xr3:uid="{049D4E01-ECF3-41DB-A527-47CCD1E77207}" name="Column11639"/>
    <tableColumn id="11667" xr3:uid="{514C8865-1B4C-4AAA-9B1B-2B56671F2CCC}" name="Column11640"/>
    <tableColumn id="11668" xr3:uid="{84FD3BF5-7AB1-4405-8B22-2E4AE5350D32}" name="Column11641"/>
    <tableColumn id="11669" xr3:uid="{BD5F789B-612B-44D5-A4D9-EEF65B36AE2E}" name="Column11642"/>
    <tableColumn id="11670" xr3:uid="{11E67389-CA72-4A48-94A0-C18B5AFB9C19}" name="Column11643"/>
    <tableColumn id="11671" xr3:uid="{7FDB2364-7F36-483A-A0C1-B969FACF12C4}" name="Column11644"/>
    <tableColumn id="11672" xr3:uid="{3866D5B5-5A4B-45F9-AE8C-CE51EA77C7F5}" name="Column11645"/>
    <tableColumn id="11673" xr3:uid="{BFEB6140-3B6A-4245-A890-6C8885BE7CD0}" name="Column11646"/>
    <tableColumn id="11674" xr3:uid="{4802443E-D3A9-4910-8E94-931D241376EF}" name="Column11647"/>
    <tableColumn id="11675" xr3:uid="{8FFB1E38-69C7-4373-8458-4AE1CC63D448}" name="Column11648"/>
    <tableColumn id="11676" xr3:uid="{8114D30F-F634-416C-943A-13D6B4FF1B21}" name="Column11649"/>
    <tableColumn id="11677" xr3:uid="{5411C06D-EDC9-473D-893F-C7E13F21A4DD}" name="Column11650"/>
    <tableColumn id="11678" xr3:uid="{D233FDCC-D0DC-4A8A-8E94-3C2E4D3BBF8F}" name="Column11651"/>
    <tableColumn id="11679" xr3:uid="{175D72EA-63EF-47A0-A24F-27B8E19D9CB5}" name="Column11652"/>
    <tableColumn id="11680" xr3:uid="{56549491-8B38-4004-AE8F-4D2307D76E8B}" name="Column11653"/>
    <tableColumn id="11681" xr3:uid="{CC66F4E5-8F28-47F1-BC75-279EBE217B4A}" name="Column11654"/>
    <tableColumn id="11682" xr3:uid="{DA353325-9A12-44DF-B085-BC1197B9EF46}" name="Column11655"/>
    <tableColumn id="11683" xr3:uid="{B483B895-09D8-436F-A573-8549FC4453BC}" name="Column11656"/>
    <tableColumn id="11684" xr3:uid="{86ECA5D5-D3ED-424E-843B-EEF3AC6D64BF}" name="Column11657"/>
    <tableColumn id="11685" xr3:uid="{791176F3-2CE6-46F7-98CD-B3E351666E3C}" name="Column11658"/>
    <tableColumn id="11686" xr3:uid="{22E4BCED-B7B4-4B7B-8A0A-67EEA9A44934}" name="Column11659"/>
    <tableColumn id="11687" xr3:uid="{170D0FA3-DC0B-41BC-AEAA-7365F2D5E663}" name="Column11660"/>
    <tableColumn id="11688" xr3:uid="{D1B82029-234F-4A0B-9201-23911FCDCF55}" name="Column11661"/>
    <tableColumn id="11689" xr3:uid="{BB1B2635-3E6F-4C80-803E-CC9326734C5C}" name="Column11662"/>
    <tableColumn id="11690" xr3:uid="{26A83E83-C0CD-430E-9EFF-E47ABCA1A381}" name="Column11663"/>
    <tableColumn id="11691" xr3:uid="{5EA2C867-1979-47E8-8436-4C4719963A9E}" name="Column11664"/>
    <tableColumn id="11692" xr3:uid="{46749643-683E-44C4-B964-34DEC720D48C}" name="Column11665"/>
    <tableColumn id="11693" xr3:uid="{44BC4CF9-EF49-4217-8122-C44862F941D7}" name="Column11666"/>
    <tableColumn id="11694" xr3:uid="{ABC1203D-B743-488E-A423-BA906A87635B}" name="Column11667"/>
    <tableColumn id="11695" xr3:uid="{EF74DCBF-FDC9-43F2-BF7D-58A006E70C08}" name="Column11668"/>
    <tableColumn id="11696" xr3:uid="{421B100D-8442-436F-A490-D142BD547263}" name="Column11669"/>
    <tableColumn id="11697" xr3:uid="{2DAAB03E-1752-4B4B-8DCD-1B86570F3A28}" name="Column11670"/>
    <tableColumn id="11698" xr3:uid="{4995F5F6-E390-436A-B414-74BF9A2FEDFB}" name="Column11671"/>
    <tableColumn id="11699" xr3:uid="{50502F4C-BA38-49C1-87DB-ADE21EA4FEAA}" name="Column11672"/>
    <tableColumn id="11700" xr3:uid="{4A2DB13B-FC5A-483F-9429-1341ED777DB4}" name="Column11673"/>
    <tableColumn id="11701" xr3:uid="{8B03119E-2051-415B-A0D9-76B8E64E0E67}" name="Column11674"/>
    <tableColumn id="11702" xr3:uid="{03995A9C-0FF6-43FA-85F0-61272D8F6AE8}" name="Column11675"/>
    <tableColumn id="11703" xr3:uid="{074329CE-1641-4D39-8F0C-EAB3B3F69C2B}" name="Column11676"/>
    <tableColumn id="11704" xr3:uid="{3E4CE556-74B6-4D8B-A6A9-6EB44A48D015}" name="Column11677"/>
    <tableColumn id="11705" xr3:uid="{499AA4A2-AF0A-4177-A244-B945E69E6181}" name="Column11678"/>
    <tableColumn id="11706" xr3:uid="{60047560-6B94-4B49-AC8C-6495A272D27F}" name="Column11679"/>
    <tableColumn id="11707" xr3:uid="{EDAFEE70-936D-4F7C-A943-942DAAB22940}" name="Column11680"/>
    <tableColumn id="11708" xr3:uid="{94BE115C-1B75-4184-80A9-28DCFB89C9C7}" name="Column11681"/>
    <tableColumn id="11709" xr3:uid="{BDE1680D-A4EA-4718-B99C-BC886F38E1AD}" name="Column11682"/>
    <tableColumn id="11710" xr3:uid="{5665A363-DF93-4D8B-9E7A-0F7D36FB6A2A}" name="Column11683"/>
    <tableColumn id="11711" xr3:uid="{552D173D-97DF-4BBB-A227-F809F8CB30BD}" name="Column11684"/>
    <tableColumn id="11712" xr3:uid="{CC43F4D2-04F8-4A53-8219-9B25B5125C7F}" name="Column11685"/>
    <tableColumn id="11713" xr3:uid="{9DC7FDD4-D8EE-48B9-AE73-9EC1FB814759}" name="Column11686"/>
    <tableColumn id="11714" xr3:uid="{A4153152-DD60-4C3F-BEE4-E68BB341FCB4}" name="Column11687"/>
    <tableColumn id="11715" xr3:uid="{B0340D94-8C23-4B91-948E-8F9FE68FB552}" name="Column11688"/>
    <tableColumn id="11716" xr3:uid="{B8BF3FFD-88A6-44CE-848B-4C0F4B1A1EE8}" name="Column11689"/>
    <tableColumn id="11717" xr3:uid="{8547D96C-C13F-47A5-8A57-4A202CCBD35B}" name="Column11690"/>
    <tableColumn id="11718" xr3:uid="{29A733A1-3886-49B1-9619-F909F76A5923}" name="Column11691"/>
    <tableColumn id="11719" xr3:uid="{0BD052E4-753E-45C5-B9D5-20925C2A5633}" name="Column11692"/>
    <tableColumn id="11720" xr3:uid="{464E5A9F-E18B-4F5F-BBC9-04C18AA35F02}" name="Column11693"/>
    <tableColumn id="11721" xr3:uid="{8239F065-354C-44FC-99A9-77C072220510}" name="Column11694"/>
    <tableColumn id="11722" xr3:uid="{3059B17D-2B59-4362-9114-CA90CD5CC6ED}" name="Column11695"/>
    <tableColumn id="11723" xr3:uid="{B471A677-4271-4CC1-BB9C-A8B155684927}" name="Column11696"/>
    <tableColumn id="11724" xr3:uid="{B1D77408-FE45-46FE-965F-CD5D8A6AFF7F}" name="Column11697"/>
    <tableColumn id="11725" xr3:uid="{39254649-9759-4148-BBF3-002260E462BD}" name="Column11698"/>
    <tableColumn id="11726" xr3:uid="{A31A2336-B73D-4E68-B743-13D9F10E99F4}" name="Column11699"/>
    <tableColumn id="11727" xr3:uid="{02FDC350-BCDD-40C5-A71C-2E173680540D}" name="Column11700"/>
    <tableColumn id="11728" xr3:uid="{4D4C01FA-9538-42DA-9FB1-54D4D964BDBF}" name="Column11701"/>
    <tableColumn id="11729" xr3:uid="{F5416A71-CB50-41D1-A744-528E2F372698}" name="Column11702"/>
    <tableColumn id="11730" xr3:uid="{D5044C75-2A9D-4BE0-841A-AE881278EB03}" name="Column11703"/>
    <tableColumn id="11731" xr3:uid="{27B800C1-4DC8-450B-A1F1-C6F7F2284394}" name="Column11704"/>
    <tableColumn id="11732" xr3:uid="{08AA7391-4EC4-4BE3-BC7E-F5EB989625A4}" name="Column11705"/>
    <tableColumn id="11733" xr3:uid="{6524087B-1F53-48EF-AC09-0BA63F48C1A1}" name="Column11706"/>
    <tableColumn id="11734" xr3:uid="{6A3D16AC-44B9-4E36-BD0A-E558A9B595F3}" name="Column11707"/>
    <tableColumn id="11735" xr3:uid="{8C689040-4416-4E5C-AAFD-BF8BDAF1C02A}" name="Column11708"/>
    <tableColumn id="11736" xr3:uid="{CC7F9476-DB1D-4FA0-B5DC-D019A25B8DC3}" name="Column11709"/>
    <tableColumn id="11737" xr3:uid="{BF71CF5A-9202-4179-975C-F854ADBFD92B}" name="Column11710"/>
    <tableColumn id="11738" xr3:uid="{4BECC332-3FBB-436C-A5F3-22B8D69157CE}" name="Column11711"/>
    <tableColumn id="11739" xr3:uid="{6B67F95B-4B88-42DD-A07E-44686BF13794}" name="Column11712"/>
    <tableColumn id="11740" xr3:uid="{5D357BCC-6921-4978-91F0-8CF54BCDB0C1}" name="Column11713"/>
    <tableColumn id="11741" xr3:uid="{3EEFADED-173E-4B14-9DCA-8BC6AC8BA086}" name="Column11714"/>
    <tableColumn id="11742" xr3:uid="{8BEF7A63-2D9C-4E89-A00F-DF7DA125205F}" name="Column11715"/>
    <tableColumn id="11743" xr3:uid="{AFCE6892-E9BB-4884-AB24-D4267608BCEE}" name="Column11716"/>
    <tableColumn id="11744" xr3:uid="{447BD4C1-D65F-4FB3-AE85-7EED3E1E712E}" name="Column11717"/>
    <tableColumn id="11745" xr3:uid="{44284445-2164-4BF0-B844-B879B30FC487}" name="Column11718"/>
    <tableColumn id="11746" xr3:uid="{FE6D4D23-525A-4BDF-9ED1-4B2B97AAA0D4}" name="Column11719"/>
    <tableColumn id="11747" xr3:uid="{C929B7C4-6A4D-4361-9461-C01F3335A962}" name="Column11720"/>
    <tableColumn id="11748" xr3:uid="{FE4FCFD3-E6FC-40EB-8B26-504E36B2313B}" name="Column11721"/>
    <tableColumn id="11749" xr3:uid="{463DED2A-B538-4D4C-8994-07989CFD9680}" name="Column11722"/>
    <tableColumn id="11750" xr3:uid="{D9933820-071B-4CB5-9E0B-5907A80119AE}" name="Column11723"/>
    <tableColumn id="11751" xr3:uid="{941FE0DF-3831-4BE0-8AC7-C89A19980A37}" name="Column11724"/>
    <tableColumn id="11752" xr3:uid="{78893671-1F13-4D2F-8BB6-399EE2CB1471}" name="Column11725"/>
    <tableColumn id="11753" xr3:uid="{D86AB333-17B5-454F-9DA3-1E81119CE86D}" name="Column11726"/>
    <tableColumn id="11754" xr3:uid="{33D1F003-A067-46A5-9806-8A6B6A223DF2}" name="Column11727"/>
    <tableColumn id="11755" xr3:uid="{3CB39C3A-8735-437E-939E-E8D182A6A5ED}" name="Column11728"/>
    <tableColumn id="11756" xr3:uid="{E7E8FA98-0C8B-4218-875C-67EF61832777}" name="Column11729"/>
    <tableColumn id="11757" xr3:uid="{E22EF3DD-4578-4676-AA95-A803B9505BEB}" name="Column11730"/>
    <tableColumn id="11758" xr3:uid="{8FED5113-05B2-4DC6-9923-6B0424F801CA}" name="Column11731"/>
    <tableColumn id="11759" xr3:uid="{46C03D4F-1086-4051-8C66-6A2B79514737}" name="Column11732"/>
    <tableColumn id="11760" xr3:uid="{F64995D2-1062-4361-9D64-D42C1F8C3322}" name="Column11733"/>
    <tableColumn id="11761" xr3:uid="{D5CBA1F6-FE78-4CB2-941D-24BB7A88A430}" name="Column11734"/>
    <tableColumn id="11762" xr3:uid="{F0967E33-C1A0-4DEE-9AF7-E352DB3CDF4E}" name="Column11735"/>
    <tableColumn id="11763" xr3:uid="{7C98B1DF-8D27-4FB0-9CAA-4E03B7EEC3E3}" name="Column11736"/>
    <tableColumn id="11764" xr3:uid="{25F45E8D-882B-45DF-9CB8-A8A86CF65417}" name="Column11737"/>
    <tableColumn id="11765" xr3:uid="{17C37C89-39EA-49D2-A2BA-F1231AD8D3BB}" name="Column11738"/>
    <tableColumn id="11766" xr3:uid="{80ECC0A8-2D32-422E-AE4C-784172F20ED1}" name="Column11739"/>
    <tableColumn id="11767" xr3:uid="{4499C3AA-9E39-4F99-A25B-3091697EFDE2}" name="Column11740"/>
    <tableColumn id="11768" xr3:uid="{9C5174BA-6BA6-4506-8015-E72D89BB2487}" name="Column11741"/>
    <tableColumn id="11769" xr3:uid="{5E1704B0-7DC8-452F-A649-3EBB5FDC68B6}" name="Column11742"/>
    <tableColumn id="11770" xr3:uid="{FD17F8AF-29E9-4931-BC02-1998D2D4FC8E}" name="Column11743"/>
    <tableColumn id="11771" xr3:uid="{410DA4A6-E145-4F4F-81BB-B14A1DC49157}" name="Column11744"/>
    <tableColumn id="11772" xr3:uid="{CF2C4B47-9AC1-4544-82D3-7B8A25E0CFAD}" name="Column11745"/>
    <tableColumn id="11773" xr3:uid="{2B9A8015-B501-4D2E-9A99-7B4DC24673C9}" name="Column11746"/>
    <tableColumn id="11774" xr3:uid="{E484CFC1-0EB1-46D9-AA19-9BB879EDBE02}" name="Column11747"/>
    <tableColumn id="11775" xr3:uid="{D5D6C176-D0CB-4098-884B-3DE414EBE7DA}" name="Column11748"/>
    <tableColumn id="11776" xr3:uid="{8ED41A7D-6636-4E16-AA6D-4271D8BEF274}" name="Column11749"/>
    <tableColumn id="11777" xr3:uid="{C05C1D70-9E98-45CC-BF4F-4798FD8029C7}" name="Column11750"/>
    <tableColumn id="11778" xr3:uid="{3EDC21EE-AB88-4603-A1C9-021A22756254}" name="Column11751"/>
    <tableColumn id="11779" xr3:uid="{328C4377-1715-47CB-8629-A078DAAB38F7}" name="Column11752"/>
    <tableColumn id="11780" xr3:uid="{7253590D-3606-40D4-AE6E-9F28E6D7DBFD}" name="Column11753"/>
    <tableColumn id="11781" xr3:uid="{5E326A45-4263-4304-8AAE-FCFAEB2FD974}" name="Column11754"/>
    <tableColumn id="11782" xr3:uid="{5999EC7F-8C20-4B0A-B9D9-D88E510085DB}" name="Column11755"/>
    <tableColumn id="11783" xr3:uid="{BFEA34A9-D4C5-4B19-9BBA-D9C0196CF431}" name="Column11756"/>
    <tableColumn id="11784" xr3:uid="{BC0608A8-FEBA-499C-A52E-428D05910CE7}" name="Column11757"/>
    <tableColumn id="11785" xr3:uid="{A7D89BB3-F9AF-4F63-BDB5-2B452481C51E}" name="Column11758"/>
    <tableColumn id="11786" xr3:uid="{B443C498-9001-413A-A6A7-16685365FB22}" name="Column11759"/>
    <tableColumn id="11787" xr3:uid="{7617589E-5F4D-4E2C-9F77-B948C0BC3DE9}" name="Column11760"/>
    <tableColumn id="11788" xr3:uid="{CE29472F-CF9B-4CFA-BD92-6BDB82EEF329}" name="Column11761"/>
    <tableColumn id="11789" xr3:uid="{27C3A7AE-4CFD-48A3-837A-97732DE6DC51}" name="Column11762"/>
    <tableColumn id="11790" xr3:uid="{0511D5B3-CD8A-495F-9EE1-B24E949D74AA}" name="Column11763"/>
    <tableColumn id="11791" xr3:uid="{26BD37A6-CEFB-4B18-B15C-3337934904CE}" name="Column11764"/>
    <tableColumn id="11792" xr3:uid="{D9D88CA9-3C47-4EBB-9A71-11FA77DC5D0D}" name="Column11765"/>
    <tableColumn id="11793" xr3:uid="{77024B5F-2793-43B9-801A-72D3C6FDE0FC}" name="Column11766"/>
    <tableColumn id="11794" xr3:uid="{0A5724B8-A45F-4A23-9CB0-DD783F9B7660}" name="Column11767"/>
    <tableColumn id="11795" xr3:uid="{DC406C30-29CB-4E40-B822-D6013BB344C1}" name="Column11768"/>
    <tableColumn id="11796" xr3:uid="{4B378DD2-31A3-4695-A30E-0C299F89DD1E}" name="Column11769"/>
    <tableColumn id="11797" xr3:uid="{63563288-FBC5-45DC-92C0-6E1D00C1F8F0}" name="Column11770"/>
    <tableColumn id="11798" xr3:uid="{FC889554-37C8-4974-B7D1-7911D146BAD8}" name="Column11771"/>
    <tableColumn id="11799" xr3:uid="{FFE43F53-5AC8-40F5-9924-9C115A130963}" name="Column11772"/>
    <tableColumn id="11800" xr3:uid="{89F89F78-2898-4B29-A825-BDC4C0E82854}" name="Column11773"/>
    <tableColumn id="11801" xr3:uid="{39AFA7DF-4C70-4EEC-9997-72D4DCB51AF4}" name="Column11774"/>
    <tableColumn id="11802" xr3:uid="{66C87517-2672-436D-B276-0F086E1880FA}" name="Column11775"/>
    <tableColumn id="11803" xr3:uid="{81AD2299-DCA8-4681-B718-6F671377DBD9}" name="Column11776"/>
    <tableColumn id="11804" xr3:uid="{ADF5B9CF-8AFF-4768-A935-4C1F99E3DB85}" name="Column11777"/>
    <tableColumn id="11805" xr3:uid="{127876EB-9A31-4A71-8439-2757E4B1A88E}" name="Column11778"/>
    <tableColumn id="11806" xr3:uid="{68882E38-76A5-4354-92B5-F436B9D18BDE}" name="Column11779"/>
    <tableColumn id="11807" xr3:uid="{8FEC3CB0-2DF2-4700-B70D-35B74EC3B420}" name="Column11780"/>
    <tableColumn id="11808" xr3:uid="{1F86958D-2569-464A-9736-3ED7D06CA93E}" name="Column11781"/>
    <tableColumn id="11809" xr3:uid="{096AA3D6-695B-47C3-881D-25FCFBBF942F}" name="Column11782"/>
    <tableColumn id="11810" xr3:uid="{B97CE78B-5F5E-42F1-95A8-B6590B644DC0}" name="Column11783"/>
    <tableColumn id="11811" xr3:uid="{DBBB0054-4C21-4315-A43A-85AFD33497C3}" name="Column11784"/>
    <tableColumn id="11812" xr3:uid="{2028DEB8-E950-45B8-9EEC-C6FAE386630B}" name="Column11785"/>
    <tableColumn id="11813" xr3:uid="{72B48187-5C02-49AA-9CAE-50F5BC235A09}" name="Column11786"/>
    <tableColumn id="11814" xr3:uid="{56F48CE6-45CA-4138-8B34-66529D5064EB}" name="Column11787"/>
    <tableColumn id="11815" xr3:uid="{FC641025-1578-4EF4-9E6D-5B7C85D2A6F2}" name="Column11788"/>
    <tableColumn id="11816" xr3:uid="{1E92899C-FDEA-4EEC-B297-79FAFC12A62F}" name="Column11789"/>
    <tableColumn id="11817" xr3:uid="{1734286E-4497-40E8-A215-646929E2CA55}" name="Column11790"/>
    <tableColumn id="11818" xr3:uid="{722B15A6-3ECC-4392-8F05-A9275FFBB6AE}" name="Column11791"/>
    <tableColumn id="11819" xr3:uid="{A23EBE69-97A9-4586-8D56-5A08FE864590}" name="Column11792"/>
    <tableColumn id="11820" xr3:uid="{58BE68D2-38F4-44A1-B884-313F09B95888}" name="Column11793"/>
    <tableColumn id="11821" xr3:uid="{91852EBF-4BE5-4D69-9111-4BAB629AB714}" name="Column11794"/>
    <tableColumn id="11822" xr3:uid="{C87EC8FE-3C85-4131-AEE4-DC34E93BF370}" name="Column11795"/>
    <tableColumn id="11823" xr3:uid="{46CC0A23-6A23-4BD9-B3FC-B044B093493B}" name="Column11796"/>
    <tableColumn id="11824" xr3:uid="{99E6AF32-CA4D-4670-9513-1A2DB553A429}" name="Column11797"/>
    <tableColumn id="11825" xr3:uid="{ABDA0FFC-7646-49F8-A5BE-47408D761DE8}" name="Column11798"/>
    <tableColumn id="11826" xr3:uid="{9BC065BC-BEEB-445F-8504-D3881B30F81E}" name="Column11799"/>
    <tableColumn id="11827" xr3:uid="{4349B554-E390-409A-8A18-0125F676B674}" name="Column11800"/>
    <tableColumn id="11828" xr3:uid="{43F5C9E7-7E78-486E-85C8-77B6F2BE941A}" name="Column11801"/>
    <tableColumn id="11829" xr3:uid="{076B3D2D-C4B4-46F4-9376-C898EDE04422}" name="Column11802"/>
    <tableColumn id="11830" xr3:uid="{9D6E261A-1A6A-44C3-92A4-D366BA65BD7F}" name="Column11803"/>
    <tableColumn id="11831" xr3:uid="{D5B22F6B-0BF2-464C-B62B-55AD19CCB490}" name="Column11804"/>
    <tableColumn id="11832" xr3:uid="{C1D78D47-985C-4DCA-92BD-2A3C07A07A24}" name="Column11805"/>
    <tableColumn id="11833" xr3:uid="{0D32A413-5BF2-458C-93BB-F2C3BC714FCE}" name="Column11806"/>
    <tableColumn id="11834" xr3:uid="{EC8E53C6-A880-45CF-BFA6-FD482432E7DA}" name="Column11807"/>
    <tableColumn id="11835" xr3:uid="{48A057F1-C767-409B-AC8F-F0C1022D25FB}" name="Column11808"/>
    <tableColumn id="11836" xr3:uid="{B6DDBC97-7D61-47A7-8DDA-4DE28FE9E857}" name="Column11809"/>
    <tableColumn id="11837" xr3:uid="{21867E40-6EF5-4CD8-8B79-B61611BC1A93}" name="Column11810"/>
    <tableColumn id="11838" xr3:uid="{5A03A09E-EEA1-470F-AA16-F4ABBF9DD4F8}" name="Column11811"/>
    <tableColumn id="11839" xr3:uid="{E3BC3F79-A1F1-4E87-A1F2-E6AD137E1CD8}" name="Column11812"/>
    <tableColumn id="11840" xr3:uid="{6AC2D8AC-F854-4A49-BF14-7895305AFD84}" name="Column11813"/>
    <tableColumn id="11841" xr3:uid="{F4630990-DFD0-4205-AED7-9C8D1EEEA45F}" name="Column11814"/>
    <tableColumn id="11842" xr3:uid="{92CB9F72-20C4-4878-9102-946D39FA3D96}" name="Column11815"/>
    <tableColumn id="11843" xr3:uid="{B5919BE6-363A-46B6-BC9C-9A3DB62FB95B}" name="Column11816"/>
    <tableColumn id="11844" xr3:uid="{8E96B01E-B0C9-48C9-B5AF-77587345950C}" name="Column11817"/>
    <tableColumn id="11845" xr3:uid="{2F0F32DC-1E13-47A9-9243-B68E35CA6AD7}" name="Column11818"/>
    <tableColumn id="11846" xr3:uid="{626797A9-59D4-49DC-BA15-CF8DF6EB30F2}" name="Column11819"/>
    <tableColumn id="11847" xr3:uid="{6D951D74-C7AE-4568-863F-177D1F766C84}" name="Column11820"/>
    <tableColumn id="11848" xr3:uid="{B1BC0F1E-51DE-450F-A19E-D304ECCA401F}" name="Column11821"/>
    <tableColumn id="11849" xr3:uid="{CE891698-7F34-4818-838B-CFCCA363BBED}" name="Column11822"/>
    <tableColumn id="11850" xr3:uid="{B5D26E58-9FFD-4FE8-843B-E61C01C0D07F}" name="Column11823"/>
    <tableColumn id="11851" xr3:uid="{CEACD326-8ED9-4572-BF2A-51F807609C63}" name="Column11824"/>
    <tableColumn id="11852" xr3:uid="{1EE2E170-891D-42B0-A4A3-81EF656AD063}" name="Column11825"/>
    <tableColumn id="11853" xr3:uid="{E555C278-8F73-4C7C-B472-701D7C58DA2F}" name="Column11826"/>
    <tableColumn id="11854" xr3:uid="{7E6EC3AC-294B-4740-9BEA-3C93BCA79705}" name="Column11827"/>
    <tableColumn id="11855" xr3:uid="{BCB42961-4085-4709-A221-CA2A3E02D008}" name="Column11828"/>
    <tableColumn id="11856" xr3:uid="{ED4A6032-A04C-45F6-B66D-49D9585788B1}" name="Column11829"/>
    <tableColumn id="11857" xr3:uid="{55F26425-9BE4-4C24-AFD3-63542BD3F3B2}" name="Column11830"/>
    <tableColumn id="11858" xr3:uid="{34C9F768-C0FB-4107-B48F-98445FA05BD6}" name="Column11831"/>
    <tableColumn id="11859" xr3:uid="{0EF1F33F-6025-453C-9F08-1B49967B8ED1}" name="Column11832"/>
    <tableColumn id="11860" xr3:uid="{C58E53B6-4040-4BD6-8285-2C985BD12300}" name="Column11833"/>
    <tableColumn id="11861" xr3:uid="{9B354BD1-DD92-4149-96AE-6FE001B6379E}" name="Column11834"/>
    <tableColumn id="11862" xr3:uid="{23A074A4-EF53-402B-998A-99546C31391C}" name="Column11835"/>
    <tableColumn id="11863" xr3:uid="{579AA1E3-882E-4932-AC0B-3AD90146568E}" name="Column11836"/>
    <tableColumn id="11864" xr3:uid="{7D5C0920-DD07-4A38-BB19-2EB9967A41E4}" name="Column11837"/>
    <tableColumn id="11865" xr3:uid="{B2D0F6C2-4F8A-43F6-AE7B-81AFA9978577}" name="Column11838"/>
    <tableColumn id="11866" xr3:uid="{5C6BB2D6-FF65-47B7-9FBA-B7AED082AF8F}" name="Column11839"/>
    <tableColumn id="11867" xr3:uid="{1F4BF897-D757-4EA7-9498-90A55F2F054D}" name="Column11840"/>
    <tableColumn id="11868" xr3:uid="{29F40496-B0E7-4D22-903B-39ED30CD3CAA}" name="Column11841"/>
    <tableColumn id="11869" xr3:uid="{4D1FFC33-1E09-4A07-9F88-7BFB248F02A2}" name="Column11842"/>
    <tableColumn id="11870" xr3:uid="{1CB73666-287D-47AB-9D41-55FA40D133D7}" name="Column11843"/>
    <tableColumn id="11871" xr3:uid="{0244A5B9-6473-49A4-992D-AC16C2D53347}" name="Column11844"/>
    <tableColumn id="11872" xr3:uid="{18E64848-1A1B-44F0-BA28-0AC4A29D624C}" name="Column11845"/>
    <tableColumn id="11873" xr3:uid="{591A9240-A10A-4780-9933-35199C8A4422}" name="Column11846"/>
    <tableColumn id="11874" xr3:uid="{140DC4EF-E622-4F00-85AF-5949CB721DC0}" name="Column11847"/>
    <tableColumn id="11875" xr3:uid="{054FCA05-2EBE-4782-95B3-18984ABA92C3}" name="Column11848"/>
    <tableColumn id="11876" xr3:uid="{0476F67B-AB9D-41A3-80E5-C209C61248F0}" name="Column11849"/>
    <tableColumn id="11877" xr3:uid="{886E1F0D-D87A-4803-B6DC-3971F206C326}" name="Column11850"/>
    <tableColumn id="11878" xr3:uid="{F7423246-C91F-4CC8-A431-4A37F56B73C3}" name="Column11851"/>
    <tableColumn id="11879" xr3:uid="{0E525345-9A55-4D9B-B7A7-74B3F00BC565}" name="Column11852"/>
    <tableColumn id="11880" xr3:uid="{4BE2B862-1CF7-47BC-B1EA-70FC68D1D2F9}" name="Column11853"/>
    <tableColumn id="11881" xr3:uid="{456E446A-8B91-4597-B77D-B62498961F79}" name="Column11854"/>
    <tableColumn id="11882" xr3:uid="{8CD02282-8B6C-4EA6-AF92-7DE6EBB739C5}" name="Column11855"/>
    <tableColumn id="11883" xr3:uid="{01A32889-3174-4452-9425-F7C07051B60D}" name="Column11856"/>
    <tableColumn id="11884" xr3:uid="{668E6D5D-21B6-4344-8949-2B05D33C513B}" name="Column11857"/>
    <tableColumn id="11885" xr3:uid="{DF3E29EE-CFB0-430F-B08E-A0C57D06F641}" name="Column11858"/>
    <tableColumn id="11886" xr3:uid="{B5C58696-576E-4FE1-BEC4-CECBAA74C32F}" name="Column11859"/>
    <tableColumn id="11887" xr3:uid="{D154A3FC-A300-417A-A92D-4A6C6B7D097B}" name="Column11860"/>
    <tableColumn id="11888" xr3:uid="{C6D20D2E-510C-41D7-AAD1-E10E58626FE1}" name="Column11861"/>
    <tableColumn id="11889" xr3:uid="{CE9D5B7D-2E50-4330-9A9D-7273999DAA18}" name="Column11862"/>
    <tableColumn id="11890" xr3:uid="{38E6F632-9B67-48DD-909D-958F96A0E43C}" name="Column11863"/>
    <tableColumn id="11891" xr3:uid="{C1112CE6-B98B-45D7-85DC-E626AA36C4FC}" name="Column11864"/>
    <tableColumn id="11892" xr3:uid="{C433E8C9-C271-4C93-B97D-A2E359CCD07A}" name="Column11865"/>
    <tableColumn id="11893" xr3:uid="{F66B7B93-82A4-4607-B6A6-29936A3B69D2}" name="Column11866"/>
    <tableColumn id="11894" xr3:uid="{FF72C141-36BB-42BC-B06E-58F32F3CBB7D}" name="Column11867"/>
    <tableColumn id="11895" xr3:uid="{920C9B07-38E4-4E89-89F9-EC4874BE8FA2}" name="Column11868"/>
    <tableColumn id="11896" xr3:uid="{6A3AFE0E-4D92-4D62-AD73-7BA793B9FBA3}" name="Column11869"/>
    <tableColumn id="11897" xr3:uid="{757C387A-0504-4EFD-85FE-908CCA7C23BB}" name="Column11870"/>
    <tableColumn id="11898" xr3:uid="{9E400A0C-CBCD-417E-B144-BBBD0235B401}" name="Column11871"/>
    <tableColumn id="11899" xr3:uid="{E2C658B2-9C55-4271-9165-FFDCB34EA07D}" name="Column11872"/>
    <tableColumn id="11900" xr3:uid="{4884E9C7-49F6-446E-85E7-2792C89888F2}" name="Column11873"/>
    <tableColumn id="11901" xr3:uid="{962E892E-6490-4D4C-AEB1-D09A46E49889}" name="Column11874"/>
    <tableColumn id="11902" xr3:uid="{B187BAB4-461A-4DF7-8736-1220CB3D3AEC}" name="Column11875"/>
    <tableColumn id="11903" xr3:uid="{67887189-F758-42CD-936E-74A93309C94F}" name="Column11876"/>
    <tableColumn id="11904" xr3:uid="{A9549093-67F7-4E22-8B95-8AE7A1C379EA}" name="Column11877"/>
    <tableColumn id="11905" xr3:uid="{5AA8976F-9A7E-47E6-A2DE-B7F6B250EA7B}" name="Column11878"/>
    <tableColumn id="11906" xr3:uid="{8D5CFB93-FD1F-457F-880F-6194F08196A4}" name="Column11879"/>
    <tableColumn id="11907" xr3:uid="{9319C6A6-71D8-4262-9AA1-88E85516B9EA}" name="Column11880"/>
    <tableColumn id="11908" xr3:uid="{5B1DA42F-3865-4D3B-B311-3B2FF410F02A}" name="Column11881"/>
    <tableColumn id="11909" xr3:uid="{E5C2B22F-1D01-499E-A1CD-1A5860D7F2AB}" name="Column11882"/>
    <tableColumn id="11910" xr3:uid="{CF5E3D7E-9167-4606-9A1A-708564127FD9}" name="Column11883"/>
    <tableColumn id="11911" xr3:uid="{FD848EEC-BF69-45D5-AAD7-21F37DF0B6CC}" name="Column11884"/>
    <tableColumn id="11912" xr3:uid="{E087E4B2-B71E-43D5-8E1B-068BFD9AC8F0}" name="Column11885"/>
    <tableColumn id="11913" xr3:uid="{9CC24253-99B1-4692-8179-9918A9944DDF}" name="Column11886"/>
    <tableColumn id="11914" xr3:uid="{D91A76DA-5776-4614-9E6E-01C4531AEAE0}" name="Column11887"/>
    <tableColumn id="11915" xr3:uid="{1BB8ADD5-4973-4484-9BCD-E2000465AC33}" name="Column11888"/>
    <tableColumn id="11916" xr3:uid="{B3B6ECD2-A9E8-464A-8537-3366A5F73926}" name="Column11889"/>
    <tableColumn id="11917" xr3:uid="{718242C2-6C1E-48C4-9597-15492387E1B3}" name="Column11890"/>
    <tableColumn id="11918" xr3:uid="{999B069C-C1C7-4D48-8F25-18F0723CB459}" name="Column11891"/>
    <tableColumn id="11919" xr3:uid="{7A3EFEC0-C3B1-4E78-8050-7953CC5D76B5}" name="Column11892"/>
    <tableColumn id="11920" xr3:uid="{71B97857-CB55-470B-8C53-D79D62DD831F}" name="Column11893"/>
    <tableColumn id="11921" xr3:uid="{DB1719A5-F8B4-4260-A2A7-D208F47D2C73}" name="Column11894"/>
    <tableColumn id="11922" xr3:uid="{7B7B78CB-1CE1-463F-B17C-2C1C0647FEDE}" name="Column11895"/>
    <tableColumn id="11923" xr3:uid="{5FE55F84-F2EE-4947-AC4D-9CB983641796}" name="Column11896"/>
    <tableColumn id="11924" xr3:uid="{EE81B007-DF81-4E39-BC80-173BDAD95534}" name="Column11897"/>
    <tableColumn id="11925" xr3:uid="{E1D5EAA6-12C6-4156-87E8-28749EF7D4A9}" name="Column11898"/>
    <tableColumn id="11926" xr3:uid="{52CFF509-46BB-4C36-9878-45FF82CCC698}" name="Column11899"/>
    <tableColumn id="11927" xr3:uid="{25DA5A1C-F7EC-4086-B5B6-72D55F8DBAC4}" name="Column11900"/>
    <tableColumn id="11928" xr3:uid="{226BBB4C-960C-4D85-81DD-828E09423249}" name="Column11901"/>
    <tableColumn id="11929" xr3:uid="{D019E5CA-1A1D-4F01-B648-337E678551EF}" name="Column11902"/>
    <tableColumn id="11930" xr3:uid="{589D31BF-8C2C-4907-81D6-6AA0C0B322A0}" name="Column11903"/>
    <tableColumn id="11931" xr3:uid="{996865F4-C731-4EA9-9467-9B9963B852C8}" name="Column11904"/>
    <tableColumn id="11932" xr3:uid="{291C4B7D-5CAD-42B2-A479-2E13579AC189}" name="Column11905"/>
    <tableColumn id="11933" xr3:uid="{97B9944D-C66C-4F23-850F-CC8E60C30B28}" name="Column11906"/>
    <tableColumn id="11934" xr3:uid="{A5643525-A493-4B4F-8E67-D6DD39A2992A}" name="Column11907"/>
    <tableColumn id="11935" xr3:uid="{E05C56BE-0056-45B5-B8F8-3BCEF61D32D9}" name="Column11908"/>
    <tableColumn id="11936" xr3:uid="{05040F3A-35A5-47F1-8DF8-1EF8220F6000}" name="Column11909"/>
    <tableColumn id="11937" xr3:uid="{6F425280-9B7E-4949-BA5D-BB17E23A5CAB}" name="Column11910"/>
    <tableColumn id="11938" xr3:uid="{40137D3C-687A-4C46-B8BB-F2A07865A207}" name="Column11911"/>
    <tableColumn id="11939" xr3:uid="{9A8E8CAF-B4EC-4B1E-8273-08D672A48071}" name="Column11912"/>
    <tableColumn id="11940" xr3:uid="{E3F0E590-9796-4952-AC94-C35069A06D2E}" name="Column11913"/>
    <tableColumn id="11941" xr3:uid="{01DF6AD3-ECE1-4CF7-A782-E26CB8768F56}" name="Column11914"/>
    <tableColumn id="11942" xr3:uid="{7CB8193C-DBF8-45CC-B32F-E8DF8651B60D}" name="Column11915"/>
    <tableColumn id="11943" xr3:uid="{A40D7870-DAD3-4B0B-81B6-53A39D95C38C}" name="Column11916"/>
    <tableColumn id="11944" xr3:uid="{A6905D69-1379-4AF1-9C07-F542157223F3}" name="Column11917"/>
    <tableColumn id="11945" xr3:uid="{17A786D4-C967-4DC2-81AE-58242CAA2C34}" name="Column11918"/>
    <tableColumn id="11946" xr3:uid="{78B2EF6E-8466-405D-8418-3576268ACE9B}" name="Column11919"/>
    <tableColumn id="11947" xr3:uid="{0F0491C2-AFDE-4A98-92EE-2879B3C6EAD7}" name="Column11920"/>
    <tableColumn id="11948" xr3:uid="{12654A0D-B8B9-415A-8B19-2F7047928550}" name="Column11921"/>
    <tableColumn id="11949" xr3:uid="{8E97B656-5B30-4A36-87E5-1DB2D5D2F1B6}" name="Column11922"/>
    <tableColumn id="11950" xr3:uid="{88D48D4E-2323-4E38-A474-6BF7F7C090CC}" name="Column11923"/>
    <tableColumn id="11951" xr3:uid="{912B090C-A107-47A1-8477-4B87E19C9E81}" name="Column11924"/>
    <tableColumn id="11952" xr3:uid="{EBF681C3-92D1-4EF9-A2CA-635E41B9E22D}" name="Column11925"/>
    <tableColumn id="11953" xr3:uid="{D0103345-0848-4D22-8FF6-55E48238F5D3}" name="Column11926"/>
    <tableColumn id="11954" xr3:uid="{082EADC0-B530-4616-90F6-C6B74C761DDB}" name="Column11927"/>
    <tableColumn id="11955" xr3:uid="{99C1D9A9-9E17-4FBF-BEA1-5A59158EE4E4}" name="Column11928"/>
    <tableColumn id="11956" xr3:uid="{155F66BF-2642-403E-9971-9F9A751E6F00}" name="Column11929"/>
    <tableColumn id="11957" xr3:uid="{867A1AEF-3AFD-4901-8395-CCFFC575F235}" name="Column11930"/>
    <tableColumn id="11958" xr3:uid="{18B110C2-849A-48FF-9014-418DD9E16F49}" name="Column11931"/>
    <tableColumn id="11959" xr3:uid="{A7D64B4C-78A7-4134-A169-E530236C4261}" name="Column11932"/>
    <tableColumn id="11960" xr3:uid="{D95E0F9A-A10B-4C24-8B5F-502C4A96AAE1}" name="Column11933"/>
    <tableColumn id="11961" xr3:uid="{E4C93F09-E695-4DE3-98F3-BFF8A3C77302}" name="Column11934"/>
    <tableColumn id="11962" xr3:uid="{5049471C-A9C9-41D2-91C0-95101295E5C7}" name="Column11935"/>
    <tableColumn id="11963" xr3:uid="{5FA6F421-E2D7-4CB8-BDA9-498BE469EE9B}" name="Column11936"/>
    <tableColumn id="11964" xr3:uid="{737B9728-B580-4E4C-A90E-C157889A2F62}" name="Column11937"/>
    <tableColumn id="11965" xr3:uid="{BFCEC524-75B7-4810-B238-35A8A04ED4C7}" name="Column11938"/>
    <tableColumn id="11966" xr3:uid="{1B25057E-3E7A-493E-965D-03E671CFC3C2}" name="Column11939"/>
    <tableColumn id="11967" xr3:uid="{5D0A74E3-B269-41AE-B235-5C2A5EDDBF5D}" name="Column11940"/>
    <tableColumn id="11968" xr3:uid="{1F95963F-B5A8-4CE6-9DBB-9846AB1C0C42}" name="Column11941"/>
    <tableColumn id="11969" xr3:uid="{C473284D-142F-4D65-94D4-7E6189C8FB81}" name="Column11942"/>
    <tableColumn id="11970" xr3:uid="{151290F4-EAD2-465B-BF25-ECD55D987AF0}" name="Column11943"/>
    <tableColumn id="11971" xr3:uid="{E56C2B71-C1E8-4A3A-9F36-F2E8C72A2AA5}" name="Column11944"/>
    <tableColumn id="11972" xr3:uid="{138A5907-104C-4440-92F7-7496A4C5E46B}" name="Column11945"/>
    <tableColumn id="11973" xr3:uid="{5897F438-7099-4AC2-9C1D-2FBBAE158091}" name="Column11946"/>
    <tableColumn id="11974" xr3:uid="{D17A5D17-ED23-44AD-A494-7775533CDA2A}" name="Column11947"/>
    <tableColumn id="11975" xr3:uid="{C5FB490C-2E4B-441B-812F-7AAAF9945CBB}" name="Column11948"/>
    <tableColumn id="11976" xr3:uid="{7675782C-F3C9-412A-9A0C-2FCBD909AAAB}" name="Column11949"/>
    <tableColumn id="11977" xr3:uid="{15D34A8C-5CC7-4F87-9F9D-052497F66CA9}" name="Column11950"/>
    <tableColumn id="11978" xr3:uid="{69B31FA5-B7F1-49A1-852E-173C57EDB60F}" name="Column11951"/>
    <tableColumn id="11979" xr3:uid="{1D5D7D15-EA8A-446A-80BA-CE715C349D2C}" name="Column11952"/>
    <tableColumn id="11980" xr3:uid="{2BFFC9F2-E95C-4854-A494-A0CF8A967A87}" name="Column11953"/>
    <tableColumn id="11981" xr3:uid="{DC55EB5A-D76E-4DC7-944A-4E2ECBC6BB4F}" name="Column11954"/>
    <tableColumn id="11982" xr3:uid="{AD122F32-1A5A-4D32-B99F-68E098146741}" name="Column11955"/>
    <tableColumn id="11983" xr3:uid="{49E45D89-89E8-434E-A479-E4B97B8C08A7}" name="Column11956"/>
    <tableColumn id="11984" xr3:uid="{3C41D713-7348-474A-B9B0-9C1D91A8DBA0}" name="Column11957"/>
    <tableColumn id="11985" xr3:uid="{6FC6759F-1447-4E79-A51D-64E29B096B54}" name="Column11958"/>
    <tableColumn id="11986" xr3:uid="{4276DF6A-2FCF-475E-8713-58E6CF2CF630}" name="Column11959"/>
    <tableColumn id="11987" xr3:uid="{57804E3C-F480-4871-B7F6-3306CF3A24B0}" name="Column11960"/>
    <tableColumn id="11988" xr3:uid="{950F5343-4F5F-4893-88D1-F89627A23BEA}" name="Column11961"/>
    <tableColumn id="11989" xr3:uid="{C1347054-F42C-4C26-93ED-7F73781D477E}" name="Column11962"/>
    <tableColumn id="11990" xr3:uid="{3518A9D3-BEC3-483C-98CD-6F3F94D86A06}" name="Column11963"/>
    <tableColumn id="11991" xr3:uid="{B82DFDEE-2CD7-4561-91C1-21365B7D7EBC}" name="Column11964"/>
    <tableColumn id="11992" xr3:uid="{BF6EA472-6B07-4538-9ADD-53D1CDC1CDBB}" name="Column11965"/>
    <tableColumn id="11993" xr3:uid="{540535C9-49CA-4F00-9D46-15F6459F2819}" name="Column11966"/>
    <tableColumn id="11994" xr3:uid="{C59B209D-1B3F-41E1-B4C0-553F2E10F172}" name="Column11967"/>
    <tableColumn id="11995" xr3:uid="{0C9A2CD7-3C01-4184-8BDE-67BAC467F47E}" name="Column11968"/>
    <tableColumn id="11996" xr3:uid="{56C01AD0-D265-4349-9CEA-D08EB6939EE9}" name="Column11969"/>
    <tableColumn id="11997" xr3:uid="{338A07D9-0C21-4325-A87B-B4122944C467}" name="Column11970"/>
    <tableColumn id="11998" xr3:uid="{EB757956-EF9E-4504-9889-A0D4E271BF4F}" name="Column11971"/>
    <tableColumn id="11999" xr3:uid="{33A89C40-5B14-46FD-B3AC-3A9211E2B41C}" name="Column11972"/>
    <tableColumn id="12000" xr3:uid="{F1BA3C1C-4D51-48EC-9353-1866780BA413}" name="Column11973"/>
    <tableColumn id="12001" xr3:uid="{1162C843-D7DA-4FAD-AC5A-965040DA2924}" name="Column11974"/>
    <tableColumn id="12002" xr3:uid="{24F780AF-EA06-4C19-AC83-A4D7D199CA97}" name="Column11975"/>
    <tableColumn id="12003" xr3:uid="{2D75B0C8-15D7-4747-82BD-F6C87E4E8929}" name="Column11976"/>
    <tableColumn id="12004" xr3:uid="{675580DC-C354-4F2D-821A-26B8CBFD68C1}" name="Column11977"/>
    <tableColumn id="12005" xr3:uid="{4CD51F2E-932D-484F-8C70-E66EABFE3ADD}" name="Column11978"/>
    <tableColumn id="12006" xr3:uid="{6E256281-E18F-4946-AE75-2A1502A045D2}" name="Column11979"/>
    <tableColumn id="12007" xr3:uid="{187885E3-71ED-45C9-A481-5EF54B9ABAD9}" name="Column11980"/>
    <tableColumn id="12008" xr3:uid="{AC215613-715F-4F78-91CD-9A96F9F26142}" name="Column11981"/>
    <tableColumn id="12009" xr3:uid="{49D2080B-7A70-49C8-ABDB-A2766E152842}" name="Column11982"/>
    <tableColumn id="12010" xr3:uid="{42E703C8-B8C6-4186-BA4E-5BC89A2BEC58}" name="Column11983"/>
    <tableColumn id="12011" xr3:uid="{7C667F22-BC69-4377-A3C5-21BCB923C354}" name="Column11984"/>
    <tableColumn id="12012" xr3:uid="{AE7175B1-5222-4239-BE1F-B895FFCDDD81}" name="Column11985"/>
    <tableColumn id="12013" xr3:uid="{F546BBA5-ED27-41DD-B423-270781E1FB4E}" name="Column11986"/>
    <tableColumn id="12014" xr3:uid="{D7C77667-DD0C-4251-9683-849B8C48DFCA}" name="Column11987"/>
    <tableColumn id="12015" xr3:uid="{7B2EC14C-1CA8-4474-A0A3-1A4A05A8EB75}" name="Column11988"/>
    <tableColumn id="12016" xr3:uid="{7A831790-DF45-4200-A609-0DEA9D0DEDF1}" name="Column11989"/>
    <tableColumn id="12017" xr3:uid="{BF47B71E-F1E7-4943-BC19-C36135DB7379}" name="Column11990"/>
    <tableColumn id="12018" xr3:uid="{A7B5061E-779F-4026-AA8B-D6679371F0FA}" name="Column11991"/>
    <tableColumn id="12019" xr3:uid="{01A3516D-90C2-4B4E-BAC5-8457456828DC}" name="Column11992"/>
    <tableColumn id="12020" xr3:uid="{D560F060-8BA3-40E9-B42E-762C7C0A0951}" name="Column11993"/>
    <tableColumn id="12021" xr3:uid="{B6629879-CBA9-48FB-8FAB-3EA500E09985}" name="Column11994"/>
    <tableColumn id="12022" xr3:uid="{B86E8B69-8DE0-416B-A317-703AFFDBAD0E}" name="Column11995"/>
    <tableColumn id="12023" xr3:uid="{6FFC08CE-D1C5-4C7B-A264-40A5F401C17A}" name="Column11996"/>
    <tableColumn id="12024" xr3:uid="{38EA14CB-28B1-42EA-81FA-63812D9ACF22}" name="Column11997"/>
    <tableColumn id="12025" xr3:uid="{8C984746-5FC8-4DC7-B8A7-1077637B863C}" name="Column11998"/>
    <tableColumn id="12026" xr3:uid="{B94DC67F-672F-4CDE-81F8-EC5502B6870C}" name="Column11999"/>
    <tableColumn id="12027" xr3:uid="{CAC98611-E776-4F24-A612-9DA4189084B0}" name="Column12000"/>
    <tableColumn id="12028" xr3:uid="{7BEF2180-4A6A-4681-A170-485835AB9267}" name="Column12001"/>
    <tableColumn id="12029" xr3:uid="{0D5C7FBD-088E-42E6-990C-7F9B06C82174}" name="Column12002"/>
    <tableColumn id="12030" xr3:uid="{E91F4508-8E06-41D8-9DE2-631F65177CA7}" name="Column12003"/>
    <tableColumn id="12031" xr3:uid="{70140CB7-2336-4F45-8270-7D9FFF6692D7}" name="Column12004"/>
    <tableColumn id="12032" xr3:uid="{A28CDED2-2213-41F7-85C6-857688FC0523}" name="Column12005"/>
    <tableColumn id="12033" xr3:uid="{DEF0C02F-81F7-46F2-B948-2365AF6F1A7A}" name="Column12006"/>
    <tableColumn id="12034" xr3:uid="{BF20F6B7-FC3A-41EC-AE06-C437CB6A34D9}" name="Column12007"/>
    <tableColumn id="12035" xr3:uid="{F5B522EE-DD0B-4B10-9E5E-032304159612}" name="Column12008"/>
    <tableColumn id="12036" xr3:uid="{47885925-60C8-44AA-8ADF-8DA80CB64B5F}" name="Column12009"/>
    <tableColumn id="12037" xr3:uid="{147B0F29-BA7F-4DEF-980B-D352CF8D7F8E}" name="Column12010"/>
    <tableColumn id="12038" xr3:uid="{01387BFC-5034-45A6-9DBA-DB393F7401F2}" name="Column12011"/>
    <tableColumn id="12039" xr3:uid="{9CA94094-E4F4-48B5-8101-E823F2E4491C}" name="Column12012"/>
    <tableColumn id="12040" xr3:uid="{FDED83E1-870E-4962-A2B1-42B4D6C39B22}" name="Column12013"/>
    <tableColumn id="12041" xr3:uid="{3711D17A-A493-434E-AB4A-96D195E2099D}" name="Column12014"/>
    <tableColumn id="12042" xr3:uid="{30BD9A56-0C6D-4AB5-8EDE-552D14D59A6E}" name="Column12015"/>
    <tableColumn id="12043" xr3:uid="{D7CFA2D6-78BA-4A78-936E-85781CD19B07}" name="Column12016"/>
    <tableColumn id="12044" xr3:uid="{4272A339-4FB5-489B-9CD3-3FC185DC0841}" name="Column12017"/>
    <tableColumn id="12045" xr3:uid="{1C000C64-1246-4170-81A3-0CF419272F37}" name="Column12018"/>
    <tableColumn id="12046" xr3:uid="{6BB4F09E-88D9-4CAF-B6C7-88A4BB454CDC}" name="Column12019"/>
    <tableColumn id="12047" xr3:uid="{3D80ED35-7E94-4C2D-BA65-0B360748C3E7}" name="Column12020"/>
    <tableColumn id="12048" xr3:uid="{23EF7170-2CDB-486F-B5C9-E8274B5C7FBE}" name="Column12021"/>
    <tableColumn id="12049" xr3:uid="{C0AC8212-173F-419D-B400-E7DE4AB6AAC2}" name="Column12022"/>
    <tableColumn id="12050" xr3:uid="{D90DB2AA-5FE8-4463-8B94-9811232A25E8}" name="Column12023"/>
    <tableColumn id="12051" xr3:uid="{79CC7AD7-CFD2-460B-B194-67A8E1B022A7}" name="Column12024"/>
    <tableColumn id="12052" xr3:uid="{49ABE7F6-841A-49B5-B26D-5BB1C09B45D1}" name="Column12025"/>
    <tableColumn id="12053" xr3:uid="{3E155EBD-771A-4551-93C6-0E51B5B1D79B}" name="Column12026"/>
    <tableColumn id="12054" xr3:uid="{4B4F84A5-8D76-44CA-A83B-B444202F0C36}" name="Column12027"/>
    <tableColumn id="12055" xr3:uid="{93DA9E8D-0F1D-4A96-A706-0AE79B47B653}" name="Column12028"/>
    <tableColumn id="12056" xr3:uid="{67BAF1C1-FEA6-4D3F-AF36-18F4DD8D3450}" name="Column12029"/>
    <tableColumn id="12057" xr3:uid="{B2366506-F5CC-4728-929A-D39572277A30}" name="Column12030"/>
    <tableColumn id="12058" xr3:uid="{9C0163C3-953C-4B73-95A0-1F866CBA7114}" name="Column12031"/>
    <tableColumn id="12059" xr3:uid="{8B6D2991-D5C3-4729-831C-517F6D5BF36C}" name="Column12032"/>
    <tableColumn id="12060" xr3:uid="{313A5ACC-CB2B-4693-8AFE-3849183567CD}" name="Column12033"/>
    <tableColumn id="12061" xr3:uid="{91292D28-FF15-4335-BCBE-0ED34D25D897}" name="Column12034"/>
    <tableColumn id="12062" xr3:uid="{5ACFEDCD-C757-4D3B-AB1E-8839B85503B6}" name="Column12035"/>
    <tableColumn id="12063" xr3:uid="{33FC752C-BD97-49A8-B500-CDD3667F5C27}" name="Column12036"/>
    <tableColumn id="12064" xr3:uid="{32078EE2-74BA-43D3-8E80-858FDACECECE}" name="Column12037"/>
    <tableColumn id="12065" xr3:uid="{666034F9-4F33-4EC1-9D38-49838A8B3503}" name="Column12038"/>
    <tableColumn id="12066" xr3:uid="{E6D52CCC-4033-4C90-BBFA-8C000EB35686}" name="Column12039"/>
    <tableColumn id="12067" xr3:uid="{60941964-9962-4B79-9E1C-7A5DCB00C979}" name="Column12040"/>
    <tableColumn id="12068" xr3:uid="{E740B6E7-85C6-497A-B450-F4250917712C}" name="Column12041"/>
    <tableColumn id="12069" xr3:uid="{46FA4D18-0EC1-4412-B852-E2B1D1795EBA}" name="Column12042"/>
    <tableColumn id="12070" xr3:uid="{1ECB4A5E-4B5E-4031-B96E-58EDC6E13DEF}" name="Column12043"/>
    <tableColumn id="12071" xr3:uid="{D080ADBA-281A-46A5-B512-D098BDB4B1FE}" name="Column12044"/>
    <tableColumn id="12072" xr3:uid="{6CA54D4F-2389-4FBA-87A4-48BFF055FB25}" name="Column12045"/>
    <tableColumn id="12073" xr3:uid="{C9611E2A-3838-4BAB-B713-297837620F91}" name="Column12046"/>
    <tableColumn id="12074" xr3:uid="{D12BB3BB-7D9A-4294-9CDE-129BD7754816}" name="Column12047"/>
    <tableColumn id="12075" xr3:uid="{7B660162-2584-4389-982F-00C80C296C82}" name="Column12048"/>
    <tableColumn id="12076" xr3:uid="{DBDC50FE-06B2-47C3-83C2-CEFD354023AC}" name="Column12049"/>
    <tableColumn id="12077" xr3:uid="{9F46FF75-089C-4D45-9F81-5A42B080A763}" name="Column12050"/>
    <tableColumn id="12078" xr3:uid="{6B8E959C-DD55-4DF0-850B-8ACC98547587}" name="Column12051"/>
    <tableColumn id="12079" xr3:uid="{E9D68FB4-44B5-4C78-A7AE-4D887C91C55A}" name="Column12052"/>
    <tableColumn id="12080" xr3:uid="{22D1F150-306E-4BE2-A91D-9348C2FB04ED}" name="Column12053"/>
    <tableColumn id="12081" xr3:uid="{81E1A6F1-CCA2-4E62-95D7-789DC2748307}" name="Column12054"/>
    <tableColumn id="12082" xr3:uid="{C7D8B8E3-6699-4173-8AE1-74C108412248}" name="Column12055"/>
    <tableColumn id="12083" xr3:uid="{A9C08B3A-89DC-4C5C-9B52-E64ADF6D5275}" name="Column12056"/>
    <tableColumn id="12084" xr3:uid="{28E5C13C-AE7D-4E5E-99C5-9570C055D8E5}" name="Column12057"/>
    <tableColumn id="12085" xr3:uid="{183D8708-6177-49D5-8012-DEE4663341E2}" name="Column12058"/>
    <tableColumn id="12086" xr3:uid="{5DCD87CA-D592-42EC-AB1B-10FCAD3B72E2}" name="Column12059"/>
    <tableColumn id="12087" xr3:uid="{F813FDFB-BAF7-4598-A8AB-AD05E53F1FC1}" name="Column12060"/>
    <tableColumn id="12088" xr3:uid="{9666F607-9474-4924-898F-3918AF9354F4}" name="Column12061"/>
    <tableColumn id="12089" xr3:uid="{125FA9F4-B1DA-4871-9674-24963008F59B}" name="Column12062"/>
    <tableColumn id="12090" xr3:uid="{7FF68A8E-B919-4DD3-A3C6-A343B805DFE5}" name="Column12063"/>
    <tableColumn id="12091" xr3:uid="{CDEF6088-61FF-4B03-946C-3ED4EC1F77E1}" name="Column12064"/>
    <tableColumn id="12092" xr3:uid="{60791CCA-85AF-4A1E-B02F-34DB71553328}" name="Column12065"/>
    <tableColumn id="12093" xr3:uid="{8E73F06B-382E-42DC-B5EB-EDCA9DAB7A60}" name="Column12066"/>
    <tableColumn id="12094" xr3:uid="{5268D8BB-90C8-4225-B9A1-752B718DCE8D}" name="Column12067"/>
    <tableColumn id="12095" xr3:uid="{494C60A9-290F-4DAD-9084-1B54C5120EAB}" name="Column12068"/>
    <tableColumn id="12096" xr3:uid="{1EA183B0-6775-425C-B877-7A773AED9518}" name="Column12069"/>
    <tableColumn id="12097" xr3:uid="{EA69717E-0FD2-45E7-8CE3-F906F43DBFD9}" name="Column12070"/>
    <tableColumn id="12098" xr3:uid="{107C0D6C-DF8E-4B2C-896F-4B4F7D4C0D9E}" name="Column12071"/>
    <tableColumn id="12099" xr3:uid="{1AA4EE54-8B5A-46E3-BB4A-7CF25A7C09C4}" name="Column12072"/>
    <tableColumn id="12100" xr3:uid="{A245C9A8-F943-4E0B-8B21-1575EA00EC67}" name="Column12073"/>
    <tableColumn id="12101" xr3:uid="{94E1A61F-D632-4A09-AB97-B588CE665CE3}" name="Column12074"/>
    <tableColumn id="12102" xr3:uid="{76CB1F71-65A5-4A1D-AD78-8967039232A5}" name="Column12075"/>
    <tableColumn id="12103" xr3:uid="{B45A2021-2FCE-4C06-8391-6308B689EFD5}" name="Column12076"/>
    <tableColumn id="12104" xr3:uid="{F420A0C8-8E0E-4D93-BC0D-AA96248F9E56}" name="Column12077"/>
    <tableColumn id="12105" xr3:uid="{47035900-7E7D-428D-9B3E-7208577194C5}" name="Column12078"/>
    <tableColumn id="12106" xr3:uid="{69CCE3BD-0083-44FA-BDCB-CB7DCF303CF8}" name="Column12079"/>
    <tableColumn id="12107" xr3:uid="{38F00C30-53CC-47E2-8839-F5F98865A8AF}" name="Column12080"/>
    <tableColumn id="12108" xr3:uid="{A2E097E9-925B-4721-AAE8-BAB600811673}" name="Column12081"/>
    <tableColumn id="12109" xr3:uid="{8E5224D5-4416-4134-9311-8BD2BC28C652}" name="Column12082"/>
    <tableColumn id="12110" xr3:uid="{43932A34-802A-4F0D-8A96-C18B0C42FAD4}" name="Column12083"/>
    <tableColumn id="12111" xr3:uid="{B74DDF4B-C1B9-429B-820C-7A70AC0D0377}" name="Column12084"/>
    <tableColumn id="12112" xr3:uid="{7C19EA8B-66BF-494C-96B5-A5B276034714}" name="Column12085"/>
    <tableColumn id="12113" xr3:uid="{77B04AE5-9244-4993-BCA0-3D82EBCD73BF}" name="Column12086"/>
    <tableColumn id="12114" xr3:uid="{864DEBAF-4FE2-4823-AB85-7AECF9C3FAB3}" name="Column12087"/>
    <tableColumn id="12115" xr3:uid="{9368741F-39A8-4E51-95A4-CDFA5F55CD45}" name="Column12088"/>
    <tableColumn id="12116" xr3:uid="{0F534C27-3F7C-4460-B69E-C50992DC5DA6}" name="Column12089"/>
    <tableColumn id="12117" xr3:uid="{3529E4DA-C1A3-47A3-A1D3-1BE430DEE544}" name="Column12090"/>
    <tableColumn id="12118" xr3:uid="{B19B589D-40EC-4937-B999-D814AB1A3245}" name="Column12091"/>
    <tableColumn id="12119" xr3:uid="{65C61CD4-B4EC-4058-8693-75D1B86E25EF}" name="Column12092"/>
    <tableColumn id="12120" xr3:uid="{3565181D-70C7-46B4-821C-E60EC00A2DB2}" name="Column12093"/>
    <tableColumn id="12121" xr3:uid="{667B5CC3-601F-4D85-B0D3-D736BD3E99AD}" name="Column12094"/>
    <tableColumn id="12122" xr3:uid="{24B030E2-DB2B-4F3F-87D3-C8AB9CF0DF00}" name="Column12095"/>
    <tableColumn id="12123" xr3:uid="{9A08DA23-87C9-4218-827C-42B7D03630CB}" name="Column12096"/>
    <tableColumn id="12124" xr3:uid="{A6C8A6F7-BBBE-4048-8401-739DBA5CAD8E}" name="Column12097"/>
    <tableColumn id="12125" xr3:uid="{EB4A1DE9-4F8D-4823-AB5C-FC42E98F872E}" name="Column12098"/>
    <tableColumn id="12126" xr3:uid="{1E2FCADE-E617-4F90-8674-71F9C525DC21}" name="Column12099"/>
    <tableColumn id="12127" xr3:uid="{52EC747A-C062-4F4D-98EC-747AB8A5EE58}" name="Column12100"/>
    <tableColumn id="12128" xr3:uid="{4CD72D8D-BF49-4B63-8860-CA453C1F61A9}" name="Column12101"/>
    <tableColumn id="12129" xr3:uid="{1F6FAE94-7548-49BA-80C5-6884BFB9BCD5}" name="Column12102"/>
    <tableColumn id="12130" xr3:uid="{BD067DC3-F9B2-4410-BCF3-6FF149C4DEE1}" name="Column12103"/>
    <tableColumn id="12131" xr3:uid="{B2E8214B-6F53-4403-90CC-DB64121B1F96}" name="Column12104"/>
    <tableColumn id="12132" xr3:uid="{DAFFB21E-A544-4975-80A4-A008792405B0}" name="Column12105"/>
    <tableColumn id="12133" xr3:uid="{746908DA-D92D-4349-BF9E-34BFA21A14D8}" name="Column12106"/>
    <tableColumn id="12134" xr3:uid="{7350DFA0-B3B5-4CA2-BE98-F809AC5A485C}" name="Column12107"/>
    <tableColumn id="12135" xr3:uid="{9C4CB69D-C83A-4DDE-AC5F-B1B95DBAE78F}" name="Column12108"/>
    <tableColumn id="12136" xr3:uid="{8A3EBF1B-24D1-40CF-8699-39A665289E70}" name="Column12109"/>
    <tableColumn id="12137" xr3:uid="{5136B96D-DA02-4E00-8C8D-44BD0CD39A40}" name="Column12110"/>
    <tableColumn id="12138" xr3:uid="{48D3AF52-AF3B-4A5A-977A-33A8A7391E9D}" name="Column12111"/>
    <tableColumn id="12139" xr3:uid="{2B69E800-B56E-4BAC-B01C-7AE73E8B52E3}" name="Column12112"/>
    <tableColumn id="12140" xr3:uid="{FA724A48-4F67-4E82-944C-3978039B6EA4}" name="Column12113"/>
    <tableColumn id="12141" xr3:uid="{2F6B2802-962F-4E3C-A2E0-C91298898B83}" name="Column12114"/>
    <tableColumn id="12142" xr3:uid="{F136C9AA-CF88-4E8C-9A03-32F0DA755E07}" name="Column12115"/>
    <tableColumn id="12143" xr3:uid="{DBB42AA1-06CE-4DF7-AA9F-3BA83D0F52ED}" name="Column12116"/>
    <tableColumn id="12144" xr3:uid="{AA6F9EFB-1D96-462F-8EE3-01F1EB851931}" name="Column12117"/>
    <tableColumn id="12145" xr3:uid="{50492353-C402-4A7F-84A7-82D4CFC8F5F8}" name="Column12118"/>
    <tableColumn id="12146" xr3:uid="{5E2561E3-069B-48AE-AFFF-1C47E29DBA94}" name="Column12119"/>
    <tableColumn id="12147" xr3:uid="{40886844-23F9-476B-8CA8-4321488C3818}" name="Column12120"/>
    <tableColumn id="12148" xr3:uid="{2D3641D6-573B-4687-91E3-395864B46EC8}" name="Column12121"/>
    <tableColumn id="12149" xr3:uid="{2030BE79-DC4C-4218-BF54-04920864E51F}" name="Column12122"/>
    <tableColumn id="12150" xr3:uid="{16BDF4ED-B1BF-43D4-8226-A25E3EAA9E46}" name="Column12123"/>
    <tableColumn id="12151" xr3:uid="{CD07F93E-0D3F-4AF5-BD46-51C00D95A902}" name="Column12124"/>
    <tableColumn id="12152" xr3:uid="{E1D2253E-3580-48E5-B0A1-15D9622081D7}" name="Column12125"/>
    <tableColumn id="12153" xr3:uid="{856648E0-4355-4373-ADA0-C8DE040599E2}" name="Column12126"/>
    <tableColumn id="12154" xr3:uid="{A51B55C1-2867-4B59-8FC3-BE4BC507B012}" name="Column12127"/>
    <tableColumn id="12155" xr3:uid="{EA22C9CC-B216-42B5-B3DD-5F2A5CA36A55}" name="Column12128"/>
    <tableColumn id="12156" xr3:uid="{56FCD3EC-D6BB-4E38-965C-AB94BD79F654}" name="Column12129"/>
    <tableColumn id="12157" xr3:uid="{834794FC-F9B9-48AF-B37E-7F829480A920}" name="Column12130"/>
    <tableColumn id="12158" xr3:uid="{F76AB95D-954C-400F-A3F3-9243EBB23C75}" name="Column12131"/>
    <tableColumn id="12159" xr3:uid="{A7112046-01EE-48FF-8508-1910B79207FB}" name="Column12132"/>
    <tableColumn id="12160" xr3:uid="{605250DD-FDD6-4B9F-8C18-E56428E68CE1}" name="Column12133"/>
    <tableColumn id="12161" xr3:uid="{DA1951FA-0AF8-4596-A804-889E327F3549}" name="Column12134"/>
    <tableColumn id="12162" xr3:uid="{0EAD8934-54F1-47AA-A726-F34372B09A9D}" name="Column12135"/>
    <tableColumn id="12163" xr3:uid="{C08387A9-3D48-4E5E-806E-F3534A845237}" name="Column12136"/>
    <tableColumn id="12164" xr3:uid="{3A4AABA8-F16D-42CA-A566-C423A8F1EF46}" name="Column12137"/>
    <tableColumn id="12165" xr3:uid="{F3CD8F4F-D299-48D0-87C7-E7D2DEFBCE0D}" name="Column12138"/>
    <tableColumn id="12166" xr3:uid="{2F64F848-12FA-4F73-8EB0-B267DBDA4EAD}" name="Column12139"/>
    <tableColumn id="12167" xr3:uid="{6F4096D4-F9C2-4569-92F1-1BF5DB0239A4}" name="Column12140"/>
    <tableColumn id="12168" xr3:uid="{4EC493D5-5021-41AB-9384-92F5233131A8}" name="Column12141"/>
    <tableColumn id="12169" xr3:uid="{9E30A9C1-174A-49AD-97E8-5AC4127F64E1}" name="Column12142"/>
    <tableColumn id="12170" xr3:uid="{640C370E-DA57-401A-BF19-6197D74E8B9E}" name="Column12143"/>
    <tableColumn id="12171" xr3:uid="{12608522-A72F-44FE-8C77-B7EC861B46D5}" name="Column12144"/>
    <tableColumn id="12172" xr3:uid="{C3B4D4B4-7A7A-411A-962E-55AE98B0D55A}" name="Column12145"/>
    <tableColumn id="12173" xr3:uid="{61642071-FA8E-4FE6-8894-2DE1B3263074}" name="Column12146"/>
    <tableColumn id="12174" xr3:uid="{8D228503-FDAE-43B7-A86C-2058D68DB30F}" name="Column12147"/>
    <tableColumn id="12175" xr3:uid="{F3F9B83E-3930-469B-9879-5B97C336165B}" name="Column12148"/>
    <tableColumn id="12176" xr3:uid="{BC3C9C1B-49CC-4EB2-B027-CF6598B7F344}" name="Column12149"/>
    <tableColumn id="12177" xr3:uid="{5957DD8B-802A-4D9E-9BF9-6138018F0A0E}" name="Column12150"/>
    <tableColumn id="12178" xr3:uid="{ED0EA74A-26B9-40BC-BDD7-DEA888D6277C}" name="Column12151"/>
    <tableColumn id="12179" xr3:uid="{CF5B4414-0739-4CA0-AC52-4733B10BDE6B}" name="Column12152"/>
    <tableColumn id="12180" xr3:uid="{08DCB39D-FBE9-44F2-AE2B-2A4D9B480865}" name="Column12153"/>
    <tableColumn id="12181" xr3:uid="{67909476-290A-45F4-8626-C72C08EA6B2B}" name="Column12154"/>
    <tableColumn id="12182" xr3:uid="{8A5BE323-DF6B-4072-A21A-BD1A02D53CA0}" name="Column12155"/>
    <tableColumn id="12183" xr3:uid="{705195EE-EC5C-4A6B-91E7-296A1CEDCAF9}" name="Column12156"/>
    <tableColumn id="12184" xr3:uid="{2905CCE8-F31E-42AD-81AB-43C5968B2E19}" name="Column12157"/>
    <tableColumn id="12185" xr3:uid="{10DF3E8A-D2D9-477D-8D5A-FA9F8071EC57}" name="Column12158"/>
    <tableColumn id="12186" xr3:uid="{54888881-249F-405E-BD0B-DEAB4C01B399}" name="Column12159"/>
    <tableColumn id="12187" xr3:uid="{4BF4E3E6-8655-4A2C-831C-FC53E6015B09}" name="Column12160"/>
    <tableColumn id="12188" xr3:uid="{EEC42B10-95F6-46F5-AED4-16ADC37696B9}" name="Column12161"/>
    <tableColumn id="12189" xr3:uid="{92F48F0E-C570-4776-9CB3-FEB1B8EF8AE4}" name="Column12162"/>
    <tableColumn id="12190" xr3:uid="{FCEE9E14-345D-43FE-BF8E-FC19AAB7434C}" name="Column12163"/>
    <tableColumn id="12191" xr3:uid="{9C03B4D4-DAB2-4E95-A7A5-A73E7A7AB400}" name="Column12164"/>
    <tableColumn id="12192" xr3:uid="{A94E3B65-425B-4529-9B4A-367C0C0BB624}" name="Column12165"/>
    <tableColumn id="12193" xr3:uid="{39C99DC1-E09D-4269-8105-5A4FF82D1C97}" name="Column12166"/>
    <tableColumn id="12194" xr3:uid="{0E0FF45F-0FC6-4EE1-9F3B-047C6C7ABAC7}" name="Column12167"/>
    <tableColumn id="12195" xr3:uid="{0D2E74DA-10B1-449E-A777-C980FB0109A9}" name="Column12168"/>
    <tableColumn id="12196" xr3:uid="{9B6E4259-92BA-47FE-A2A1-0DB6C15FFC0A}" name="Column12169"/>
    <tableColumn id="12197" xr3:uid="{1644BC3C-507E-4F96-BB6C-494266F51AB8}" name="Column12170"/>
    <tableColumn id="12198" xr3:uid="{6FA59BFD-0432-496D-AAB0-0FF30BE6725C}" name="Column12171"/>
    <tableColumn id="12199" xr3:uid="{103941E9-3B2F-4413-A99F-52D3070CBBB2}" name="Column12172"/>
    <tableColumn id="12200" xr3:uid="{C9149C5A-145A-4710-9379-5972BA603BFA}" name="Column12173"/>
    <tableColumn id="12201" xr3:uid="{1408CEB2-FFEE-44F2-9BAF-4A3E55B2D135}" name="Column12174"/>
    <tableColumn id="12202" xr3:uid="{0D365E7A-4BAD-45F2-899C-1A82957D2C89}" name="Column12175"/>
    <tableColumn id="12203" xr3:uid="{1BA849A0-285F-46BA-9AD1-B49B02AC33AA}" name="Column12176"/>
    <tableColumn id="12204" xr3:uid="{9BA9118A-F36A-42B1-97FA-DF3EB420E045}" name="Column12177"/>
    <tableColumn id="12205" xr3:uid="{4BEEAD07-BAA8-411D-A755-E09882B32AA8}" name="Column12178"/>
    <tableColumn id="12206" xr3:uid="{80D0E8D1-9B89-46D9-8D3B-B5DC7660F619}" name="Column12179"/>
    <tableColumn id="12207" xr3:uid="{80BB8902-EED2-48EF-BBE4-FC213C044F5F}" name="Column12180"/>
    <tableColumn id="12208" xr3:uid="{A0DE12E3-4187-4A02-A54B-67E42EBCBEDA}" name="Column12181"/>
    <tableColumn id="12209" xr3:uid="{812C68F8-64F0-48FE-89A8-123849F62BB9}" name="Column12182"/>
    <tableColumn id="12210" xr3:uid="{D3D803A4-E673-4C45-9ABD-2E8DCF6EFC03}" name="Column12183"/>
    <tableColumn id="12211" xr3:uid="{627B868D-BE90-40BA-9AC5-77D05BE995B2}" name="Column12184"/>
    <tableColumn id="12212" xr3:uid="{97EAFD90-87A0-49AB-AD27-D4CEC9CADB3A}" name="Column12185"/>
    <tableColumn id="12213" xr3:uid="{789C8963-35E4-485C-91B6-95EC15EA6851}" name="Column12186"/>
    <tableColumn id="12214" xr3:uid="{13686CC6-C3F0-4E3E-B13C-6628AF8142A9}" name="Column12187"/>
    <tableColumn id="12215" xr3:uid="{725448C6-76FA-48F2-8CBD-5EFA41073CB7}" name="Column12188"/>
    <tableColumn id="12216" xr3:uid="{E8322691-25E6-4769-AFE6-74007C250616}" name="Column12189"/>
    <tableColumn id="12217" xr3:uid="{749D7132-E734-45C6-BCF4-891FE2D84591}" name="Column12190"/>
    <tableColumn id="12218" xr3:uid="{A7EDBA84-730B-4C7B-A50A-2418F2DCDCE2}" name="Column12191"/>
    <tableColumn id="12219" xr3:uid="{7DF9BAB3-E0E6-4CD7-8657-38C3D4F87601}" name="Column12192"/>
    <tableColumn id="12220" xr3:uid="{3E9622BE-2C6D-4762-8AC3-712B89CF4179}" name="Column12193"/>
    <tableColumn id="12221" xr3:uid="{B4A64E94-E8B8-46CC-9898-1AEB646CB49A}" name="Column12194"/>
    <tableColumn id="12222" xr3:uid="{8B6E179E-AA13-4ED0-B92C-D5A6AF3B910F}" name="Column12195"/>
    <tableColumn id="12223" xr3:uid="{1605C2BB-CF62-4C2C-9DEB-213FB3746922}" name="Column12196"/>
    <tableColumn id="12224" xr3:uid="{F7A02FC4-6443-40F0-A3B9-84B651B9BADC}" name="Column12197"/>
    <tableColumn id="12225" xr3:uid="{CC4D9895-BD7B-4EA4-9026-1A350A6FA8B6}" name="Column12198"/>
    <tableColumn id="12226" xr3:uid="{B95CB460-6501-44D3-BED9-79A3D4C10552}" name="Column12199"/>
    <tableColumn id="12227" xr3:uid="{99D90EBA-EEAD-4595-B30D-4E232B589022}" name="Column12200"/>
    <tableColumn id="12228" xr3:uid="{29B7EFFE-71EF-4361-8A3C-EF287CBC91FE}" name="Column12201"/>
    <tableColumn id="12229" xr3:uid="{172A8D38-CFC6-49C6-9B31-69212F2467B3}" name="Column12202"/>
    <tableColumn id="12230" xr3:uid="{14C9585A-807B-4D26-AD68-A40164941F90}" name="Column12203"/>
    <tableColumn id="12231" xr3:uid="{07C2C7BF-EB97-44A9-B0CB-13120F6AF11A}" name="Column12204"/>
    <tableColumn id="12232" xr3:uid="{7E4A767C-7560-4B2C-BAF4-693757CCC20E}" name="Column12205"/>
    <tableColumn id="12233" xr3:uid="{51348D2A-D822-425E-8E09-C51FAA812215}" name="Column12206"/>
    <tableColumn id="12234" xr3:uid="{69B7236D-3A52-4FB6-86BF-EB944C7FB35E}" name="Column12207"/>
    <tableColumn id="12235" xr3:uid="{91A72142-078A-4A12-A929-AFCE8A626549}" name="Column12208"/>
    <tableColumn id="12236" xr3:uid="{6F6A3B15-32F1-48CC-94B4-D1E484F64EA4}" name="Column12209"/>
    <tableColumn id="12237" xr3:uid="{92A9D166-2F24-4EE3-B8D4-7CBD10DF2E73}" name="Column12210"/>
    <tableColumn id="12238" xr3:uid="{319EE49B-4761-4746-AD2E-A9FC53EA3F13}" name="Column12211"/>
    <tableColumn id="12239" xr3:uid="{5343E09D-FBA5-4E0A-BF2A-106EBB15441D}" name="Column12212"/>
    <tableColumn id="12240" xr3:uid="{CEC70E44-D01F-4101-A5DA-82D28D96333D}" name="Column12213"/>
    <tableColumn id="12241" xr3:uid="{A49CD19A-57E5-41C0-A65C-38D8EB0D4351}" name="Column12214"/>
    <tableColumn id="12242" xr3:uid="{3EAE16C7-5236-400E-8FAC-FAB266C15E45}" name="Column12215"/>
    <tableColumn id="12243" xr3:uid="{5DBF7341-EB68-46EA-84BF-A4859AB59A78}" name="Column12216"/>
    <tableColumn id="12244" xr3:uid="{A530CD40-98DE-4C80-B68F-9842950537CC}" name="Column12217"/>
    <tableColumn id="12245" xr3:uid="{77BDEB01-A9C0-4476-96D2-A7ACE5908B3A}" name="Column12218"/>
    <tableColumn id="12246" xr3:uid="{8740204D-6B99-4ED1-BFD5-719E0D0C0C99}" name="Column12219"/>
    <tableColumn id="12247" xr3:uid="{EC7BA5E2-E8B9-4526-8715-83A686A32D41}" name="Column12220"/>
    <tableColumn id="12248" xr3:uid="{46E1AA91-0F47-4F06-B897-936ED87575FB}" name="Column12221"/>
    <tableColumn id="12249" xr3:uid="{8362AF79-673A-4AD0-9277-638F0C22B3D5}" name="Column12222"/>
    <tableColumn id="12250" xr3:uid="{9C944D44-02CB-42CB-9797-C15D07B73ABC}" name="Column12223"/>
    <tableColumn id="12251" xr3:uid="{1FA25A8F-25B8-4771-BF24-0560D9EBCA7F}" name="Column12224"/>
    <tableColumn id="12252" xr3:uid="{CCEF0342-C392-44C2-8706-41825FB05BD6}" name="Column12225"/>
    <tableColumn id="12253" xr3:uid="{F06DF9BD-F3BB-4A8E-A825-32FC36714509}" name="Column12226"/>
    <tableColumn id="12254" xr3:uid="{220448D4-99D7-41DE-9ECB-2FC584970E2B}" name="Column12227"/>
    <tableColumn id="12255" xr3:uid="{4AF9A941-9868-4DB1-9D68-88E24A8A3E4E}" name="Column12228"/>
    <tableColumn id="12256" xr3:uid="{34413077-308A-4931-8BCC-F4C34FFFFDF0}" name="Column12229"/>
    <tableColumn id="12257" xr3:uid="{CEC7E688-B14F-4CE7-9B8D-81A606D4F6DB}" name="Column12230"/>
    <tableColumn id="12258" xr3:uid="{C87629D6-782C-4813-9E32-38A83852F971}" name="Column12231"/>
    <tableColumn id="12259" xr3:uid="{ED3010D9-75C6-48D3-A3AC-0D2ABCE20B7C}" name="Column12232"/>
    <tableColumn id="12260" xr3:uid="{F0D27935-C1B0-4A7C-A512-FB429907250D}" name="Column12233"/>
    <tableColumn id="12261" xr3:uid="{BC940F98-454F-4321-9320-4AA051039EC5}" name="Column12234"/>
    <tableColumn id="12262" xr3:uid="{E19D9DF0-B5A1-4446-B9AA-59D046CF73C6}" name="Column12235"/>
    <tableColumn id="12263" xr3:uid="{4E68A897-B158-4676-848D-CF46805005C6}" name="Column12236"/>
    <tableColumn id="12264" xr3:uid="{E6190AAC-5139-4008-9E8F-24F2879B06C6}" name="Column12237"/>
    <tableColumn id="12265" xr3:uid="{1F63F537-CC01-4F5B-BA7E-6077FE85469F}" name="Column12238"/>
    <tableColumn id="12266" xr3:uid="{1D37D5EE-F767-4E5F-8C22-0447640989EF}" name="Column12239"/>
    <tableColumn id="12267" xr3:uid="{9ED98AF5-BBCC-4DD2-B2BB-395DD6A5D928}" name="Column12240"/>
    <tableColumn id="12268" xr3:uid="{EFC35BAA-D62E-4415-922F-1276DFCF0C1E}" name="Column12241"/>
    <tableColumn id="12269" xr3:uid="{97E3D22D-BC8D-428B-8539-49BA9003CE70}" name="Column12242"/>
    <tableColumn id="12270" xr3:uid="{240E3423-1612-4F12-AA6F-29EF4ED41164}" name="Column12243"/>
    <tableColumn id="12271" xr3:uid="{19C9FCA0-EB8F-4344-B5D1-F645643FD221}" name="Column12244"/>
    <tableColumn id="12272" xr3:uid="{356E6D56-0996-4E88-9F07-2A24EA519892}" name="Column12245"/>
    <tableColumn id="12273" xr3:uid="{AD1E7D05-D2B3-4566-A471-28F2F15E5BCB}" name="Column12246"/>
    <tableColumn id="12274" xr3:uid="{9364F6EB-701B-4A70-B5ED-1FE7D7EA37EB}" name="Column12247"/>
    <tableColumn id="12275" xr3:uid="{9FF79393-08BB-4893-9D46-9EFEECE5616C}" name="Column12248"/>
    <tableColumn id="12276" xr3:uid="{DC0BBE54-0079-4815-8C98-2FEE10E4A423}" name="Column12249"/>
    <tableColumn id="12277" xr3:uid="{2D316B4F-3237-4CF6-B656-59B88EA734BA}" name="Column12250"/>
    <tableColumn id="12278" xr3:uid="{0222821E-B3EC-45F0-9511-07C077F147BA}" name="Column12251"/>
    <tableColumn id="12279" xr3:uid="{6C42EF74-E995-4EAB-9B30-EB03C7C2740D}" name="Column12252"/>
    <tableColumn id="12280" xr3:uid="{03450DB6-EA0F-4C4B-997E-1C06C06F2C6D}" name="Column12253"/>
    <tableColumn id="12281" xr3:uid="{29BD62A9-9617-4792-A450-994D36A03DD6}" name="Column12254"/>
    <tableColumn id="12282" xr3:uid="{E7F526B8-E4C2-4973-B347-3A9E357AC8E7}" name="Column12255"/>
    <tableColumn id="12283" xr3:uid="{CBCEE326-F003-4495-B0F5-771C741FE666}" name="Column12256"/>
    <tableColumn id="12284" xr3:uid="{83D338CC-3DC9-4B10-84A0-B0A33F51C6AB}" name="Column12257"/>
    <tableColumn id="12285" xr3:uid="{3A0D12B3-8E87-4110-ABF4-379C1601B9DB}" name="Column12258"/>
    <tableColumn id="12286" xr3:uid="{C8CA8140-C9B8-464A-A381-10FCB656A3EC}" name="Column12259"/>
    <tableColumn id="12287" xr3:uid="{B444466C-A3FB-4E0A-A6B1-F429D28A67C4}" name="Column12260"/>
    <tableColumn id="12288" xr3:uid="{0BB5F959-B7DE-45CD-9246-225C7DB26112}" name="Column12261"/>
    <tableColumn id="12289" xr3:uid="{9E065B0E-04CF-41A6-B523-C3E86072D961}" name="Column12262"/>
    <tableColumn id="12290" xr3:uid="{6536E40D-35F7-46B3-90A3-A86595FEDAA3}" name="Column12263"/>
    <tableColumn id="12291" xr3:uid="{11141EBB-15EE-4EC9-92B1-842BF26E57BC}" name="Column12264"/>
    <tableColumn id="12292" xr3:uid="{2C47A648-2908-4475-8AA7-A5602316B162}" name="Column12265"/>
    <tableColumn id="12293" xr3:uid="{3EB37DD1-C38D-4385-8695-65F90C85FD99}" name="Column12266"/>
    <tableColumn id="12294" xr3:uid="{5BBAC56F-78F2-484A-AEDD-F4E4C2E5FF60}" name="Column12267"/>
    <tableColumn id="12295" xr3:uid="{DCD0B034-B664-40BD-A6EB-8C1C3011D0D0}" name="Column12268"/>
    <tableColumn id="12296" xr3:uid="{F9A1D207-D52B-4FD0-AC2A-E5EA2F739DD1}" name="Column12269"/>
    <tableColumn id="12297" xr3:uid="{4939833B-B02C-4E10-9AF9-E00F5918A879}" name="Column12270"/>
    <tableColumn id="12298" xr3:uid="{AEB90A73-0FB1-48D7-A1E8-5DFCC4251F20}" name="Column12271"/>
    <tableColumn id="12299" xr3:uid="{F9BC1799-B61A-49A7-9E4E-6B9E3188A6B9}" name="Column12272"/>
    <tableColumn id="12300" xr3:uid="{63CAEC0D-9E2E-4EB5-9AD1-C63C4B08DEF6}" name="Column12273"/>
    <tableColumn id="12301" xr3:uid="{5B3EC194-066C-48B0-97DE-70D15E42018A}" name="Column12274"/>
    <tableColumn id="12302" xr3:uid="{7A35B9CD-78F4-455D-B207-8B6142571661}" name="Column12275"/>
    <tableColumn id="12303" xr3:uid="{E9A7C999-4596-4123-AE3C-961942483F5D}" name="Column12276"/>
    <tableColumn id="12304" xr3:uid="{F8483212-05E1-46E0-84D4-D32E2CF49417}" name="Column12277"/>
    <tableColumn id="12305" xr3:uid="{0C1E9AC4-1329-485D-885E-D821C489AD98}" name="Column12278"/>
    <tableColumn id="12306" xr3:uid="{A4AE9D8C-0EE4-4C50-B37B-B30E4F781B99}" name="Column12279"/>
    <tableColumn id="12307" xr3:uid="{1FAE9AB7-0684-457B-8BD6-412743F4CB72}" name="Column12280"/>
    <tableColumn id="12308" xr3:uid="{CC09AC68-73AD-4B56-A571-6865AC056157}" name="Column12281"/>
    <tableColumn id="12309" xr3:uid="{DB64498E-C5EF-4545-B116-1DE3B8F5C883}" name="Column12282"/>
    <tableColumn id="12310" xr3:uid="{EA1457D6-4003-4559-92E9-438581D10CB0}" name="Column12283"/>
    <tableColumn id="12311" xr3:uid="{965FB928-6544-4BC7-9D25-30C5D9416D85}" name="Column12284"/>
    <tableColumn id="12312" xr3:uid="{B9E3355A-A2B5-4943-9259-4161C478AACA}" name="Column12285"/>
    <tableColumn id="12313" xr3:uid="{A6187BC9-5AA1-4A82-965E-C2B52387ABE8}" name="Column12286"/>
    <tableColumn id="12314" xr3:uid="{8608FCC9-6B35-416E-84AF-D7CC8C491A7F}" name="Column12287"/>
    <tableColumn id="12315" xr3:uid="{CB0607CC-6555-468E-B6C5-6BA781B7719E}" name="Column12288"/>
    <tableColumn id="12316" xr3:uid="{F58A9A45-E0C7-4378-A03E-102A30609196}" name="Column12289"/>
    <tableColumn id="12317" xr3:uid="{894D3405-B8D3-46DA-931C-3B5ED3A149C5}" name="Column12290"/>
    <tableColumn id="12318" xr3:uid="{4133F615-225C-40BE-95E5-78CC4AE39757}" name="Column12291"/>
    <tableColumn id="12319" xr3:uid="{E4DFCC19-A27B-4D34-A3F6-C1E35B508BE4}" name="Column12292"/>
    <tableColumn id="12320" xr3:uid="{E1D97EC1-3793-42B3-BA46-DE2E32A9F212}" name="Column12293"/>
    <tableColumn id="12321" xr3:uid="{38CFA235-79C1-41F8-9398-702D166F2047}" name="Column12294"/>
    <tableColumn id="12322" xr3:uid="{2C09086E-2370-4EFF-A2E7-BF17A5365F8E}" name="Column12295"/>
    <tableColumn id="12323" xr3:uid="{793631A7-F8B3-4674-9D0F-1DF193D65620}" name="Column12296"/>
    <tableColumn id="12324" xr3:uid="{B566A1FA-B7AE-466B-9B22-A72A8794840C}" name="Column12297"/>
    <tableColumn id="12325" xr3:uid="{7460D6C3-7822-44CA-A268-DCE13100FF45}" name="Column12298"/>
    <tableColumn id="12326" xr3:uid="{95CAC724-B5D3-4981-8840-7A86E3AC802A}" name="Column12299"/>
    <tableColumn id="12327" xr3:uid="{4B84F895-AB8A-447A-AD96-AF9E39DC35E8}" name="Column12300"/>
    <tableColumn id="12328" xr3:uid="{55CFD118-61C7-4F51-85C7-273B7486F6EE}" name="Column12301"/>
    <tableColumn id="12329" xr3:uid="{20CC4C9F-2B39-4034-942F-CAEC0C3B0AB2}" name="Column12302"/>
    <tableColumn id="12330" xr3:uid="{5BD51106-69A3-45FC-8D68-E730FBC0BB16}" name="Column12303"/>
    <tableColumn id="12331" xr3:uid="{4FC66750-E92D-432C-9D9E-97302E313AF1}" name="Column12304"/>
    <tableColumn id="12332" xr3:uid="{0EC9AEA2-AC5E-4301-A0A6-E2858C43FCFF}" name="Column12305"/>
    <tableColumn id="12333" xr3:uid="{5D3594BA-7BF6-446E-B6EB-EBF3102EE693}" name="Column12306"/>
    <tableColumn id="12334" xr3:uid="{9A0054CE-05F1-4318-8EEB-EB1BD6A38783}" name="Column12307"/>
    <tableColumn id="12335" xr3:uid="{37D5DA81-8AF0-4FB7-BA69-1FAAD3F580D9}" name="Column12308"/>
    <tableColumn id="12336" xr3:uid="{C94B00C9-FC11-4F53-BAC2-4A097CB629E9}" name="Column12309"/>
    <tableColumn id="12337" xr3:uid="{AE613C66-61BD-475E-A5B0-4FB589939E58}" name="Column12310"/>
    <tableColumn id="12338" xr3:uid="{6D58A67F-A7E0-4334-BE93-E0E0E42F4191}" name="Column12311"/>
    <tableColumn id="12339" xr3:uid="{B7EC2F14-0D4F-41AE-8ADE-9EA4217602ED}" name="Column12312"/>
    <tableColumn id="12340" xr3:uid="{143D5501-2CF0-4B58-B69A-261897351F66}" name="Column12313"/>
    <tableColumn id="12341" xr3:uid="{4E76D732-6BA9-4C3E-8E36-08E780D0B5AB}" name="Column12314"/>
    <tableColumn id="12342" xr3:uid="{0F1A35B5-78EA-4233-9FAC-9970C1EC1822}" name="Column12315"/>
    <tableColumn id="12343" xr3:uid="{577376CC-7D37-4C5D-99D2-0A85D3F92A6B}" name="Column12316"/>
    <tableColumn id="12344" xr3:uid="{DC891146-C741-449D-9FBE-1F1D5AFA21ED}" name="Column12317"/>
    <tableColumn id="12345" xr3:uid="{BF9286D9-E64F-456C-BAAC-29FF0E0EA770}" name="Column12318"/>
    <tableColumn id="12346" xr3:uid="{5FF54DE8-1403-4B1A-951C-2410F3C1EA14}" name="Column12319"/>
    <tableColumn id="12347" xr3:uid="{E1410EC3-404C-4B0C-A616-70DD92E8F1D1}" name="Column12320"/>
    <tableColumn id="12348" xr3:uid="{57E022CE-4948-4AE7-B46F-E2F7739EEDD2}" name="Column12321"/>
    <tableColumn id="12349" xr3:uid="{13B28711-72D6-40AB-833B-467808E2F7AE}" name="Column12322"/>
    <tableColumn id="12350" xr3:uid="{3053A944-390E-4E07-B46E-D1E9C4507A35}" name="Column12323"/>
    <tableColumn id="12351" xr3:uid="{D4013F61-E3F5-42CC-8B17-5F8B717535B4}" name="Column12324"/>
    <tableColumn id="12352" xr3:uid="{5EBBBDA7-6BD7-407C-8A27-081A37C81607}" name="Column12325"/>
    <tableColumn id="12353" xr3:uid="{D518A894-ABFD-4827-B167-599E9017AE61}" name="Column12326"/>
    <tableColumn id="12354" xr3:uid="{FBA65EF7-AF31-486D-98DC-ADD6ED59A875}" name="Column12327"/>
    <tableColumn id="12355" xr3:uid="{53DE4D57-F08B-4970-9155-6758EFF2F031}" name="Column12328"/>
    <tableColumn id="12356" xr3:uid="{20CDC19B-4301-4245-A736-BA043C55A075}" name="Column12329"/>
    <tableColumn id="12357" xr3:uid="{53BCE1EE-6CFC-4A14-9DB7-B73349CEB5C5}" name="Column12330"/>
    <tableColumn id="12358" xr3:uid="{1845B76B-7B34-470A-88A0-F236E0966A44}" name="Column12331"/>
    <tableColumn id="12359" xr3:uid="{84AA82C5-3FCF-430C-AD34-BFEECC4EF4EA}" name="Column12332"/>
    <tableColumn id="12360" xr3:uid="{B2D0D2FC-459A-4436-86A7-1EA8583159F0}" name="Column12333"/>
    <tableColumn id="12361" xr3:uid="{B33F663C-81CC-4ECE-BCB8-0B60ACC33B25}" name="Column12334"/>
    <tableColumn id="12362" xr3:uid="{0EFAAF3A-F1BB-4E9F-BD01-1803BA96F103}" name="Column12335"/>
    <tableColumn id="12363" xr3:uid="{29529DE5-80EF-49E6-84E2-6ACDAB3F3DA4}" name="Column12336"/>
    <tableColumn id="12364" xr3:uid="{D2CF9620-1B5E-4816-9C4D-E76A5E128295}" name="Column12337"/>
    <tableColumn id="12365" xr3:uid="{E6005F1E-2D78-415D-9980-D4AC97870183}" name="Column12338"/>
    <tableColumn id="12366" xr3:uid="{C9615E25-A3AD-418A-917A-8BAABD7F2BAC}" name="Column12339"/>
    <tableColumn id="12367" xr3:uid="{D4312DB9-3D5B-453A-BE9A-2AFA53DDCEA2}" name="Column12340"/>
    <tableColumn id="12368" xr3:uid="{4613E8DD-4D0C-4F48-86A6-5CC7C63FC3E7}" name="Column12341"/>
    <tableColumn id="12369" xr3:uid="{35F444C3-48D5-453D-B399-014B80414C25}" name="Column12342"/>
    <tableColumn id="12370" xr3:uid="{4E2AC1D4-7370-4DA4-8DA7-363BA6BB8783}" name="Column12343"/>
    <tableColumn id="12371" xr3:uid="{D69C4E41-A992-4837-85D0-74FBD0B95FA2}" name="Column12344"/>
    <tableColumn id="12372" xr3:uid="{765E40D0-2A48-455C-8897-6E4780FC2810}" name="Column12345"/>
    <tableColumn id="12373" xr3:uid="{7CDDCFE0-D94C-4915-8888-2742B55EA980}" name="Column12346"/>
    <tableColumn id="12374" xr3:uid="{B6727DE4-7975-466F-8DA2-760CEA7A6EB7}" name="Column12347"/>
    <tableColumn id="12375" xr3:uid="{CE2C4AA5-BDE8-47A1-B90A-63C1C813F53D}" name="Column12348"/>
    <tableColumn id="12376" xr3:uid="{46817FB8-E6B4-4DDA-B33F-85C5096BE146}" name="Column12349"/>
    <tableColumn id="12377" xr3:uid="{7BAB7C7A-2974-4A88-9C21-54516555B12E}" name="Column12350"/>
    <tableColumn id="12378" xr3:uid="{7C9B14E4-0406-46F2-B082-E5A5B067E3C5}" name="Column12351"/>
    <tableColumn id="12379" xr3:uid="{E7168859-48F8-4047-91AF-B11D3334743B}" name="Column12352"/>
    <tableColumn id="12380" xr3:uid="{FD5B23C1-A01B-42B8-9924-DAFBF62C631D}" name="Column12353"/>
    <tableColumn id="12381" xr3:uid="{4757C14C-FF2B-4556-9056-95D5CEF9E095}" name="Column12354"/>
    <tableColumn id="12382" xr3:uid="{70A04713-31C9-4D3B-85D1-687AEBFA9B53}" name="Column12355"/>
    <tableColumn id="12383" xr3:uid="{B4D42749-2E3B-4521-9457-6F4089A50D00}" name="Column12356"/>
    <tableColumn id="12384" xr3:uid="{1A4519CD-4DD4-4616-A6E6-63192172D27A}" name="Column12357"/>
    <tableColumn id="12385" xr3:uid="{0F152231-9165-4ECB-9793-16359ADF480A}" name="Column12358"/>
    <tableColumn id="12386" xr3:uid="{8153DED5-1BFA-48C2-8EC6-CE59A7BE8BC7}" name="Column12359"/>
    <tableColumn id="12387" xr3:uid="{B169CF14-09CC-4A55-9EDE-0314022E1826}" name="Column12360"/>
    <tableColumn id="12388" xr3:uid="{7EB463CA-39E6-4851-8A34-006FFEF292E7}" name="Column12361"/>
    <tableColumn id="12389" xr3:uid="{9201AB74-1473-4CD8-B285-5E7007029A4C}" name="Column12362"/>
    <tableColumn id="12390" xr3:uid="{C40CC56E-AB83-421D-87AF-4E905184B4A8}" name="Column12363"/>
    <tableColumn id="12391" xr3:uid="{A66128D7-7C8F-4876-922B-593B7BDA0FF6}" name="Column12364"/>
    <tableColumn id="12392" xr3:uid="{0099DA3B-CA38-4DA0-B430-F4E6D9CBA7FA}" name="Column12365"/>
    <tableColumn id="12393" xr3:uid="{FCABF3C8-A17A-40F0-B06C-B947003C2AD3}" name="Column12366"/>
    <tableColumn id="12394" xr3:uid="{2DAF2B89-2349-4220-9EB1-5CE249CFABC9}" name="Column12367"/>
    <tableColumn id="12395" xr3:uid="{03306E3C-9CDA-40F0-A23F-40912F0BE66C}" name="Column12368"/>
    <tableColumn id="12396" xr3:uid="{AED2AE20-3F2E-4EBB-8B1B-C3643122293E}" name="Column12369"/>
    <tableColumn id="12397" xr3:uid="{9502DDDE-4848-45A4-A2D6-D3BB78B2DFEA}" name="Column12370"/>
    <tableColumn id="12398" xr3:uid="{AD6A464F-3EC4-40A1-A513-E563B63C0E06}" name="Column12371"/>
    <tableColumn id="12399" xr3:uid="{A60254F8-26B5-473A-A414-4F5FE26BB6C9}" name="Column12372"/>
    <tableColumn id="12400" xr3:uid="{8A3E6D27-C2FF-4D63-BF51-10FAB5CFA94E}" name="Column12373"/>
    <tableColumn id="12401" xr3:uid="{BA7F17B3-4621-4403-8B8A-9B56953AE974}" name="Column12374"/>
    <tableColumn id="12402" xr3:uid="{66CB53AE-A23E-46D9-B27E-868AB6ED370E}" name="Column12375"/>
    <tableColumn id="12403" xr3:uid="{A972BA82-A9B2-4E2C-9419-F2EA0BD28BFA}" name="Column12376"/>
    <tableColumn id="12404" xr3:uid="{A34EE2E2-10BE-47A0-84BE-60836DBB7BB3}" name="Column12377"/>
    <tableColumn id="12405" xr3:uid="{1DD0AAF6-F1C8-44ED-8EF8-5E333311B756}" name="Column12378"/>
    <tableColumn id="12406" xr3:uid="{C9793534-8B0F-4EAB-847B-E0F0317C3133}" name="Column12379"/>
    <tableColumn id="12407" xr3:uid="{D79D3238-5348-4415-9665-CB445444ABBB}" name="Column12380"/>
    <tableColumn id="12408" xr3:uid="{983285D2-4361-4B17-8D04-5334640F79B0}" name="Column12381"/>
    <tableColumn id="12409" xr3:uid="{7FF31219-AC90-474D-B9A3-1072D0162ED1}" name="Column12382"/>
    <tableColumn id="12410" xr3:uid="{082EFA88-0427-4A7C-BB33-3643ED1F973F}" name="Column12383"/>
    <tableColumn id="12411" xr3:uid="{0AFFD0A8-97FE-4FBE-9A33-E920268C6E68}" name="Column12384"/>
    <tableColumn id="12412" xr3:uid="{C63239AA-A7E5-40C6-B39C-7120AC20B17E}" name="Column12385"/>
    <tableColumn id="12413" xr3:uid="{500276DF-C074-48F1-AE2B-65F21C1F1984}" name="Column12386"/>
    <tableColumn id="12414" xr3:uid="{711292A8-C1D0-4AAD-BF5D-0FD7E979D2B9}" name="Column12387"/>
    <tableColumn id="12415" xr3:uid="{76B69429-3DA7-402B-9FB5-8616A08922EF}" name="Column12388"/>
    <tableColumn id="12416" xr3:uid="{064BC4BD-287B-4A95-A339-E65F3FA41799}" name="Column12389"/>
    <tableColumn id="12417" xr3:uid="{53E4A6AE-0260-43E1-9118-C12091A9816A}" name="Column12390"/>
    <tableColumn id="12418" xr3:uid="{4609E471-24BF-4E0E-8853-8350ED5F2B0A}" name="Column12391"/>
    <tableColumn id="12419" xr3:uid="{2DAAE769-FA76-4A2B-9F03-675D951C8F26}" name="Column12392"/>
    <tableColumn id="12420" xr3:uid="{9D0B6C48-94D0-46CA-9BE0-9FDA2246D73A}" name="Column12393"/>
    <tableColumn id="12421" xr3:uid="{EEBC5A4E-07A5-48C9-B18C-CB0DA1CEEB37}" name="Column12394"/>
    <tableColumn id="12422" xr3:uid="{78FD79F5-E21C-49B7-9D6F-653C020342CA}" name="Column12395"/>
    <tableColumn id="12423" xr3:uid="{8A14E253-1533-47D3-8F0A-08352B17C5BF}" name="Column12396"/>
    <tableColumn id="12424" xr3:uid="{097EB973-92A2-4DF0-8BC8-A3AE2707372D}" name="Column12397"/>
    <tableColumn id="12425" xr3:uid="{B0A16BB8-E2BF-42DA-85E9-1B2AEA426456}" name="Column12398"/>
    <tableColumn id="12426" xr3:uid="{4381F007-5AF6-43A0-BAA5-30827B517F1F}" name="Column12399"/>
    <tableColumn id="12427" xr3:uid="{EC22359F-0D70-4045-BCD6-55D69CB5AF43}" name="Column12400"/>
    <tableColumn id="12428" xr3:uid="{83017A09-D2DD-4628-9037-9D11EAFCEF63}" name="Column12401"/>
    <tableColumn id="12429" xr3:uid="{5D46156C-C719-459A-91F1-23E6AE7827EF}" name="Column12402"/>
    <tableColumn id="12430" xr3:uid="{F41FBD86-A64C-4C83-97E5-68A395403F18}" name="Column12403"/>
    <tableColumn id="12431" xr3:uid="{C5281118-154F-481A-8C63-3D12780A9825}" name="Column12404"/>
    <tableColumn id="12432" xr3:uid="{DA9253A8-8346-4D07-B314-8F42F50AE86A}" name="Column12405"/>
    <tableColumn id="12433" xr3:uid="{B52EDD81-9D98-42C5-B5A7-29CD44434190}" name="Column12406"/>
    <tableColumn id="12434" xr3:uid="{CA3D613C-9827-4E5B-ABF2-62E52E831220}" name="Column12407"/>
    <tableColumn id="12435" xr3:uid="{FEA5BCE9-C2CC-45F1-B49F-331EABA0ECAB}" name="Column12408"/>
    <tableColumn id="12436" xr3:uid="{12D76B6B-941F-4CE2-9186-060253A22122}" name="Column12409"/>
    <tableColumn id="12437" xr3:uid="{70212831-D1FD-4AD7-A884-C78B4E31DDC3}" name="Column12410"/>
    <tableColumn id="12438" xr3:uid="{A577E260-659C-446C-9623-0FEAAA26F33D}" name="Column12411"/>
    <tableColumn id="12439" xr3:uid="{06EE3250-A892-4FC5-AD51-37E03563D63E}" name="Column12412"/>
    <tableColumn id="12440" xr3:uid="{CFBF5166-1A4C-453D-8E4A-1596379F9C25}" name="Column12413"/>
    <tableColumn id="12441" xr3:uid="{1D53F63F-C185-4359-B337-802B3F34A48D}" name="Column12414"/>
    <tableColumn id="12442" xr3:uid="{6A7BB0F5-A7E7-423D-A994-EBA242500A2F}" name="Column12415"/>
    <tableColumn id="12443" xr3:uid="{C33F20FB-0160-4836-8233-CCD6484281F9}" name="Column12416"/>
    <tableColumn id="12444" xr3:uid="{ED3D8C53-15A6-494A-B897-5B0E68E2DA9F}" name="Column12417"/>
    <tableColumn id="12445" xr3:uid="{1FA5E9C4-6A72-48C8-86AF-B9D962753C53}" name="Column12418"/>
    <tableColumn id="12446" xr3:uid="{E3FEBBE2-00F8-492F-A08B-0BD2B54EAADD}" name="Column12419"/>
    <tableColumn id="12447" xr3:uid="{DF0B967C-2E6F-44D3-A881-D3AB5663C5D3}" name="Column12420"/>
    <tableColumn id="12448" xr3:uid="{C9A16A66-1214-4F7E-B8A4-9F775ED14063}" name="Column12421"/>
    <tableColumn id="12449" xr3:uid="{A48C7168-A04E-4969-9377-16A0781B105A}" name="Column12422"/>
    <tableColumn id="12450" xr3:uid="{91576642-478B-432A-A0CD-3AFCAE74DFB2}" name="Column12423"/>
    <tableColumn id="12451" xr3:uid="{33DCE2F2-F1D5-4534-996E-2BB1CDE486F5}" name="Column12424"/>
    <tableColumn id="12452" xr3:uid="{95C3C37B-7E45-4C6A-82FF-E550B154A3E9}" name="Column12425"/>
    <tableColumn id="12453" xr3:uid="{B12C3D5C-CB5C-4A0D-9BB1-DDC6A8783755}" name="Column12426"/>
    <tableColumn id="12454" xr3:uid="{E4392A0D-5071-4925-8B34-8F6EEDD5DCCE}" name="Column12427"/>
    <tableColumn id="12455" xr3:uid="{ED270892-EBCD-421A-83DC-B5F57258458B}" name="Column12428"/>
    <tableColumn id="12456" xr3:uid="{BEFB0227-716F-4662-8424-AF86A059E289}" name="Column12429"/>
    <tableColumn id="12457" xr3:uid="{26296765-FC33-47FC-86FB-BB2D13B863F1}" name="Column12430"/>
    <tableColumn id="12458" xr3:uid="{FC703419-DFCE-4F74-90FB-62F8041D08E7}" name="Column12431"/>
    <tableColumn id="12459" xr3:uid="{1CC81F6A-7DB9-4650-98BC-C74CAA4274C7}" name="Column12432"/>
    <tableColumn id="12460" xr3:uid="{C47579A7-2B6E-4AC7-B2B0-8BBB37E01038}" name="Column12433"/>
    <tableColumn id="12461" xr3:uid="{6203A2D3-5F55-406A-BEB6-7BA9DDE04691}" name="Column12434"/>
    <tableColumn id="12462" xr3:uid="{9CBBB55D-C87F-4EDA-8345-6D5CCE0A13DC}" name="Column12435"/>
    <tableColumn id="12463" xr3:uid="{CF85DF8E-69A0-40CA-B9A2-0A2FDB60F193}" name="Column12436"/>
    <tableColumn id="12464" xr3:uid="{E7A74626-F4C6-4194-BDE3-7A98B0636F0F}" name="Column12437"/>
    <tableColumn id="12465" xr3:uid="{E30AA639-4165-46A0-B7DE-E726814B7601}" name="Column12438"/>
    <tableColumn id="12466" xr3:uid="{D1D84A30-CE73-43D5-86A9-10D4B4F03252}" name="Column12439"/>
    <tableColumn id="12467" xr3:uid="{BEF822F2-831D-414D-BDC3-C50CE6A4753F}" name="Column12440"/>
    <tableColumn id="12468" xr3:uid="{BDC2D80A-C7CE-478D-95F3-27554291F30E}" name="Column12441"/>
    <tableColumn id="12469" xr3:uid="{C822A59B-F87F-429C-8117-32740266ED65}" name="Column12442"/>
    <tableColumn id="12470" xr3:uid="{F236F30A-FF5E-4EDF-B94D-6533E5E26D6F}" name="Column12443"/>
    <tableColumn id="12471" xr3:uid="{88D97D34-8F29-4FC6-9A62-D6EBF40CC9A9}" name="Column12444"/>
    <tableColumn id="12472" xr3:uid="{5F72EF2C-8D45-4F71-86C5-21899283DFBB}" name="Column12445"/>
    <tableColumn id="12473" xr3:uid="{047EAD3D-CA27-466C-BF46-DD617ED769C2}" name="Column12446"/>
    <tableColumn id="12474" xr3:uid="{90317F55-054B-4605-82D8-5D139D9EE1E8}" name="Column12447"/>
    <tableColumn id="12475" xr3:uid="{B1308311-4AF4-477D-A51C-56AC8C1A602B}" name="Column12448"/>
    <tableColumn id="12476" xr3:uid="{E0E622A4-C3F0-4EAA-8BA4-721D703530CB}" name="Column12449"/>
    <tableColumn id="12477" xr3:uid="{6360E587-F460-414C-AF30-101DFCAEFC45}" name="Column12450"/>
    <tableColumn id="12478" xr3:uid="{99C83403-80A0-47A0-82FA-6673DD33259F}" name="Column12451"/>
    <tableColumn id="12479" xr3:uid="{4980A227-CE24-4137-81D0-0CE4FD0E2FE7}" name="Column12452"/>
    <tableColumn id="12480" xr3:uid="{140D6B88-0820-401F-B711-31AB68CF5327}" name="Column12453"/>
    <tableColumn id="12481" xr3:uid="{72B6077E-61B8-4B36-B397-AAE08CB8EF9A}" name="Column12454"/>
    <tableColumn id="12482" xr3:uid="{70707C2A-9E90-4C99-AC47-1E9730E324CE}" name="Column12455"/>
    <tableColumn id="12483" xr3:uid="{EE0B170E-50B5-4D92-B56A-29F9216003D1}" name="Column12456"/>
    <tableColumn id="12484" xr3:uid="{EE04CF09-E9EA-413D-9920-9BD3078D3677}" name="Column12457"/>
    <tableColumn id="12485" xr3:uid="{90308680-56DE-44F9-9194-5B206A36DFA9}" name="Column12458"/>
    <tableColumn id="12486" xr3:uid="{11AEECD8-3E2F-4193-88A2-C5B3DBF53C65}" name="Column12459"/>
    <tableColumn id="12487" xr3:uid="{7E8AC3FE-7438-41F9-BC4B-4382ED2F5D87}" name="Column12460"/>
    <tableColumn id="12488" xr3:uid="{C58ECA5C-8FDF-4519-A71D-B2EA6CBA3B59}" name="Column12461"/>
    <tableColumn id="12489" xr3:uid="{200A0146-DCEE-4E21-BE74-6BBD5B034D51}" name="Column12462"/>
    <tableColumn id="12490" xr3:uid="{21DABFBB-B3C3-4783-971E-068C4CFB27AC}" name="Column12463"/>
    <tableColumn id="12491" xr3:uid="{DF0D8C38-631D-4409-A140-DBAAB81AAEDD}" name="Column12464"/>
    <tableColumn id="12492" xr3:uid="{01D4B9A7-8349-4273-943D-1E2E8408C111}" name="Column12465"/>
    <tableColumn id="12493" xr3:uid="{57F9FF5F-1872-4FD4-B07A-6D01C678F9B7}" name="Column12466"/>
    <tableColumn id="12494" xr3:uid="{8173817F-62C1-4E44-860B-BBE7BE7391E4}" name="Column12467"/>
    <tableColumn id="12495" xr3:uid="{BBC18C87-892D-4678-AAEF-A6DD4E1BE147}" name="Column12468"/>
    <tableColumn id="12496" xr3:uid="{1CB26921-C0FB-48DB-AE92-9837037C07CA}" name="Column12469"/>
    <tableColumn id="12497" xr3:uid="{0207B066-F610-4961-94DB-5E1236539AD6}" name="Column12470"/>
    <tableColumn id="12498" xr3:uid="{A940910D-09D3-43D1-844C-8DD1E159A660}" name="Column12471"/>
    <tableColumn id="12499" xr3:uid="{6FD7B6FB-6EBD-435D-B01B-5558A359F010}" name="Column12472"/>
    <tableColumn id="12500" xr3:uid="{85C7015D-CB12-4425-BB4F-1D19E9DF2741}" name="Column12473"/>
    <tableColumn id="12501" xr3:uid="{9F45623B-5F64-4519-82AA-6940902AF6FA}" name="Column12474"/>
    <tableColumn id="12502" xr3:uid="{EEF23CB8-DB17-45B6-B210-94741DEAD8EF}" name="Column12475"/>
    <tableColumn id="12503" xr3:uid="{629753C7-EDEE-4F31-B435-A95414843889}" name="Column12476"/>
    <tableColumn id="12504" xr3:uid="{C470EA2E-D8C8-4EAD-BBD3-0225D75A071A}" name="Column12477"/>
    <tableColumn id="12505" xr3:uid="{F7CF2847-4EFC-4A09-B9CD-0D45879DBC1B}" name="Column12478"/>
    <tableColumn id="12506" xr3:uid="{D184F0A2-C9C8-4ECE-8294-6CCD9B70B7D1}" name="Column12479"/>
    <tableColumn id="12507" xr3:uid="{D076D344-F6BF-458C-87C5-D1F1C4D9AE52}" name="Column12480"/>
    <tableColumn id="12508" xr3:uid="{65776776-6DF1-4048-8585-5870A4991B47}" name="Column12481"/>
    <tableColumn id="12509" xr3:uid="{CFC1495E-49FF-4266-B4DC-210BB9A8EFF9}" name="Column12482"/>
    <tableColumn id="12510" xr3:uid="{BB406E47-7D04-4DAA-9DCA-621514E08CE1}" name="Column12483"/>
    <tableColumn id="12511" xr3:uid="{8273968B-BA3D-4345-AFDD-5815A14F8D30}" name="Column12484"/>
    <tableColumn id="12512" xr3:uid="{3869F3FB-3E4F-487E-8FFD-97B55BF38A04}" name="Column12485"/>
    <tableColumn id="12513" xr3:uid="{43655E92-0AF7-4C1F-A468-26BB7EC02F02}" name="Column12486"/>
    <tableColumn id="12514" xr3:uid="{77B2350A-1898-4F05-B809-06293662D749}" name="Column12487"/>
    <tableColumn id="12515" xr3:uid="{D8F79775-66BB-49F3-8B04-45A4A62A8536}" name="Column12488"/>
    <tableColumn id="12516" xr3:uid="{F949066A-F9AD-43AD-8D1E-5639DE0C93FD}" name="Column12489"/>
    <tableColumn id="12517" xr3:uid="{2DAC0EEB-179C-4B1B-905C-30A6AD4BABD6}" name="Column12490"/>
    <tableColumn id="12518" xr3:uid="{41C7FAC2-16BC-4F68-A42A-02F55F00CDEB}" name="Column12491"/>
    <tableColumn id="12519" xr3:uid="{0F47882F-B164-4B08-8185-43EE996AD118}" name="Column12492"/>
    <tableColumn id="12520" xr3:uid="{E686AA5D-3CCA-4670-B5A0-48E06D62138A}" name="Column12493"/>
    <tableColumn id="12521" xr3:uid="{56A90D9F-BBB7-4C8A-A318-FB286BDD3E74}" name="Column12494"/>
    <tableColumn id="12522" xr3:uid="{99B4D9AB-8988-42FB-8ACD-D6F0C554E5BF}" name="Column12495"/>
    <tableColumn id="12523" xr3:uid="{B34A4D9D-C971-4F74-B975-1A9C0358B933}" name="Column12496"/>
    <tableColumn id="12524" xr3:uid="{92A6EC78-7175-41F7-923B-A36DDC901F51}" name="Column12497"/>
    <tableColumn id="12525" xr3:uid="{32EEDFCF-F27C-4CF7-90F7-EF410F5C2F8B}" name="Column12498"/>
    <tableColumn id="12526" xr3:uid="{57BF38F1-7518-4F22-83FF-74AFF296B000}" name="Column12499"/>
    <tableColumn id="12527" xr3:uid="{2FE78D63-A0C8-4CA2-A2E6-5061851A901F}" name="Column12500"/>
    <tableColumn id="12528" xr3:uid="{777646AE-F2DC-43BE-B897-C43675AD1F87}" name="Column12501"/>
    <tableColumn id="12529" xr3:uid="{2CB1AF35-A723-4724-BFFF-6D0079E05117}" name="Column12502"/>
    <tableColumn id="12530" xr3:uid="{E03F5655-630F-4446-90DE-840F3C918406}" name="Column12503"/>
    <tableColumn id="12531" xr3:uid="{F455E6FE-56B9-40E1-B113-5755E29A66D2}" name="Column12504"/>
    <tableColumn id="12532" xr3:uid="{B381A7FB-E582-4478-B038-D3918A1CF8A7}" name="Column12505"/>
    <tableColumn id="12533" xr3:uid="{057781F2-5B11-4F0D-9139-A5071CD34E6B}" name="Column12506"/>
    <tableColumn id="12534" xr3:uid="{7B44E928-722B-41EA-AEE1-4CE18AFD91A2}" name="Column12507"/>
    <tableColumn id="12535" xr3:uid="{08368A9F-75E5-4A7C-B126-28B10CB93437}" name="Column12508"/>
    <tableColumn id="12536" xr3:uid="{59A6B088-CEBE-4800-A394-26DFDAD5806E}" name="Column12509"/>
    <tableColumn id="12537" xr3:uid="{B21DD348-AE06-49AE-8847-AFF1C8DF4A2E}" name="Column12510"/>
    <tableColumn id="12538" xr3:uid="{313EAF04-68C0-4322-BFB5-6348B6B3A4AB}" name="Column12511"/>
    <tableColumn id="12539" xr3:uid="{ABDDCEF6-4F7C-4549-9BB5-318CE49C2302}" name="Column12512"/>
    <tableColumn id="12540" xr3:uid="{5020F593-0C19-4FBE-9189-EAF8716F0D95}" name="Column12513"/>
    <tableColumn id="12541" xr3:uid="{EBB9B2E3-BCF7-435A-A7C1-9EA4AF4F0B65}" name="Column12514"/>
    <tableColumn id="12542" xr3:uid="{7BB9DC44-B459-4216-83B6-A801500F30FD}" name="Column12515"/>
    <tableColumn id="12543" xr3:uid="{2AD2482A-27B7-460C-8B57-9886F9CE49BB}" name="Column12516"/>
    <tableColumn id="12544" xr3:uid="{1091872A-1646-4002-B4AC-029C25FF6E03}" name="Column12517"/>
    <tableColumn id="12545" xr3:uid="{A1F206E4-A905-4FCD-9C76-A32ADACABF58}" name="Column12518"/>
    <tableColumn id="12546" xr3:uid="{7C157F45-53D3-4F45-B7DF-8B697650F568}" name="Column12519"/>
    <tableColumn id="12547" xr3:uid="{B89A522E-D274-44B0-BF4C-715627E53CE4}" name="Column12520"/>
    <tableColumn id="12548" xr3:uid="{AEAD2B33-5411-42AB-BCAF-5BF70FD87897}" name="Column12521"/>
    <tableColumn id="12549" xr3:uid="{44394B9D-1558-43F3-BEC6-279321B809B8}" name="Column12522"/>
    <tableColumn id="12550" xr3:uid="{BF7763B4-EDA2-4BD4-912C-1C30529AE534}" name="Column12523"/>
    <tableColumn id="12551" xr3:uid="{8DE7C0F1-65F9-4ECC-83B2-67B9E3D69E25}" name="Column12524"/>
    <tableColumn id="12552" xr3:uid="{A9CBAA1D-7711-470E-966B-FF9503E71B18}" name="Column12525"/>
    <tableColumn id="12553" xr3:uid="{55F55F32-7F8A-4518-857D-4DFD1E89169B}" name="Column12526"/>
    <tableColumn id="12554" xr3:uid="{E28451FB-6478-4FB0-A226-53EC8C2F7928}" name="Column12527"/>
    <tableColumn id="12555" xr3:uid="{97E86E0B-FC33-4E14-9A5F-B3C8994AB989}" name="Column12528"/>
    <tableColumn id="12556" xr3:uid="{1D1F5451-320A-4BD2-8A2B-C1C43963A45A}" name="Column12529"/>
    <tableColumn id="12557" xr3:uid="{596D578A-C2DF-4FF5-9D33-48095DBB5689}" name="Column12530"/>
    <tableColumn id="12558" xr3:uid="{347856FC-7818-482F-9290-864DD14A2770}" name="Column12531"/>
    <tableColumn id="12559" xr3:uid="{6473DEAF-70A6-4655-8565-A5ACFAC211F5}" name="Column12532"/>
    <tableColumn id="12560" xr3:uid="{4C5FA422-9032-447E-AEA6-1CB575768CCD}" name="Column12533"/>
    <tableColumn id="12561" xr3:uid="{CEEA46D2-9E94-4FE8-BF28-FE0E96F0841A}" name="Column12534"/>
    <tableColumn id="12562" xr3:uid="{22C22018-539B-4131-BF9C-D6CFCC3B2A87}" name="Column12535"/>
    <tableColumn id="12563" xr3:uid="{56BE4AE3-FCBD-4C83-9995-700BFCDF6D19}" name="Column12536"/>
    <tableColumn id="12564" xr3:uid="{F104F203-0358-4C11-9726-F7B1BEC043DC}" name="Column12537"/>
    <tableColumn id="12565" xr3:uid="{C39861C7-B360-4607-AB89-7448E3F2BB12}" name="Column12538"/>
    <tableColumn id="12566" xr3:uid="{30014EB0-49EB-49F3-9D98-8D800D4B6E4D}" name="Column12539"/>
    <tableColumn id="12567" xr3:uid="{3048373F-6B27-448C-AD5D-8F016EFFCF92}" name="Column12540"/>
    <tableColumn id="12568" xr3:uid="{5DFB85B3-7D8E-4031-B6CB-897B10AB92A4}" name="Column12541"/>
    <tableColumn id="12569" xr3:uid="{499D92CB-A2D0-415D-82BA-8B24ED0856F3}" name="Column12542"/>
    <tableColumn id="12570" xr3:uid="{A3E275B5-1DC7-4B7A-8DE8-1EF94CF1D6E6}" name="Column12543"/>
    <tableColumn id="12571" xr3:uid="{D0BA01AE-0472-400D-916E-06862E8AB653}" name="Column12544"/>
    <tableColumn id="12572" xr3:uid="{79A326C8-A10B-42E7-8556-B47C18BF24EE}" name="Column12545"/>
    <tableColumn id="12573" xr3:uid="{8B9F43E6-CA0F-4CA7-8AE2-C578CF3D07D8}" name="Column12546"/>
    <tableColumn id="12574" xr3:uid="{2C4C7199-5982-4171-9271-2B20D8C0E8FA}" name="Column12547"/>
    <tableColumn id="12575" xr3:uid="{D848F8BF-402E-4648-A918-731ACB1A0389}" name="Column12548"/>
    <tableColumn id="12576" xr3:uid="{CC084609-9646-48BB-8C29-F7F1D250B5CB}" name="Column12549"/>
    <tableColumn id="12577" xr3:uid="{6DA10F37-AF6C-4E62-A509-6FE3BC67B56B}" name="Column12550"/>
    <tableColumn id="12578" xr3:uid="{2B3F61C8-5B76-40E4-9A99-5B0E1CC6D2E4}" name="Column12551"/>
    <tableColumn id="12579" xr3:uid="{CF52CA4A-9F83-42AF-AF76-E6C158988410}" name="Column12552"/>
    <tableColumn id="12580" xr3:uid="{532C2427-17A9-473E-88ED-1E5C2A3D4D04}" name="Column12553"/>
    <tableColumn id="12581" xr3:uid="{02AC7D05-A4F1-4105-87C2-179BE6885720}" name="Column12554"/>
    <tableColumn id="12582" xr3:uid="{6FAE983E-3F5E-4D24-BAA9-004A75766E69}" name="Column12555"/>
    <tableColumn id="12583" xr3:uid="{1783468A-82F1-48E9-A65E-A6AA9BFD83BD}" name="Column12556"/>
    <tableColumn id="12584" xr3:uid="{5F743714-37B0-4D16-BE24-4FB7CCE20985}" name="Column12557"/>
    <tableColumn id="12585" xr3:uid="{3B98B4B3-81A4-4C36-9C70-943A54C00F35}" name="Column12558"/>
    <tableColumn id="12586" xr3:uid="{67EE1157-B442-4EF4-9217-CA0787BC898D}" name="Column12559"/>
    <tableColumn id="12587" xr3:uid="{789AAB69-606D-43CF-B63C-12F7CE780B5A}" name="Column12560"/>
    <tableColumn id="12588" xr3:uid="{4A197BFE-F984-489E-A523-577B6EDA202D}" name="Column12561"/>
    <tableColumn id="12589" xr3:uid="{3B46D987-4FCE-41D1-BC32-AACC3385711C}" name="Column12562"/>
    <tableColumn id="12590" xr3:uid="{D1CFBBFF-93EC-47F9-9A93-D3C5EE873E97}" name="Column12563"/>
    <tableColumn id="12591" xr3:uid="{289B08B8-54C8-40B1-960B-CFF3B9AF25ED}" name="Column12564"/>
    <tableColumn id="12592" xr3:uid="{F04326ED-9124-4BEB-9DEA-A7DA4C43E117}" name="Column12565"/>
    <tableColumn id="12593" xr3:uid="{B87A5854-BE92-496E-8CFE-E5BC59A0D538}" name="Column12566"/>
    <tableColumn id="12594" xr3:uid="{6F9AABE3-DDCE-468A-AEB8-07037B0C7AB5}" name="Column12567"/>
    <tableColumn id="12595" xr3:uid="{F4B0912D-56DB-4002-B699-2D885342E5C7}" name="Column12568"/>
    <tableColumn id="12596" xr3:uid="{074A19AD-E998-4D67-A2A2-0A3521F187BA}" name="Column12569"/>
    <tableColumn id="12597" xr3:uid="{A26B4B79-0E7C-4530-B14D-9A8E5650B791}" name="Column12570"/>
    <tableColumn id="12598" xr3:uid="{6D799002-D16F-46AC-B009-A6834397DB35}" name="Column12571"/>
    <tableColumn id="12599" xr3:uid="{EF23F31C-BBF8-40CA-858A-0A168255F938}" name="Column12572"/>
    <tableColumn id="12600" xr3:uid="{A150771A-F7F6-40AA-954D-9E7CAB834BD7}" name="Column12573"/>
    <tableColumn id="12601" xr3:uid="{A7B36E58-558A-43D1-8DA3-D98252C188B0}" name="Column12574"/>
    <tableColumn id="12602" xr3:uid="{2DF1768C-AC68-49DE-AAE3-8959A86828C8}" name="Column12575"/>
    <tableColumn id="12603" xr3:uid="{B6DF6FE0-F2B6-40A5-BF79-C14C8BAA7FEB}" name="Column12576"/>
    <tableColumn id="12604" xr3:uid="{FBAF9AEC-C747-4D71-8F14-8F4233DB7096}" name="Column12577"/>
    <tableColumn id="12605" xr3:uid="{AAA34DD1-A1D0-4EF1-BBA0-7080A762F7D6}" name="Column12578"/>
    <tableColumn id="12606" xr3:uid="{A51647AB-ACF4-4072-8335-847BA8C90D27}" name="Column12579"/>
    <tableColumn id="12607" xr3:uid="{3D5AF206-6E7A-478B-B75D-2591C6165560}" name="Column12580"/>
    <tableColumn id="12608" xr3:uid="{26BF1CFB-5CF3-4D3F-97DD-EFDC670E0F77}" name="Column12581"/>
    <tableColumn id="12609" xr3:uid="{5747FE3B-2749-4DDC-9B4E-5E15423993A4}" name="Column12582"/>
    <tableColumn id="12610" xr3:uid="{5345CA45-D95B-4BE8-A477-AB95A8E35B13}" name="Column12583"/>
    <tableColumn id="12611" xr3:uid="{A2DDB0FF-BBE6-4254-9E7F-1A2E81864EDD}" name="Column12584"/>
    <tableColumn id="12612" xr3:uid="{772471C6-3DD3-42B2-A99D-28CABBE7AB3A}" name="Column12585"/>
    <tableColumn id="12613" xr3:uid="{AB97721D-85B6-41E9-A929-E34E6EC79588}" name="Column12586"/>
    <tableColumn id="12614" xr3:uid="{DCAB5423-78CD-4B0C-9E8D-4607EC9083E7}" name="Column12587"/>
    <tableColumn id="12615" xr3:uid="{8284AE71-661A-4DE3-9151-490A27F27E49}" name="Column12588"/>
    <tableColumn id="12616" xr3:uid="{70219511-7406-4CEE-ABBB-645CCEC64AE9}" name="Column12589"/>
    <tableColumn id="12617" xr3:uid="{E77F1EB4-8483-4C72-8EA5-7F1CAF9BAD65}" name="Column12590"/>
    <tableColumn id="12618" xr3:uid="{B6A769D3-AA2E-4409-834D-D085F78B055D}" name="Column12591"/>
    <tableColumn id="12619" xr3:uid="{68868985-4D6D-485B-AC67-AA6BBDA9B4BB}" name="Column12592"/>
    <tableColumn id="12620" xr3:uid="{4853ACDA-BE7A-4706-85EA-76365CA7D9EB}" name="Column12593"/>
    <tableColumn id="12621" xr3:uid="{A90AB237-D1AA-4C5E-B810-29BEBA852A7C}" name="Column12594"/>
    <tableColumn id="12622" xr3:uid="{484A0689-349B-4473-8FA2-242A36548562}" name="Column12595"/>
    <tableColumn id="12623" xr3:uid="{B230BE89-7BE8-4663-B768-4F1824E3363F}" name="Column12596"/>
    <tableColumn id="12624" xr3:uid="{E1F2130E-8E8E-44DD-811D-E0475A7D66E7}" name="Column12597"/>
    <tableColumn id="12625" xr3:uid="{B0B0997E-C29C-4639-92FF-5AA8260DB4E1}" name="Column12598"/>
    <tableColumn id="12626" xr3:uid="{C78A54D7-FD8E-44AB-824C-6F0F34BFAF18}" name="Column12599"/>
    <tableColumn id="12627" xr3:uid="{53AAD1C1-AD52-4C2C-B48D-8CF050A6CDF1}" name="Column12600"/>
    <tableColumn id="12628" xr3:uid="{1D72C674-DC22-4ECF-B4BE-AA864AE4978D}" name="Column12601"/>
    <tableColumn id="12629" xr3:uid="{AF91E002-80C8-4FAF-9C40-EF185EFAC595}" name="Column12602"/>
    <tableColumn id="12630" xr3:uid="{406FDE51-B4CB-4872-A26F-3AB33CD51825}" name="Column12603"/>
    <tableColumn id="12631" xr3:uid="{05275938-C968-407F-9D91-3BB42ABDD024}" name="Column12604"/>
    <tableColumn id="12632" xr3:uid="{CF14EE4D-72B2-4FA5-ADBB-8B3E4EB965AB}" name="Column12605"/>
    <tableColumn id="12633" xr3:uid="{55B64C15-05D7-4120-86DB-CA5FE2242DD8}" name="Column12606"/>
    <tableColumn id="12634" xr3:uid="{14819F31-790B-4D60-A61E-D5767F1F9E45}" name="Column12607"/>
    <tableColumn id="12635" xr3:uid="{52D1B43D-717C-45C7-BF70-4A3ABDC048F1}" name="Column12608"/>
    <tableColumn id="12636" xr3:uid="{3F3744D6-E990-4438-A0A6-53269FD882F0}" name="Column12609"/>
    <tableColumn id="12637" xr3:uid="{FD39C45D-2860-4D00-A239-71919BE623E2}" name="Column12610"/>
    <tableColumn id="12638" xr3:uid="{DB913B27-D21E-4FDE-9E57-C28304F25B1C}" name="Column12611"/>
    <tableColumn id="12639" xr3:uid="{254F8A3F-101D-4D89-97B9-CC6DCE2D18D8}" name="Column12612"/>
    <tableColumn id="12640" xr3:uid="{A423B53E-62C8-4CBB-B36E-2BCB6D5BB55F}" name="Column12613"/>
    <tableColumn id="12641" xr3:uid="{CD2AA171-9050-4872-8EAC-8276353DC1B8}" name="Column12614"/>
    <tableColumn id="12642" xr3:uid="{4FC921C6-ED10-4DAF-8156-763FF5C1A511}" name="Column12615"/>
    <tableColumn id="12643" xr3:uid="{FE988DA0-53AF-436D-9999-7330B9686BC9}" name="Column12616"/>
    <tableColumn id="12644" xr3:uid="{F1124CD9-0975-454E-B389-2119FD4C54A5}" name="Column12617"/>
    <tableColumn id="12645" xr3:uid="{27D2E8FB-790C-4A55-8CBF-4A8E1437B75F}" name="Column12618"/>
    <tableColumn id="12646" xr3:uid="{CE3E28DE-F8CD-4BC4-918A-6EF1C632630F}" name="Column12619"/>
    <tableColumn id="12647" xr3:uid="{DBDCB5CC-7C0E-4623-B5BB-4973E5B13235}" name="Column12620"/>
    <tableColumn id="12648" xr3:uid="{C69E594B-CF17-492D-AB9B-D74D46EF995E}" name="Column12621"/>
    <tableColumn id="12649" xr3:uid="{E9223AD1-A28E-42F3-B10B-313D8688FECE}" name="Column12622"/>
    <tableColumn id="12650" xr3:uid="{9B1896F2-C242-4EAF-AA30-3693417927E9}" name="Column12623"/>
    <tableColumn id="12651" xr3:uid="{D659B0CC-8706-46E3-9000-29D2825157C7}" name="Column12624"/>
    <tableColumn id="12652" xr3:uid="{EFB9415D-4254-464D-8FC3-403FD0945E45}" name="Column12625"/>
    <tableColumn id="12653" xr3:uid="{B7422B5E-3E6B-4347-BB2D-926BFDE482F3}" name="Column12626"/>
    <tableColumn id="12654" xr3:uid="{95FD391F-B6D9-4762-87F9-A873CF808EF3}" name="Column12627"/>
    <tableColumn id="12655" xr3:uid="{E8A0A25A-952D-44C0-9A24-173A06A580F7}" name="Column12628"/>
    <tableColumn id="12656" xr3:uid="{5198DEE8-E75A-4B9A-B2CE-99ADBE76E418}" name="Column12629"/>
    <tableColumn id="12657" xr3:uid="{F42F895A-A553-432F-A096-CC2442F24519}" name="Column12630"/>
    <tableColumn id="12658" xr3:uid="{D6A5BB1A-D65D-4667-8872-3CFE46C62C65}" name="Column12631"/>
    <tableColumn id="12659" xr3:uid="{4692E30F-3CA3-4DC6-B6F9-465BBD690635}" name="Column12632"/>
    <tableColumn id="12660" xr3:uid="{D919DFB8-2862-40CF-95B9-78D167C1006D}" name="Column12633"/>
    <tableColumn id="12661" xr3:uid="{6349C767-289E-4913-9823-B7C47F28644A}" name="Column12634"/>
    <tableColumn id="12662" xr3:uid="{4C3F9979-9020-46B4-B398-DFA5F246FF33}" name="Column12635"/>
    <tableColumn id="12663" xr3:uid="{C16B46C1-943A-4D46-95D0-055C7EDFF422}" name="Column12636"/>
    <tableColumn id="12664" xr3:uid="{64F817F8-770E-446F-B188-0A62C7B1680E}" name="Column12637"/>
    <tableColumn id="12665" xr3:uid="{BDA6CCC0-E78D-4513-B624-2EDAA4789617}" name="Column12638"/>
    <tableColumn id="12666" xr3:uid="{1816B66E-9EB4-41C6-99E1-FC42F160935E}" name="Column12639"/>
    <tableColumn id="12667" xr3:uid="{1C22385B-1D94-4EAA-9238-A53558623D4A}" name="Column12640"/>
    <tableColumn id="12668" xr3:uid="{677C0E1F-0A6C-46EF-A029-599A8B6FE2CC}" name="Column12641"/>
    <tableColumn id="12669" xr3:uid="{F1B1537C-90B0-4EB7-890B-A28D2F67A1B7}" name="Column12642"/>
    <tableColumn id="12670" xr3:uid="{EC41C0FD-DEF6-42F7-8E8D-6DE17B129C9E}" name="Column12643"/>
    <tableColumn id="12671" xr3:uid="{6E7F9E2E-3E92-445F-8B8C-285DD88D77CD}" name="Column12644"/>
    <tableColumn id="12672" xr3:uid="{8085C0FA-605B-4F2A-B2CB-9F459FE03B5B}" name="Column12645"/>
    <tableColumn id="12673" xr3:uid="{FEB8ECFB-8DB2-4B5F-8CE6-172A2013B8CC}" name="Column12646"/>
    <tableColumn id="12674" xr3:uid="{F70A2914-2B7C-4EF5-8261-2B11E014EC01}" name="Column12647"/>
    <tableColumn id="12675" xr3:uid="{0AE4BDF0-2124-44EF-879E-530ED315D9FA}" name="Column12648"/>
    <tableColumn id="12676" xr3:uid="{C11C83CB-F8F0-4B77-A308-F2C5C884F790}" name="Column12649"/>
    <tableColumn id="12677" xr3:uid="{FC81C4A9-7193-4CA1-828C-91BB1C4E0D93}" name="Column12650"/>
    <tableColumn id="12678" xr3:uid="{A2D111DB-3204-402A-84BB-32E231864DF0}" name="Column12651"/>
    <tableColumn id="12679" xr3:uid="{5807EC0F-A41F-4069-AC0A-025056AE8F6A}" name="Column12652"/>
    <tableColumn id="12680" xr3:uid="{B577EBDF-F896-4EEC-9CF6-133E798D75E8}" name="Column12653"/>
    <tableColumn id="12681" xr3:uid="{A52A0564-DBCA-467C-97CF-8AFFA63FC99B}" name="Column12654"/>
    <tableColumn id="12682" xr3:uid="{9473664D-0DCE-4C38-B3B7-AF4467230817}" name="Column12655"/>
    <tableColumn id="12683" xr3:uid="{177CA9AD-41F5-494A-A237-E327CC98560C}" name="Column12656"/>
    <tableColumn id="12684" xr3:uid="{7E55929F-503A-4029-8AB2-B094EE2A9128}" name="Column12657"/>
    <tableColumn id="12685" xr3:uid="{D7AD12EC-40C0-40CC-8B9E-B9941BE05530}" name="Column12658"/>
    <tableColumn id="12686" xr3:uid="{F4C981DE-E3AD-430D-816A-DFDEE3C583B7}" name="Column12659"/>
    <tableColumn id="12687" xr3:uid="{8CF63967-1F7E-4EEA-B3E1-2A9FEE432BA9}" name="Column12660"/>
    <tableColumn id="12688" xr3:uid="{5BFAACAF-4321-4F95-B8C2-8D2751E81B11}" name="Column12661"/>
    <tableColumn id="12689" xr3:uid="{79FD916B-3943-4BC3-ABB4-443507DB9172}" name="Column12662"/>
    <tableColumn id="12690" xr3:uid="{B4756AEE-C706-4A0E-B572-EA78BA89A064}" name="Column12663"/>
    <tableColumn id="12691" xr3:uid="{1A8C2ACF-AD0B-49F0-80D0-71B111AB5339}" name="Column12664"/>
    <tableColumn id="12692" xr3:uid="{7338077B-386A-49BF-9B20-D760E02D7EF1}" name="Column12665"/>
    <tableColumn id="12693" xr3:uid="{1EA86E1E-4164-4879-BB70-D59C546A5DCC}" name="Column12666"/>
    <tableColumn id="12694" xr3:uid="{A525AE1B-314A-4088-AC21-EE89112BB433}" name="Column12667"/>
    <tableColumn id="12695" xr3:uid="{CD71B1B6-81E2-4317-9CF6-3C2AAFDB8B91}" name="Column12668"/>
    <tableColumn id="12696" xr3:uid="{855587A1-01E3-4B4B-9BF2-8E052C3E12DF}" name="Column12669"/>
    <tableColumn id="12697" xr3:uid="{38F35CF9-9E1D-4A76-81D8-F56A692E006D}" name="Column12670"/>
    <tableColumn id="12698" xr3:uid="{5C7055F3-F121-4777-BB83-07CA44C17C68}" name="Column12671"/>
    <tableColumn id="12699" xr3:uid="{9A1E25B1-2056-4EF8-B7E2-81EB04F02974}" name="Column12672"/>
    <tableColumn id="12700" xr3:uid="{EDF5B8A7-3305-410E-B70C-DBB94B4296E8}" name="Column12673"/>
    <tableColumn id="12701" xr3:uid="{08C9B375-8CB4-4941-8C1A-60DAECE1B2EC}" name="Column12674"/>
    <tableColumn id="12702" xr3:uid="{C2C3B5FD-9582-4FE5-B8BC-5DC299808F18}" name="Column12675"/>
    <tableColumn id="12703" xr3:uid="{05A59318-08C8-46DD-B880-D571243A7677}" name="Column12676"/>
    <tableColumn id="12704" xr3:uid="{E3FCDDDB-AE37-4469-9B02-84D9F40A415E}" name="Column12677"/>
    <tableColumn id="12705" xr3:uid="{D7CC4A1B-11F3-4340-9239-300D58EDE25F}" name="Column12678"/>
    <tableColumn id="12706" xr3:uid="{BC9CB318-0142-4EAE-B2A9-1DE9B020440D}" name="Column12679"/>
    <tableColumn id="12707" xr3:uid="{7A876505-4085-4CDF-BE02-92F99DE18DD7}" name="Column12680"/>
    <tableColumn id="12708" xr3:uid="{41CC2593-BC19-4742-976F-D78DD95B143A}" name="Column12681"/>
    <tableColumn id="12709" xr3:uid="{81E1A51C-FB55-46A5-B02E-92A044FA5E80}" name="Column12682"/>
    <tableColumn id="12710" xr3:uid="{0F4794A6-72A1-422B-96AD-89CF94D86DD9}" name="Column12683"/>
    <tableColumn id="12711" xr3:uid="{9335FC91-DE9E-49C6-A308-953264C21566}" name="Column12684"/>
    <tableColumn id="12712" xr3:uid="{79A42BA1-A312-47F5-B23D-866B092E5D24}" name="Column12685"/>
    <tableColumn id="12713" xr3:uid="{99146324-0CD5-466E-9F73-18C5B1ED6F6A}" name="Column12686"/>
    <tableColumn id="12714" xr3:uid="{D9A165CC-AF5A-44D3-A36B-002640E60C58}" name="Column12687"/>
    <tableColumn id="12715" xr3:uid="{2A27D091-20F9-43AC-BB6E-B394A7D7D041}" name="Column12688"/>
    <tableColumn id="12716" xr3:uid="{38B11C09-8C94-4620-8701-19F93849BA5A}" name="Column12689"/>
    <tableColumn id="12717" xr3:uid="{8CF59D94-7CD5-43C6-9135-69DC6509FDA6}" name="Column12690"/>
    <tableColumn id="12718" xr3:uid="{DC822C16-D0BD-43A4-8BB4-BB74057A0C11}" name="Column12691"/>
    <tableColumn id="12719" xr3:uid="{8DC4AAA1-CCD8-4BAC-8B40-C8C4FA520432}" name="Column12692"/>
    <tableColumn id="12720" xr3:uid="{1B2E2E61-16D2-4D65-9BEF-590422D9A70C}" name="Column12693"/>
    <tableColumn id="12721" xr3:uid="{B56A93F7-6095-46D3-87CD-A7276CA504E1}" name="Column12694"/>
    <tableColumn id="12722" xr3:uid="{8EAC5D94-E558-4980-96CF-3F24119AE2D8}" name="Column12695"/>
    <tableColumn id="12723" xr3:uid="{D110EF3D-17F9-4621-88F6-A7390E940A8F}" name="Column12696"/>
    <tableColumn id="12724" xr3:uid="{2B681A94-551D-4F60-A077-9D565765DEE4}" name="Column12697"/>
    <tableColumn id="12725" xr3:uid="{D5E29D4A-2BB2-4CBE-81F5-D7FF761286BD}" name="Column12698"/>
    <tableColumn id="12726" xr3:uid="{C1C6F703-22CA-4F19-81E0-E72D47587D74}" name="Column12699"/>
    <tableColumn id="12727" xr3:uid="{39932971-0261-4591-9C9C-512535BB3D48}" name="Column12700"/>
    <tableColumn id="12728" xr3:uid="{E21A6CB9-2895-4F22-B2D3-7606962CCBE1}" name="Column12701"/>
    <tableColumn id="12729" xr3:uid="{3D2A6E9F-E407-47D0-AA3D-A7A47E3AD3B9}" name="Column12702"/>
    <tableColumn id="12730" xr3:uid="{6160C9E7-A9E0-4C7B-8128-032520C4BDCF}" name="Column12703"/>
    <tableColumn id="12731" xr3:uid="{EF32DBB9-6B01-47C0-9410-B6E9321B7D53}" name="Column12704"/>
    <tableColumn id="12732" xr3:uid="{A407744D-92C8-44D3-8E4F-665462179027}" name="Column12705"/>
    <tableColumn id="12733" xr3:uid="{5F8E97E6-DC44-47D0-8A85-326C99658EC3}" name="Column12706"/>
    <tableColumn id="12734" xr3:uid="{83DC8538-C4EC-45AD-A274-2FD6AF0CE36F}" name="Column12707"/>
    <tableColumn id="12735" xr3:uid="{730F6F42-9689-4EEA-8C25-CA3578B3B58D}" name="Column12708"/>
    <tableColumn id="12736" xr3:uid="{97BB53C9-70E3-49FB-9A1E-CA7186644E9B}" name="Column12709"/>
    <tableColumn id="12737" xr3:uid="{6FE0478B-1A98-4A96-BB82-A97BDEE9896C}" name="Column12710"/>
    <tableColumn id="12738" xr3:uid="{3FE94A0E-51A0-4C51-9EA3-133B85F0E665}" name="Column12711"/>
    <tableColumn id="12739" xr3:uid="{2942B68A-C402-4110-A443-6B1A76A6D66B}" name="Column12712"/>
    <tableColumn id="12740" xr3:uid="{46B37329-0B8E-4C5E-9963-6591535F0142}" name="Column12713"/>
    <tableColumn id="12741" xr3:uid="{35DCE128-BA01-46B8-AF8E-E3DE90871921}" name="Column12714"/>
    <tableColumn id="12742" xr3:uid="{F43C11BD-8FBC-4D43-8925-75B2C8C452D4}" name="Column12715"/>
    <tableColumn id="12743" xr3:uid="{96D2905B-5DB2-46E0-B595-760543AB7F2E}" name="Column12716"/>
    <tableColumn id="12744" xr3:uid="{0AF8AD03-18C3-4053-8D23-F8F07CF31ABA}" name="Column12717"/>
    <tableColumn id="12745" xr3:uid="{3823B990-4260-4C2E-B28D-FABE92A99081}" name="Column12718"/>
    <tableColumn id="12746" xr3:uid="{ED2F52A3-1460-4451-8FFB-1DD310A83FB0}" name="Column12719"/>
    <tableColumn id="12747" xr3:uid="{7487AB70-8797-49D8-AA41-05AB91DE796B}" name="Column12720"/>
    <tableColumn id="12748" xr3:uid="{62CA7DD0-95A6-421E-AEE3-6D3AF0920F7F}" name="Column12721"/>
    <tableColumn id="12749" xr3:uid="{9CAB59F8-ACAA-4F86-9768-89274EAC3443}" name="Column12722"/>
    <tableColumn id="12750" xr3:uid="{054C5DF6-E25D-426F-9794-AEDB277C7B42}" name="Column12723"/>
    <tableColumn id="12751" xr3:uid="{BFABD0C4-F566-4081-9F57-B4036AEA0C4E}" name="Column12724"/>
    <tableColumn id="12752" xr3:uid="{CE428AB5-CBB1-4FC8-B9E0-FBCE7A92981C}" name="Column12725"/>
    <tableColumn id="12753" xr3:uid="{12E08365-9914-4658-AC6F-56AC6E14555E}" name="Column12726"/>
    <tableColumn id="12754" xr3:uid="{F76A02C1-8E9A-4B14-ADD4-B8585CD27110}" name="Column12727"/>
    <tableColumn id="12755" xr3:uid="{E0BC8894-682D-4CFB-8590-309560FD04F0}" name="Column12728"/>
    <tableColumn id="12756" xr3:uid="{0ACF2353-1E85-4A57-8C9C-25456A2711A9}" name="Column12729"/>
    <tableColumn id="12757" xr3:uid="{9037D771-9AFB-427A-A359-3A7CEAF167CA}" name="Column12730"/>
    <tableColumn id="12758" xr3:uid="{AEA194FE-15AE-466C-BB52-CE502CD71BFC}" name="Column12731"/>
    <tableColumn id="12759" xr3:uid="{10EC36A7-8070-49C8-97E0-F160D916EBAB}" name="Column12732"/>
    <tableColumn id="12760" xr3:uid="{9461E3F7-3019-4427-9C7E-86BC4978A77F}" name="Column12733"/>
    <tableColumn id="12761" xr3:uid="{02119970-94A9-4048-A81F-437E47830A97}" name="Column12734"/>
    <tableColumn id="12762" xr3:uid="{0C849A99-91F1-432E-A427-E66C24FC26ED}" name="Column12735"/>
    <tableColumn id="12763" xr3:uid="{55C8A13F-B289-435B-873C-CD974F248E29}" name="Column12736"/>
    <tableColumn id="12764" xr3:uid="{9B39F236-018F-469C-B758-B28E733DEAE5}" name="Column12737"/>
    <tableColumn id="12765" xr3:uid="{AD734B66-1475-4454-9A6E-E8B51C6D38C2}" name="Column12738"/>
    <tableColumn id="12766" xr3:uid="{372DD6A5-BE54-4799-8FFD-008D291CC44C}" name="Column12739"/>
    <tableColumn id="12767" xr3:uid="{801C8BEE-F0DC-48A4-8A47-4F22023E4885}" name="Column12740"/>
    <tableColumn id="12768" xr3:uid="{4BAEB8E0-F9DB-4ABD-90A0-7B885C01325D}" name="Column12741"/>
    <tableColumn id="12769" xr3:uid="{F2C767C7-F7F2-4825-86B7-DAB1BB76CA56}" name="Column12742"/>
    <tableColumn id="12770" xr3:uid="{FED90E00-D0C1-4D8F-BC16-9CEEFDF72D64}" name="Column12743"/>
    <tableColumn id="12771" xr3:uid="{5F2202C7-84AD-438E-B337-803A40FCB48E}" name="Column12744"/>
    <tableColumn id="12772" xr3:uid="{1D04C6C3-8669-46FE-A984-33B114ED7FF8}" name="Column12745"/>
    <tableColumn id="12773" xr3:uid="{BF1C52CA-3227-4421-9FC0-C396B0858D9B}" name="Column12746"/>
    <tableColumn id="12774" xr3:uid="{B32F0A25-DB93-45A5-ADD0-EF785C4B1A51}" name="Column12747"/>
    <tableColumn id="12775" xr3:uid="{5E5F1A92-3260-4112-A818-5994075B6ECE}" name="Column12748"/>
    <tableColumn id="12776" xr3:uid="{017FBF12-0A6D-40AB-9000-69110B503C65}" name="Column12749"/>
    <tableColumn id="12777" xr3:uid="{AFB7D56B-592B-49DE-ADDE-A7C05CF5F2B8}" name="Column12750"/>
    <tableColumn id="12778" xr3:uid="{C6B439A6-C339-4935-999B-2D2D8295E988}" name="Column12751"/>
    <tableColumn id="12779" xr3:uid="{518AFA7C-10C5-4D34-AED2-5E9C8628D569}" name="Column12752"/>
    <tableColumn id="12780" xr3:uid="{197D1361-03E3-4A5F-9F3D-509451226D32}" name="Column12753"/>
    <tableColumn id="12781" xr3:uid="{F915D70B-9C0B-4B98-A8EA-165F5F4392EF}" name="Column12754"/>
    <tableColumn id="12782" xr3:uid="{AC95F3E3-F274-4CC8-AEFC-5823337373FA}" name="Column12755"/>
    <tableColumn id="12783" xr3:uid="{8C083E8E-E160-496A-BF6A-5BA26FC383FB}" name="Column12756"/>
    <tableColumn id="12784" xr3:uid="{B4BA4873-4358-4150-A053-707995650C1D}" name="Column12757"/>
    <tableColumn id="12785" xr3:uid="{3A11916C-424D-4A96-956B-8955E269769A}" name="Column12758"/>
    <tableColumn id="12786" xr3:uid="{F44587A5-3461-49C8-90A0-99F15665618C}" name="Column12759"/>
    <tableColumn id="12787" xr3:uid="{5F2FF2AB-658E-4468-9466-7065C8CEE48C}" name="Column12760"/>
    <tableColumn id="12788" xr3:uid="{0AACA015-DB1A-4341-9A43-059926168BE9}" name="Column12761"/>
    <tableColumn id="12789" xr3:uid="{4FC27E6F-897B-4328-949F-3CFB4C12C0CA}" name="Column12762"/>
    <tableColumn id="12790" xr3:uid="{090508EB-9E4E-4284-968C-C161CEC53B77}" name="Column12763"/>
    <tableColumn id="12791" xr3:uid="{9A536354-A181-4A26-970D-22271C45A9EC}" name="Column12764"/>
    <tableColumn id="12792" xr3:uid="{903EE598-B74F-456D-BF01-19BEEA6575CA}" name="Column12765"/>
    <tableColumn id="12793" xr3:uid="{9E73C7A6-98E5-4CBD-8417-3C9CDCB677C8}" name="Column12766"/>
    <tableColumn id="12794" xr3:uid="{24125FE1-4E80-4439-953C-792096DE7AF8}" name="Column12767"/>
    <tableColumn id="12795" xr3:uid="{5D88CE42-7C52-4862-8B21-683222D82063}" name="Column12768"/>
    <tableColumn id="12796" xr3:uid="{46208100-FA4B-4981-8688-FAA3ACEA01EF}" name="Column12769"/>
    <tableColumn id="12797" xr3:uid="{A64B4F2A-BF81-4F59-B626-B0253664521C}" name="Column12770"/>
    <tableColumn id="12798" xr3:uid="{1C763D63-845F-43BF-927F-7BF279142489}" name="Column12771"/>
    <tableColumn id="12799" xr3:uid="{53454728-6B8B-4CBE-908E-7341BF861FDD}" name="Column12772"/>
    <tableColumn id="12800" xr3:uid="{E59B2278-055F-4D76-8A19-7490E739E4DC}" name="Column12773"/>
    <tableColumn id="12801" xr3:uid="{873CC6F9-8A02-4835-A3DD-C2FE4ED4A730}" name="Column12774"/>
    <tableColumn id="12802" xr3:uid="{48B7FF9D-2286-4B7A-8EB8-DF3ACBDE8DAA}" name="Column12775"/>
    <tableColumn id="12803" xr3:uid="{FB52E144-D348-45E7-9889-D5BA479A6262}" name="Column12776"/>
    <tableColumn id="12804" xr3:uid="{0F079C63-2A8E-4CA3-B4CD-37E28BE1C6D6}" name="Column12777"/>
    <tableColumn id="12805" xr3:uid="{1EBD53B2-0611-4E4D-9202-3E45D2D55F7B}" name="Column12778"/>
    <tableColumn id="12806" xr3:uid="{C9A14252-13CE-4A56-B333-BB97A52D7B5F}" name="Column12779"/>
    <tableColumn id="12807" xr3:uid="{1757A3E7-890C-44F8-8062-54B662794E9A}" name="Column12780"/>
    <tableColumn id="12808" xr3:uid="{99E28F7B-BBCF-4CB7-B45B-DE51548CD830}" name="Column12781"/>
    <tableColumn id="12809" xr3:uid="{6E186ED4-8886-4473-9701-B8B59290E087}" name="Column12782"/>
    <tableColumn id="12810" xr3:uid="{70771BFD-FBFC-489F-BA0E-BDF831C5C051}" name="Column12783"/>
    <tableColumn id="12811" xr3:uid="{85433024-AD08-4013-A3B5-43CA5918DE98}" name="Column12784"/>
    <tableColumn id="12812" xr3:uid="{24F4A168-29DA-463C-9C59-BEFFC8FFF5F7}" name="Column12785"/>
    <tableColumn id="12813" xr3:uid="{FABA52B3-75FA-47E3-B8A1-8BA9D118E35E}" name="Column12786"/>
    <tableColumn id="12814" xr3:uid="{88C9D950-2BEC-431D-82BA-5C9AD17C29CE}" name="Column12787"/>
    <tableColumn id="12815" xr3:uid="{89AB0D83-ACF7-41F2-9A4F-AA3EC35D7768}" name="Column12788"/>
    <tableColumn id="12816" xr3:uid="{A691B2CA-2B13-43D4-83D0-538342DB5C52}" name="Column12789"/>
    <tableColumn id="12817" xr3:uid="{62A12D72-6E39-4D43-9E60-654FBBD78D7F}" name="Column12790"/>
    <tableColumn id="12818" xr3:uid="{E2142BE4-93C9-426B-B44F-5A4AE52392EC}" name="Column12791"/>
    <tableColumn id="12819" xr3:uid="{EA1E2EAE-985A-4E22-B16D-D5425A8C8FE1}" name="Column12792"/>
    <tableColumn id="12820" xr3:uid="{2A471116-F08B-46C8-B2A6-2F441387419C}" name="Column12793"/>
    <tableColumn id="12821" xr3:uid="{743B6CCB-B00A-4CF2-9318-ABA6EC457F26}" name="Column12794"/>
    <tableColumn id="12822" xr3:uid="{5F312025-BD7D-48C6-9A16-45D1DBA90EC6}" name="Column12795"/>
    <tableColumn id="12823" xr3:uid="{CFF96940-1221-4337-9766-46846718D5C0}" name="Column12796"/>
    <tableColumn id="12824" xr3:uid="{9D5DDAF1-31EA-44E6-B293-ECC4E4B2F081}" name="Column12797"/>
    <tableColumn id="12825" xr3:uid="{6888525D-6556-42CF-A0CC-954E319C8C18}" name="Column12798"/>
    <tableColumn id="12826" xr3:uid="{9CD2D080-AC7C-464C-944A-BF6490790792}" name="Column12799"/>
    <tableColumn id="12827" xr3:uid="{DE3354E1-E5D3-410F-A3D1-5692DA9FC84E}" name="Column12800"/>
    <tableColumn id="12828" xr3:uid="{65ED4B19-4A6A-4C22-A1CD-380D6AA1FC4D}" name="Column12801"/>
    <tableColumn id="12829" xr3:uid="{04FE082E-44CC-492D-8F5F-B6FF1C452311}" name="Column12802"/>
    <tableColumn id="12830" xr3:uid="{F4111DD2-924C-47A7-A4E2-CE3EF7260837}" name="Column12803"/>
    <tableColumn id="12831" xr3:uid="{CEDDF780-F269-4697-A0F8-496A6419CE40}" name="Column12804"/>
    <tableColumn id="12832" xr3:uid="{68E3570D-3011-438C-A5FC-2C2DFD45AD7B}" name="Column12805"/>
    <tableColumn id="12833" xr3:uid="{3EF56376-26C1-40DF-86D3-6D214112915E}" name="Column12806"/>
    <tableColumn id="12834" xr3:uid="{D44F6FA4-D085-4B07-AEC7-03FD60CE009A}" name="Column12807"/>
    <tableColumn id="12835" xr3:uid="{D90B8AF8-42CC-479D-BF5E-BF013F34543D}" name="Column12808"/>
    <tableColumn id="12836" xr3:uid="{4E39E02F-9A3A-44F7-BAD3-24C9ED0ED0B5}" name="Column12809"/>
    <tableColumn id="12837" xr3:uid="{0232320B-4B25-42B8-98E1-D9849298FE59}" name="Column12810"/>
    <tableColumn id="12838" xr3:uid="{155722C4-F6F7-4B09-8733-F2BE6C3E786B}" name="Column12811"/>
    <tableColumn id="12839" xr3:uid="{F8B1D546-7EC1-4906-A370-432196A5CB70}" name="Column12812"/>
    <tableColumn id="12840" xr3:uid="{A8399BB7-D895-4DB3-A8F3-6AD866EFB22D}" name="Column12813"/>
    <tableColumn id="12841" xr3:uid="{DD9740E4-0BC5-4106-AF09-AF0EB2945A14}" name="Column12814"/>
    <tableColumn id="12842" xr3:uid="{D9229E0E-CAEC-4F14-933B-66E22FB9EF5B}" name="Column12815"/>
    <tableColumn id="12843" xr3:uid="{E5449AB9-17AC-4849-AB2B-3AF62DD127F6}" name="Column12816"/>
    <tableColumn id="12844" xr3:uid="{692ADC35-9181-429B-9747-A13CC13D3B25}" name="Column12817"/>
    <tableColumn id="12845" xr3:uid="{EA21A4C9-EFF2-4646-B2A9-E44B6605B36C}" name="Column12818"/>
    <tableColumn id="12846" xr3:uid="{96F64B35-A87E-4EF6-A2A7-ECCAD9F1BDF7}" name="Column12819"/>
    <tableColumn id="12847" xr3:uid="{26EC53ED-DE2E-4C02-B12F-F88396A8D6D8}" name="Column12820"/>
    <tableColumn id="12848" xr3:uid="{7D08C2ED-3384-47F7-B117-F97814524A5E}" name="Column12821"/>
    <tableColumn id="12849" xr3:uid="{E0C8A065-F2B1-4D83-BD96-DFF59BA6EF72}" name="Column12822"/>
    <tableColumn id="12850" xr3:uid="{658552D9-D2B1-4DC8-8204-221DC8B53AF8}" name="Column12823"/>
    <tableColumn id="12851" xr3:uid="{9DE88CD6-58A9-4234-8B67-7A5D2FC35FD9}" name="Column12824"/>
    <tableColumn id="12852" xr3:uid="{B17AF3DF-BB9A-488E-B385-95DD26E4001C}" name="Column12825"/>
    <tableColumn id="12853" xr3:uid="{9B99604E-7341-4BB9-9153-84853E04D35F}" name="Column12826"/>
    <tableColumn id="12854" xr3:uid="{B2509174-6261-44CC-9FBA-259C468E86AF}" name="Column12827"/>
    <tableColumn id="12855" xr3:uid="{C1BF2EC7-A16E-498A-8381-2693A237703F}" name="Column12828"/>
    <tableColumn id="12856" xr3:uid="{AA7B56DA-48E7-4D38-9833-EA71BC60F961}" name="Column12829"/>
    <tableColumn id="12857" xr3:uid="{07B246C1-9742-4774-A6D9-E47E29BC3F9D}" name="Column12830"/>
    <tableColumn id="12858" xr3:uid="{B64E9400-B3F4-4F6D-813E-BAA6A6EA89B6}" name="Column12831"/>
    <tableColumn id="12859" xr3:uid="{E2C24545-78BC-4D9C-8F81-608738DBD29C}" name="Column12832"/>
    <tableColumn id="12860" xr3:uid="{5BBC7DFD-0BD0-45C3-B04A-FA8FC03AFFE6}" name="Column12833"/>
    <tableColumn id="12861" xr3:uid="{9899D466-F250-4626-884B-3DFACDA79C1F}" name="Column12834"/>
    <tableColumn id="12862" xr3:uid="{CD7D8A55-08A4-442B-8920-A2400894AE23}" name="Column12835"/>
    <tableColumn id="12863" xr3:uid="{F8F04538-C8E8-4BF4-AD50-FBB6E59CBBC1}" name="Column12836"/>
    <tableColumn id="12864" xr3:uid="{673146F6-BB0A-4FC3-9415-845B8F1DE0C4}" name="Column12837"/>
    <tableColumn id="12865" xr3:uid="{68C07885-BD71-4661-8020-81AE61253F1C}" name="Column12838"/>
    <tableColumn id="12866" xr3:uid="{A254A907-4364-400D-862C-F20C6CEA9D0E}" name="Column12839"/>
    <tableColumn id="12867" xr3:uid="{97161921-E9A9-4741-AF6D-B22BCA52AF2D}" name="Column12840"/>
    <tableColumn id="12868" xr3:uid="{B92A5782-1824-4E92-862D-79BEA55ADC6B}" name="Column12841"/>
    <tableColumn id="12869" xr3:uid="{2F766898-6617-43C1-A620-4B6D4D7B6EC0}" name="Column12842"/>
    <tableColumn id="12870" xr3:uid="{77D77E46-ED53-4FBB-88F1-0A7A6ACF3889}" name="Column12843"/>
    <tableColumn id="12871" xr3:uid="{2B072468-1FED-4880-B89A-743E0E2E4061}" name="Column12844"/>
    <tableColumn id="12872" xr3:uid="{1D4C639B-D06C-44B2-B639-D7A5DFEB7495}" name="Column12845"/>
    <tableColumn id="12873" xr3:uid="{9814DF31-AD08-481C-8CFD-F51CC0A99CA1}" name="Column12846"/>
    <tableColumn id="12874" xr3:uid="{60CCF57D-0CAE-49B8-BA3B-1750AB651D46}" name="Column12847"/>
    <tableColumn id="12875" xr3:uid="{EB326DFC-B9CF-4AE0-8412-B90FFDFE6991}" name="Column12848"/>
    <tableColumn id="12876" xr3:uid="{A94E9E5D-6387-402D-86A7-9A26166D88CA}" name="Column12849"/>
    <tableColumn id="12877" xr3:uid="{9BB1CF80-14BB-4B54-9A87-8C16E80C6169}" name="Column12850"/>
    <tableColumn id="12878" xr3:uid="{F26F6F6F-9229-4600-8DEA-A115ABE72ED2}" name="Column12851"/>
    <tableColumn id="12879" xr3:uid="{82A05397-50B0-4698-A793-7E9EF33E961A}" name="Column12852"/>
    <tableColumn id="12880" xr3:uid="{CB4E8566-1DAE-471B-B8F0-8219342CA453}" name="Column12853"/>
    <tableColumn id="12881" xr3:uid="{A3137FF0-71F8-423E-A438-AAC12FACF632}" name="Column12854"/>
    <tableColumn id="12882" xr3:uid="{1E64CFF8-3F8D-403C-B28C-4A01C9FB4CCE}" name="Column12855"/>
    <tableColumn id="12883" xr3:uid="{143AD2A9-B835-4C49-B0E7-0679B8356389}" name="Column12856"/>
    <tableColumn id="12884" xr3:uid="{453F1B82-4ED3-47FB-A6D6-3966C41818DE}" name="Column12857"/>
    <tableColumn id="12885" xr3:uid="{8AF2BBD1-B626-4045-93A9-8F6629B716B7}" name="Column12858"/>
    <tableColumn id="12886" xr3:uid="{2263B4BD-EE3C-4850-9013-54B6A9B1BD58}" name="Column12859"/>
    <tableColumn id="12887" xr3:uid="{3C027BA8-4ECF-4AF8-990C-2577F2C829FB}" name="Column12860"/>
    <tableColumn id="12888" xr3:uid="{4BF996D9-762D-4A47-847E-9D00981B36EE}" name="Column12861"/>
    <tableColumn id="12889" xr3:uid="{B1DD6B7A-471A-460A-89C5-C729ECF75276}" name="Column12862"/>
    <tableColumn id="12890" xr3:uid="{5277867E-52A0-4043-B4F7-8C0334D05935}" name="Column12863"/>
    <tableColumn id="12891" xr3:uid="{87CEA1E2-C15A-490D-B07A-67CA4E5698CE}" name="Column12864"/>
    <tableColumn id="12892" xr3:uid="{494FC0D2-2495-4CDE-9AF5-091B11FC5677}" name="Column12865"/>
    <tableColumn id="12893" xr3:uid="{710601DB-3EDF-49F7-9630-0F77FED0B339}" name="Column12866"/>
    <tableColumn id="12894" xr3:uid="{8BA53597-11AF-493B-BA21-743920EA75EE}" name="Column12867"/>
    <tableColumn id="12895" xr3:uid="{38B7F0D8-F6F6-4C92-B613-55515F8125B7}" name="Column12868"/>
    <tableColumn id="12896" xr3:uid="{D2F1EA2C-1F77-416F-9C24-47358D88FEE5}" name="Column12869"/>
    <tableColumn id="12897" xr3:uid="{8AE71498-DC3C-4004-AEA1-CD2B012047B4}" name="Column12870"/>
    <tableColumn id="12898" xr3:uid="{0EDDE19B-6FA3-4D7A-BBAC-0429976BF8CA}" name="Column12871"/>
    <tableColumn id="12899" xr3:uid="{C50AC85B-F2DF-4E3B-BB98-0D17EEA11985}" name="Column12872"/>
    <tableColumn id="12900" xr3:uid="{582A8A44-2F43-4244-902C-812A78C1E611}" name="Column12873"/>
    <tableColumn id="12901" xr3:uid="{E129E92E-8953-43D2-8A72-F4F949DDDF15}" name="Column12874"/>
    <tableColumn id="12902" xr3:uid="{D860175B-024C-44FE-AC86-5742E4115766}" name="Column12875"/>
    <tableColumn id="12903" xr3:uid="{CF5201FA-579B-4657-BA24-831C895B517F}" name="Column12876"/>
    <tableColumn id="12904" xr3:uid="{71C03E8A-001F-4DAC-927A-6917C337995A}" name="Column12877"/>
    <tableColumn id="12905" xr3:uid="{E1DC029F-9916-451B-87B3-EB0053AC4435}" name="Column12878"/>
    <tableColumn id="12906" xr3:uid="{7A2B2A35-D68B-43F0-B837-47C96047D33B}" name="Column12879"/>
    <tableColumn id="12907" xr3:uid="{94CC683C-A7F0-48FA-99A5-DDBEABA93C7E}" name="Column12880"/>
    <tableColumn id="12908" xr3:uid="{713887DA-1BDD-4B3D-A8C1-B44D752E92E5}" name="Column12881"/>
    <tableColumn id="12909" xr3:uid="{218B527D-FD43-44C5-A895-261D9160FB47}" name="Column12882"/>
    <tableColumn id="12910" xr3:uid="{1427B0FA-7FE7-486A-9136-5EFA4C40E8BC}" name="Column12883"/>
    <tableColumn id="12911" xr3:uid="{B9164787-C6CB-4454-9D33-5BA30D36B5CA}" name="Column12884"/>
    <tableColumn id="12912" xr3:uid="{C260FA53-F5ED-4436-AEC0-2D27844723F0}" name="Column12885"/>
    <tableColumn id="12913" xr3:uid="{0ADF6315-1C0E-4B1E-B515-A915D69397A8}" name="Column12886"/>
    <tableColumn id="12914" xr3:uid="{237985A9-ED1D-4619-A77B-7EC76317CFC5}" name="Column12887"/>
    <tableColumn id="12915" xr3:uid="{C3F9A100-157D-4F64-93E8-C5423F78BD5F}" name="Column12888"/>
    <tableColumn id="12916" xr3:uid="{A6B356AF-0B8A-4DFB-8296-2B23043A3CB1}" name="Column12889"/>
    <tableColumn id="12917" xr3:uid="{159CE379-6CDE-4CA7-9D35-48E64C7B4013}" name="Column12890"/>
    <tableColumn id="12918" xr3:uid="{659BE56A-949A-426D-9734-CC62344A88FC}" name="Column12891"/>
    <tableColumn id="12919" xr3:uid="{8571ACE0-8877-4557-9F9B-10E5D79534A8}" name="Column12892"/>
    <tableColumn id="12920" xr3:uid="{A005934C-2B4F-4692-94B2-86360661786C}" name="Column12893"/>
    <tableColumn id="12921" xr3:uid="{C3FB4A21-44C6-4ACB-A4CC-CEB740BA2475}" name="Column12894"/>
    <tableColumn id="12922" xr3:uid="{8846F270-B0E9-4387-9A3F-663CEAAB1B21}" name="Column12895"/>
    <tableColumn id="12923" xr3:uid="{B65FDF4B-DA15-4B22-9A62-3E80AE175B75}" name="Column12896"/>
    <tableColumn id="12924" xr3:uid="{DD8494BB-4C80-4534-BEBC-00C89E0F9EC4}" name="Column12897"/>
    <tableColumn id="12925" xr3:uid="{7408AF10-F60D-49A4-887B-818C44338BA2}" name="Column12898"/>
    <tableColumn id="12926" xr3:uid="{D2651C9E-D36D-4160-95CD-690CCE14FA72}" name="Column12899"/>
    <tableColumn id="12927" xr3:uid="{9F1F87FE-3976-48ED-958E-75BD1EEFF6AC}" name="Column12900"/>
    <tableColumn id="12928" xr3:uid="{FC5F503F-0378-4D2F-A9EE-AFA64F77C631}" name="Column12901"/>
    <tableColumn id="12929" xr3:uid="{A44B99BB-EC78-4001-9ADD-6AA7CB8D7CAC}" name="Column12902"/>
    <tableColumn id="12930" xr3:uid="{D544CC1B-72D8-435A-8B23-6FAF08F1E9F0}" name="Column12903"/>
    <tableColumn id="12931" xr3:uid="{AF6BFC96-FAC8-4810-B6CA-969414182484}" name="Column12904"/>
    <tableColumn id="12932" xr3:uid="{44422D8E-E94C-4159-840D-B8796D768569}" name="Column12905"/>
    <tableColumn id="12933" xr3:uid="{0EB0284B-D60E-4A6F-836F-16783874A6FA}" name="Column12906"/>
    <tableColumn id="12934" xr3:uid="{81EFC95F-E3A3-409F-8280-2E3E320C09C1}" name="Column12907"/>
    <tableColumn id="12935" xr3:uid="{7377B302-DD00-46F7-801C-0A5EBBA5C9C6}" name="Column12908"/>
    <tableColumn id="12936" xr3:uid="{8AE79E5F-D432-487A-BDEA-33823111B15D}" name="Column12909"/>
    <tableColumn id="12937" xr3:uid="{B3AA3A86-A2D1-455B-93DC-9F36685AE524}" name="Column12910"/>
    <tableColumn id="12938" xr3:uid="{DCC4C81E-10A7-4C36-937F-710FCFF1D8C0}" name="Column12911"/>
    <tableColumn id="12939" xr3:uid="{7B03FA48-8107-452B-9FBD-CA428C0F5866}" name="Column12912"/>
    <tableColumn id="12940" xr3:uid="{F7378AF7-E04F-4449-A9B5-0E2346F9C543}" name="Column12913"/>
    <tableColumn id="12941" xr3:uid="{97685494-D316-4C6D-B4C6-A359571C75FE}" name="Column12914"/>
    <tableColumn id="12942" xr3:uid="{FBA2432E-F753-4C39-92F4-4F61B39A78D3}" name="Column12915"/>
    <tableColumn id="12943" xr3:uid="{F708B82C-FD63-4944-835A-BE19C9BAA27D}" name="Column12916"/>
    <tableColumn id="12944" xr3:uid="{7EC6E19D-526A-4241-AC43-A85840B9F8A8}" name="Column12917"/>
    <tableColumn id="12945" xr3:uid="{382006E5-D71A-432C-9E5C-713B2E4D5706}" name="Column12918"/>
    <tableColumn id="12946" xr3:uid="{087CA066-86CF-45E3-8934-60EFF64F9E8D}" name="Column12919"/>
    <tableColumn id="12947" xr3:uid="{9867B3C5-5BEE-4A60-AD8C-3D1C027F2D22}" name="Column12920"/>
    <tableColumn id="12948" xr3:uid="{3903FE6E-53DD-4205-ACBC-24E998F7FF0F}" name="Column12921"/>
    <tableColumn id="12949" xr3:uid="{767822B3-5DC0-44CF-BA5B-9A4BC606E605}" name="Column12922"/>
    <tableColumn id="12950" xr3:uid="{DD7F02E9-60BF-4255-8DD3-146994FAA402}" name="Column12923"/>
    <tableColumn id="12951" xr3:uid="{161869E9-A5DF-49E5-B885-356C0D450C13}" name="Column12924"/>
    <tableColumn id="12952" xr3:uid="{9EF05FE2-46EC-49F6-B2BA-C302AC690A40}" name="Column12925"/>
    <tableColumn id="12953" xr3:uid="{0048E920-4527-4345-8A1A-0446EEB78F60}" name="Column12926"/>
    <tableColumn id="12954" xr3:uid="{5F3E2931-4236-4E23-BEAD-7787A2BCA819}" name="Column12927"/>
    <tableColumn id="12955" xr3:uid="{25033D15-C1B3-40CA-9466-6D0D10ED2EC5}" name="Column12928"/>
    <tableColumn id="12956" xr3:uid="{9E6A15F3-9FFA-432C-9EA0-02CA0B923783}" name="Column12929"/>
    <tableColumn id="12957" xr3:uid="{64D57881-C09D-4F35-9073-3CEC4267D9B4}" name="Column12930"/>
    <tableColumn id="12958" xr3:uid="{B69B2CFA-25CF-4F2D-B613-8FFB8E540BBC}" name="Column12931"/>
    <tableColumn id="12959" xr3:uid="{4D1A8798-1788-433A-91DF-B4D4D2BD9472}" name="Column12932"/>
    <tableColumn id="12960" xr3:uid="{D10A73C6-4E40-4FF7-8E16-F3E916CE3217}" name="Column12933"/>
    <tableColumn id="12961" xr3:uid="{67462DE4-B2CA-4BA3-A7C8-9D0634888100}" name="Column12934"/>
    <tableColumn id="12962" xr3:uid="{63849809-6659-4B55-9A3A-350C3B30B1F5}" name="Column12935"/>
    <tableColumn id="12963" xr3:uid="{AC1D1947-E5A4-413E-AE85-BF7EED3387FF}" name="Column12936"/>
    <tableColumn id="12964" xr3:uid="{5CE02764-7891-446C-805D-1D43F1651167}" name="Column12937"/>
    <tableColumn id="12965" xr3:uid="{93F1659D-AB6E-459D-A47F-21B0CF13A5C8}" name="Column12938"/>
    <tableColumn id="12966" xr3:uid="{B987C8B6-6747-4D8E-BE11-428142FDF33E}" name="Column12939"/>
    <tableColumn id="12967" xr3:uid="{30209CE4-36C6-4AD0-A773-843678D2126E}" name="Column12940"/>
    <tableColumn id="12968" xr3:uid="{3816D81D-3714-4949-857A-8485B661D58D}" name="Column12941"/>
    <tableColumn id="12969" xr3:uid="{A41C38B2-3424-48E8-86F6-DFD04C42D244}" name="Column12942"/>
    <tableColumn id="12970" xr3:uid="{5113E08A-7AE2-473D-AF2B-9363B3C06326}" name="Column12943"/>
    <tableColumn id="12971" xr3:uid="{E3717592-CB60-437A-9B6E-1A6F7A6A0C84}" name="Column12944"/>
    <tableColumn id="12972" xr3:uid="{6CC09BF7-721F-42BF-B483-A25B325B3541}" name="Column12945"/>
    <tableColumn id="12973" xr3:uid="{707833A3-A464-40A9-8484-9BDF4835D5F0}" name="Column12946"/>
    <tableColumn id="12974" xr3:uid="{3B8BB365-5234-41BA-AF36-5A52B6FE4F0E}" name="Column12947"/>
    <tableColumn id="12975" xr3:uid="{812FCF72-A4FE-4F38-8AC6-62DB6F21C99C}" name="Column12948"/>
    <tableColumn id="12976" xr3:uid="{7D8D3871-F08A-46B6-9A6E-6A20023D1AEC}" name="Column12949"/>
    <tableColumn id="12977" xr3:uid="{B14A5D64-3CFC-4137-8098-7F02806D1CB4}" name="Column12950"/>
    <tableColumn id="12978" xr3:uid="{0736CCD7-6A2B-4903-81E5-98F4551AEDCE}" name="Column12951"/>
    <tableColumn id="12979" xr3:uid="{1731B0C4-95EE-49FE-8AF1-4B6E72C59E3E}" name="Column12952"/>
    <tableColumn id="12980" xr3:uid="{01082F28-E36F-4ED0-8D8D-D60C0E56DF4D}" name="Column12953"/>
    <tableColumn id="12981" xr3:uid="{A0BEA2C0-1620-4C74-A04E-94B3C89D4BEA}" name="Column12954"/>
    <tableColumn id="12982" xr3:uid="{7C4D590A-1F98-4C28-ACA2-28F19C22847C}" name="Column12955"/>
    <tableColumn id="12983" xr3:uid="{0B86ED71-DDE1-4ED9-9490-1A08EFF0829D}" name="Column12956"/>
    <tableColumn id="12984" xr3:uid="{0522FEEB-D3F8-4B61-AEDB-AB8BCE415ED2}" name="Column12957"/>
    <tableColumn id="12985" xr3:uid="{EE717EC0-D86E-4E67-B09F-E77752868299}" name="Column12958"/>
    <tableColumn id="12986" xr3:uid="{A53B69D1-0D3B-4C18-AF69-4A9851992FA9}" name="Column12959"/>
    <tableColumn id="12987" xr3:uid="{1A4AF61D-CF7D-4FA2-9EB6-E9E15AE6B7C0}" name="Column12960"/>
    <tableColumn id="12988" xr3:uid="{19BB615B-D995-4E90-B303-CE2DF1EB164A}" name="Column12961"/>
    <tableColumn id="12989" xr3:uid="{78E04131-02B2-4570-ABB0-EC68D16A99BB}" name="Column12962"/>
    <tableColumn id="12990" xr3:uid="{B6D676C7-BB90-4FAA-B6F8-5193F34A752F}" name="Column12963"/>
    <tableColumn id="12991" xr3:uid="{5E7B2ECA-E29F-4272-AE3C-8621A46EB362}" name="Column12964"/>
    <tableColumn id="12992" xr3:uid="{A07D3E17-A907-479A-BB33-EC312B676B56}" name="Column12965"/>
    <tableColumn id="12993" xr3:uid="{F6004321-CED1-41A2-9F65-2068382C532D}" name="Column12966"/>
    <tableColumn id="12994" xr3:uid="{6A21B0AE-A71E-4221-A529-6B909FA56B5E}" name="Column12967"/>
    <tableColumn id="12995" xr3:uid="{0C0350FA-74B9-474E-BD9B-13CD3587DA4D}" name="Column12968"/>
    <tableColumn id="12996" xr3:uid="{0EE73471-050E-4470-BDD1-9EA3DEAFF971}" name="Column12969"/>
    <tableColumn id="12997" xr3:uid="{DC660001-4ACD-4853-9833-1301BF7EEC58}" name="Column12970"/>
    <tableColumn id="12998" xr3:uid="{97AF6A5D-D2B2-4B78-8691-1D1DB7FA07FA}" name="Column12971"/>
    <tableColumn id="12999" xr3:uid="{596EB21C-A837-4472-8C7D-B6EAB9D8EE5A}" name="Column12972"/>
    <tableColumn id="13000" xr3:uid="{720D4872-2BC8-4515-99BA-F52CCEABBDFA}" name="Column12973"/>
    <tableColumn id="13001" xr3:uid="{0EF8B38F-2B6D-4423-A7FA-E8AA64E0A3E5}" name="Column12974"/>
    <tableColumn id="13002" xr3:uid="{BC7D5E7C-AEF7-4D28-977A-72002D7E0A15}" name="Column12975"/>
    <tableColumn id="13003" xr3:uid="{32FA0CAD-5F3F-4228-AF62-9435E7BA2AC8}" name="Column12976"/>
    <tableColumn id="13004" xr3:uid="{C13C3636-9899-41E1-9E77-DCDBAE785ED8}" name="Column12977"/>
    <tableColumn id="13005" xr3:uid="{8C1F8489-E681-4C9E-816A-A35168EE31E6}" name="Column12978"/>
    <tableColumn id="13006" xr3:uid="{ADE243F6-3D1A-43BC-8351-6BECF80E2513}" name="Column12979"/>
    <tableColumn id="13007" xr3:uid="{E1C424F6-703C-4BA2-9E4A-3CE466282661}" name="Column12980"/>
    <tableColumn id="13008" xr3:uid="{B64BF23F-BB73-4E76-9FB9-0CB9E9B6A5C9}" name="Column12981"/>
    <tableColumn id="13009" xr3:uid="{BF4498A6-9935-4D72-B60B-53C8D16EB5E2}" name="Column12982"/>
    <tableColumn id="13010" xr3:uid="{D40087CE-273C-4BFE-82FB-1FF3E4A1FC71}" name="Column12983"/>
    <tableColumn id="13011" xr3:uid="{1FB377FF-0CEB-43A7-AC0F-69BC99670E2C}" name="Column12984"/>
    <tableColumn id="13012" xr3:uid="{9C543744-E174-48DF-8E5E-AC9511B42D1C}" name="Column12985"/>
    <tableColumn id="13013" xr3:uid="{D16CCB71-0630-4475-AA8D-3CDE0D74B707}" name="Column12986"/>
    <tableColumn id="13014" xr3:uid="{B8F76C9B-0126-4DAF-8E7D-1734188D96E0}" name="Column12987"/>
    <tableColumn id="13015" xr3:uid="{E171121A-E293-4597-B481-D9F87B5B1EF8}" name="Column12988"/>
    <tableColumn id="13016" xr3:uid="{74DE3B8A-D04A-49E6-B450-C604A7C11490}" name="Column12989"/>
    <tableColumn id="13017" xr3:uid="{A5C145D1-4F08-479D-A50B-E68136629757}" name="Column12990"/>
    <tableColumn id="13018" xr3:uid="{FB7034EA-4EA2-47ED-A9CC-B7DF047FEBDA}" name="Column12991"/>
    <tableColumn id="13019" xr3:uid="{1306CC5C-399F-402B-B002-F3CE32993384}" name="Column12992"/>
    <tableColumn id="13020" xr3:uid="{14AEA9F5-538D-44E6-9F76-DA25994D3744}" name="Column12993"/>
    <tableColumn id="13021" xr3:uid="{AFB54EB1-B9F8-438A-931F-E191723A6BA0}" name="Column12994"/>
    <tableColumn id="13022" xr3:uid="{CE2C3BA1-060E-4005-9CFB-93D7226F0B4E}" name="Column12995"/>
    <tableColumn id="13023" xr3:uid="{BBDC627C-7DC7-4645-B7E4-1485BFE93DA8}" name="Column12996"/>
    <tableColumn id="13024" xr3:uid="{6A178092-DAE8-4CCC-B3D7-2AEFC9D92A49}" name="Column12997"/>
    <tableColumn id="13025" xr3:uid="{81E7332E-8788-4E73-B89C-CF62822C8BA3}" name="Column12998"/>
    <tableColumn id="13026" xr3:uid="{E9D40052-B347-4DA6-A1EA-16A29FD0C655}" name="Column12999"/>
    <tableColumn id="13027" xr3:uid="{DAA3F643-B414-43A4-8781-3EE2F71D2174}" name="Column13000"/>
    <tableColumn id="13028" xr3:uid="{F10B7A69-13B0-4476-BE9F-460D691075A9}" name="Column13001"/>
    <tableColumn id="13029" xr3:uid="{4D822A55-CC0F-4251-A0AD-5D8C8B483EAB}" name="Column13002"/>
    <tableColumn id="13030" xr3:uid="{DA8FD68B-C90B-4DE3-8EDE-1ACC75BAEFFD}" name="Column13003"/>
    <tableColumn id="13031" xr3:uid="{AC0290FA-3FCD-4F85-BE7D-79F78A88F7DD}" name="Column13004"/>
    <tableColumn id="13032" xr3:uid="{D436191B-D748-4CEF-B90A-521FA5F029D8}" name="Column13005"/>
    <tableColumn id="13033" xr3:uid="{7754692E-D3FF-455A-8949-BDC7B4301DCE}" name="Column13006"/>
    <tableColumn id="13034" xr3:uid="{3C945A70-581B-4E9B-9CC0-C527CD6A560D}" name="Column13007"/>
    <tableColumn id="13035" xr3:uid="{AF7203FD-BD26-448E-A8F1-98FFB74194D8}" name="Column13008"/>
    <tableColumn id="13036" xr3:uid="{0E0A9E65-2D1D-4CF8-9118-D72A6C1B97EA}" name="Column13009"/>
    <tableColumn id="13037" xr3:uid="{1692B68E-CF15-4DB8-A1F5-43C5D2EA2675}" name="Column13010"/>
    <tableColumn id="13038" xr3:uid="{5D2D2E2F-F249-4E37-AF28-080CFA016EA8}" name="Column13011"/>
    <tableColumn id="13039" xr3:uid="{757B0929-368E-460F-9F8C-C19022923120}" name="Column13012"/>
    <tableColumn id="13040" xr3:uid="{288FCEEC-981B-4D46-B37F-B5E6D7DC1EF4}" name="Column13013"/>
    <tableColumn id="13041" xr3:uid="{D6CF03D4-AC90-4540-846A-AA259697DAD2}" name="Column13014"/>
    <tableColumn id="13042" xr3:uid="{D2ED0959-C5DE-4B66-9783-7B3026811568}" name="Column13015"/>
    <tableColumn id="13043" xr3:uid="{3269801E-8C46-4417-A4EA-D7ECF424E69A}" name="Column13016"/>
    <tableColumn id="13044" xr3:uid="{5C74A1AF-0CB1-432D-81D5-D3FCB327F3F2}" name="Column13017"/>
    <tableColumn id="13045" xr3:uid="{A1C8C473-7697-48AC-94BC-6E8AFF43AE0C}" name="Column13018"/>
    <tableColumn id="13046" xr3:uid="{AAAFB996-B5D4-411F-BD4B-C2F7F4188656}" name="Column13019"/>
    <tableColumn id="13047" xr3:uid="{12D673B4-55B9-4363-8C56-2E9E4C9808A6}" name="Column13020"/>
    <tableColumn id="13048" xr3:uid="{C0E966D9-B8BF-49FB-B812-6FA43FEDD69D}" name="Column13021"/>
    <tableColumn id="13049" xr3:uid="{D7C744B9-3220-4054-9FB7-DCABA2C2C163}" name="Column13022"/>
    <tableColumn id="13050" xr3:uid="{E5F790C9-B97C-4963-8922-BAE4A60ABC2A}" name="Column13023"/>
    <tableColumn id="13051" xr3:uid="{9953E62F-A920-459C-8BB4-C3B2C749D493}" name="Column13024"/>
    <tableColumn id="13052" xr3:uid="{9BE3341A-F98A-47EE-AA87-9A6E0C1E80ED}" name="Column13025"/>
    <tableColumn id="13053" xr3:uid="{CE01716F-8C8E-4366-A079-974FEE7B5EAB}" name="Column13026"/>
    <tableColumn id="13054" xr3:uid="{7C6B5063-A77F-4E8E-BC35-9F9879314A95}" name="Column13027"/>
    <tableColumn id="13055" xr3:uid="{434B61A4-F37E-4DD8-B2BC-D926FDE1AB93}" name="Column13028"/>
    <tableColumn id="13056" xr3:uid="{706A8066-819A-48A7-A0BF-0B17686B02F2}" name="Column13029"/>
    <tableColumn id="13057" xr3:uid="{7A193A2C-0157-4B95-97BD-8598C5D4BEAF}" name="Column13030"/>
    <tableColumn id="13058" xr3:uid="{9E5B5DC8-EB88-49D2-83C8-3121125107BE}" name="Column13031"/>
    <tableColumn id="13059" xr3:uid="{C8B6738E-EF78-43CE-9071-0EEAC3A759AF}" name="Column13032"/>
    <tableColumn id="13060" xr3:uid="{9104DD3A-89F6-4425-8B1B-98B6AB48ACAF}" name="Column13033"/>
    <tableColumn id="13061" xr3:uid="{AB4A75FB-8793-4435-A51F-181D6E129C2A}" name="Column13034"/>
    <tableColumn id="13062" xr3:uid="{2498A7F6-5001-4484-A7CB-6A2082BFA7E2}" name="Column13035"/>
    <tableColumn id="13063" xr3:uid="{5DC20EC4-A9EE-493B-90D1-88694FA45713}" name="Column13036"/>
    <tableColumn id="13064" xr3:uid="{E7B8E3D8-EF50-4207-A54A-AFE7180CE983}" name="Column13037"/>
    <tableColumn id="13065" xr3:uid="{AE1B685B-16E4-4A5B-8605-4ABA6833CE48}" name="Column13038"/>
    <tableColumn id="13066" xr3:uid="{D6936FC8-B4E6-44EF-A97D-3B578C6D4CA4}" name="Column13039"/>
    <tableColumn id="13067" xr3:uid="{61173DD5-7CA7-4B55-ACFE-F957BA987912}" name="Column13040"/>
    <tableColumn id="13068" xr3:uid="{B916EB70-2422-40B2-94F4-F96CEA9495A6}" name="Column13041"/>
    <tableColumn id="13069" xr3:uid="{B40526FA-A062-417E-8C76-A13083A61934}" name="Column13042"/>
    <tableColumn id="13070" xr3:uid="{1AFADBF8-90DF-4DAA-9DC1-C3F537A8E8AC}" name="Column13043"/>
    <tableColumn id="13071" xr3:uid="{F42B9D09-192E-4808-8D47-5E7140F6AFEE}" name="Column13044"/>
    <tableColumn id="13072" xr3:uid="{73A80B60-F72D-475F-B195-6562957E26B7}" name="Column13045"/>
    <tableColumn id="13073" xr3:uid="{874EF2FF-621E-4556-BBE6-ABF8556671B6}" name="Column13046"/>
    <tableColumn id="13074" xr3:uid="{BC84A7EB-5D63-4DE0-87E1-11AE47A3EBF0}" name="Column13047"/>
    <tableColumn id="13075" xr3:uid="{F1D812FA-AB23-47BB-8647-BEDD6F2F5C61}" name="Column13048"/>
    <tableColumn id="13076" xr3:uid="{7041FA5D-43F4-4A23-A075-7ECEAE4DD586}" name="Column13049"/>
    <tableColumn id="13077" xr3:uid="{89E31A8D-EFA0-421E-A55C-FB90B7DFC5C8}" name="Column13050"/>
    <tableColumn id="13078" xr3:uid="{750CFFB2-686A-43EC-BAFD-07C0651FFC1F}" name="Column13051"/>
    <tableColumn id="13079" xr3:uid="{05F3E1AD-BD13-477E-9DA3-45CF42B3498F}" name="Column13052"/>
    <tableColumn id="13080" xr3:uid="{7D4674DC-0F23-45EE-A6A9-23168CB02A50}" name="Column13053"/>
    <tableColumn id="13081" xr3:uid="{CAA2EC2A-A018-43C9-94E5-78BA74FCD366}" name="Column13054"/>
    <tableColumn id="13082" xr3:uid="{FBDA542D-27DF-49BC-A33D-B89F23E87A98}" name="Column13055"/>
    <tableColumn id="13083" xr3:uid="{E92103FE-4D9A-4552-8E92-D7124CC70977}" name="Column13056"/>
    <tableColumn id="13084" xr3:uid="{7C638D5F-B33C-4483-97D3-37A62F140259}" name="Column13057"/>
    <tableColumn id="13085" xr3:uid="{16FEB70A-10CD-4828-B97E-D26FA45E9229}" name="Column13058"/>
    <tableColumn id="13086" xr3:uid="{201867D8-3BAE-4941-B45B-FB0A18280F8D}" name="Column13059"/>
    <tableColumn id="13087" xr3:uid="{4739EA16-2114-444D-9ECA-8FA0D7E23606}" name="Column13060"/>
    <tableColumn id="13088" xr3:uid="{92B38475-FE64-4CE1-A515-6395698B9041}" name="Column13061"/>
    <tableColumn id="13089" xr3:uid="{6A78FD5D-CD94-42CC-A876-62282102DECD}" name="Column13062"/>
    <tableColumn id="13090" xr3:uid="{AFC917FA-A969-4301-B240-4C5377A3B4EE}" name="Column13063"/>
    <tableColumn id="13091" xr3:uid="{E3CBAC5F-F74F-4660-9A6D-0DB73930FC9A}" name="Column13064"/>
    <tableColumn id="13092" xr3:uid="{7CC54075-EE04-4A89-B2CF-DFDAEF43DC02}" name="Column13065"/>
    <tableColumn id="13093" xr3:uid="{9BF2B4B4-7D3D-4357-8A1E-E1360C2DD1EE}" name="Column13066"/>
    <tableColumn id="13094" xr3:uid="{D4E9A419-275B-4B2D-B9C9-583589FC9E1F}" name="Column13067"/>
    <tableColumn id="13095" xr3:uid="{C258B1E2-87D6-4118-B224-EBA1AD580777}" name="Column13068"/>
    <tableColumn id="13096" xr3:uid="{1CA6BB1E-EE21-4F4A-B0BE-0B8E5AF55034}" name="Column13069"/>
    <tableColumn id="13097" xr3:uid="{DAE852A5-D740-440B-AA2F-9FEF2840746F}" name="Column13070"/>
    <tableColumn id="13098" xr3:uid="{0A91B931-1011-4497-A35A-0AEEED1A82CF}" name="Column13071"/>
    <tableColumn id="13099" xr3:uid="{88435223-01F3-4890-9F56-603FA0A81191}" name="Column13072"/>
    <tableColumn id="13100" xr3:uid="{B6D65237-5B6E-4677-B908-31A06F86180C}" name="Column13073"/>
    <tableColumn id="13101" xr3:uid="{7DE1C68B-6CDD-437B-838D-C7F59CE17901}" name="Column13074"/>
    <tableColumn id="13102" xr3:uid="{4BB8D390-37BB-4CA1-BE62-7E1977F60853}" name="Column13075"/>
    <tableColumn id="13103" xr3:uid="{033A10E3-7441-44D5-9EDE-AB68467CA2D2}" name="Column13076"/>
    <tableColumn id="13104" xr3:uid="{929D64C9-F9A1-459A-804F-DC295BCCDE94}" name="Column13077"/>
    <tableColumn id="13105" xr3:uid="{8953FBE2-4FCC-44FD-A4F7-8E9383BE22AD}" name="Column13078"/>
    <tableColumn id="13106" xr3:uid="{47BFCA05-152F-43A5-AEF6-CD29177D444A}" name="Column13079"/>
    <tableColumn id="13107" xr3:uid="{57BDE09E-BCBB-4054-8CBF-780CC8A91C4C}" name="Column13080"/>
    <tableColumn id="13108" xr3:uid="{71A5B3FC-DCB9-4F5E-A8F1-1F57BE4A9510}" name="Column13081"/>
    <tableColumn id="13109" xr3:uid="{2989D73F-1C07-41C3-8956-F39AF48F5D5E}" name="Column13082"/>
    <tableColumn id="13110" xr3:uid="{3AB5318C-DA2A-4AFB-BBEF-26C102DED9DE}" name="Column13083"/>
    <tableColumn id="13111" xr3:uid="{39DBE0AA-D337-4137-B901-83F6D4E65511}" name="Column13084"/>
    <tableColumn id="13112" xr3:uid="{B2F9DD30-587B-4485-9833-DDBFA68E57F8}" name="Column13085"/>
    <tableColumn id="13113" xr3:uid="{DB83D3DD-C7C2-49D6-AF21-9878F2641250}" name="Column13086"/>
    <tableColumn id="13114" xr3:uid="{0DB6FA56-EC11-4B8C-98CB-2E9BAA7A3DB5}" name="Column13087"/>
    <tableColumn id="13115" xr3:uid="{7C840D91-E592-4497-A228-987A3E8B60B8}" name="Column13088"/>
    <tableColumn id="13116" xr3:uid="{E2F6B311-D55E-4B86-B889-92ABFCAF1A9F}" name="Column13089"/>
    <tableColumn id="13117" xr3:uid="{22C859BC-71AB-4025-B871-0654664A5846}" name="Column13090"/>
    <tableColumn id="13118" xr3:uid="{3EAE69D1-7EA6-4DCD-8034-45793F4CA64E}" name="Column13091"/>
    <tableColumn id="13119" xr3:uid="{9FAAB9C0-FBFF-442F-8212-F3F41D593987}" name="Column13092"/>
    <tableColumn id="13120" xr3:uid="{20EAB52F-44EB-4BB0-BAC3-C7674C35DD55}" name="Column13093"/>
    <tableColumn id="13121" xr3:uid="{2A82ED63-1EE8-4109-9E34-8B7A0C5BBD6E}" name="Column13094"/>
    <tableColumn id="13122" xr3:uid="{942D87EF-BCC9-422C-916B-ACBEB8BECEDF}" name="Column13095"/>
    <tableColumn id="13123" xr3:uid="{A95FB04E-6976-4294-B675-F87319D28FB2}" name="Column13096"/>
    <tableColumn id="13124" xr3:uid="{B77C26F9-3CD9-4215-94DC-C6F1B8C7D6DA}" name="Column13097"/>
    <tableColumn id="13125" xr3:uid="{504E0769-0212-42C8-92D3-F58D2CB236C2}" name="Column13098"/>
    <tableColumn id="13126" xr3:uid="{B9603612-FED1-4E0F-B685-9A78E9D8B11C}" name="Column13099"/>
    <tableColumn id="13127" xr3:uid="{F47CF38C-CC66-460A-9515-05F507212A9F}" name="Column13100"/>
    <tableColumn id="13128" xr3:uid="{869237C3-584C-4183-B474-D168D91E3609}" name="Column13101"/>
    <tableColumn id="13129" xr3:uid="{BA8E8986-96A6-49AF-88F0-C49DD2193A45}" name="Column13102"/>
    <tableColumn id="13130" xr3:uid="{4F7E5837-58BB-4772-AC78-BA6EC8833EC4}" name="Column13103"/>
    <tableColumn id="13131" xr3:uid="{76CA7181-0630-4AEA-94F6-1771E59B428E}" name="Column13104"/>
    <tableColumn id="13132" xr3:uid="{69F83200-BD75-4B69-A183-F1071788B372}" name="Column13105"/>
    <tableColumn id="13133" xr3:uid="{D1746A96-829A-4BF4-9725-93BC3A4F0492}" name="Column13106"/>
    <tableColumn id="13134" xr3:uid="{09F37F51-A467-423B-BB83-00FBA75DF6B0}" name="Column13107"/>
    <tableColumn id="13135" xr3:uid="{2D5764D3-16FB-41CE-8C3D-C59B5A2EC696}" name="Column13108"/>
    <tableColumn id="13136" xr3:uid="{B6C08AFC-7427-44D8-9123-92382F0B978E}" name="Column13109"/>
    <tableColumn id="13137" xr3:uid="{2259A17C-56C4-4EAE-8DB5-7BE3016EADD0}" name="Column13110"/>
    <tableColumn id="13138" xr3:uid="{83E758BA-0126-4E51-B992-99DC2029821E}" name="Column13111"/>
    <tableColumn id="13139" xr3:uid="{A7AECFDF-1D1D-4DB2-8F46-4B3AFDEA51B4}" name="Column13112"/>
    <tableColumn id="13140" xr3:uid="{A2EDFD03-A05F-4C33-8AC0-67DA10A48935}" name="Column13113"/>
    <tableColumn id="13141" xr3:uid="{646F69A5-A5C8-4F72-9141-09BC6DE34607}" name="Column13114"/>
    <tableColumn id="13142" xr3:uid="{DB938441-B642-4608-A3CF-16ABFAF03193}" name="Column13115"/>
    <tableColumn id="13143" xr3:uid="{B399A16F-986C-444B-A842-5D09D86432FB}" name="Column13116"/>
    <tableColumn id="13144" xr3:uid="{FF95635E-45D3-44CF-9977-9EC6BB3CE41F}" name="Column13117"/>
    <tableColumn id="13145" xr3:uid="{D72A14DD-046B-47B7-B295-789AF113B3D2}" name="Column13118"/>
    <tableColumn id="13146" xr3:uid="{76DAF37B-33D5-498B-A72A-02BE5C87CDB6}" name="Column13119"/>
    <tableColumn id="13147" xr3:uid="{97A2F4A5-331D-4AA5-94B5-BD0F8DDCDEB7}" name="Column13120"/>
    <tableColumn id="13148" xr3:uid="{39176B56-605C-42CA-9D7F-84CA64ABC576}" name="Column13121"/>
    <tableColumn id="13149" xr3:uid="{66477565-C0F5-4043-939B-427C3DA0D3BE}" name="Column13122"/>
    <tableColumn id="13150" xr3:uid="{03557892-82A2-4110-B5D8-B9E0FB433979}" name="Column13123"/>
    <tableColumn id="13151" xr3:uid="{917AF021-079B-4EFC-B836-F82B16666309}" name="Column13124"/>
    <tableColumn id="13152" xr3:uid="{3350998A-C5F8-4639-9F42-A66A3EA18459}" name="Column13125"/>
    <tableColumn id="13153" xr3:uid="{D0A883A9-E157-4DCD-9EE0-8F9FB70E1875}" name="Column13126"/>
    <tableColumn id="13154" xr3:uid="{2DCAB0A6-C2D8-4192-958A-4416AE9D09F5}" name="Column13127"/>
    <tableColumn id="13155" xr3:uid="{481E3797-A2B5-42D6-80A9-2A71E6D463EC}" name="Column13128"/>
    <tableColumn id="13156" xr3:uid="{F349044E-1A8E-4066-9AFF-22B67615D661}" name="Column13129"/>
    <tableColumn id="13157" xr3:uid="{70E93D40-2E6E-4E0F-B1F5-1738034B42AA}" name="Column13130"/>
    <tableColumn id="13158" xr3:uid="{16345FB1-CC1C-49A1-B09A-9AFF76D36AD5}" name="Column13131"/>
    <tableColumn id="13159" xr3:uid="{637BA02C-FBE6-44FD-84C5-8097A04A1085}" name="Column13132"/>
    <tableColumn id="13160" xr3:uid="{BCF5C5E6-CDE3-48AF-96C2-C087AFED12F5}" name="Column13133"/>
    <tableColumn id="13161" xr3:uid="{AB86468C-D24B-4DC6-83D1-A80CCB250D57}" name="Column13134"/>
    <tableColumn id="13162" xr3:uid="{3D9ADC57-4B14-45E4-824A-9F979995B4DC}" name="Column13135"/>
    <tableColumn id="13163" xr3:uid="{4411DABE-89FC-4E70-A1C3-8F37E3CB1426}" name="Column13136"/>
    <tableColumn id="13164" xr3:uid="{194F91E8-1A7A-4B99-A6FE-15D1EF49BDDA}" name="Column13137"/>
    <tableColumn id="13165" xr3:uid="{7D6BCC8D-FDFC-4A7A-B22A-EC8056331644}" name="Column13138"/>
    <tableColumn id="13166" xr3:uid="{C0ECFE41-B058-4AB2-BEE4-D6D916CB7CB0}" name="Column13139"/>
    <tableColumn id="13167" xr3:uid="{9876B8AB-2B25-45A3-BF0B-659962FF3765}" name="Column13140"/>
    <tableColumn id="13168" xr3:uid="{7DE757E3-7439-495C-95BF-A1E040AEEDB5}" name="Column13141"/>
    <tableColumn id="13169" xr3:uid="{9239E012-724D-41AB-8BCA-7345ED49E4B5}" name="Column13142"/>
    <tableColumn id="13170" xr3:uid="{603E89B6-ACD0-4FF7-A294-D3A5E84CB473}" name="Column13143"/>
    <tableColumn id="13171" xr3:uid="{EDEBAA6D-397A-489C-B7D5-F0764255E4E6}" name="Column13144"/>
    <tableColumn id="13172" xr3:uid="{01B7CB60-7816-4E17-BA4D-FD8E82DDE24A}" name="Column13145"/>
    <tableColumn id="13173" xr3:uid="{77F4519A-8C68-452E-960C-ABEBB94BFA93}" name="Column13146"/>
    <tableColumn id="13174" xr3:uid="{0CED4347-E00E-4E04-9478-908C8394F241}" name="Column13147"/>
    <tableColumn id="13175" xr3:uid="{8D973C30-F0B6-405B-8631-D53C93E0316C}" name="Column13148"/>
    <tableColumn id="13176" xr3:uid="{65ECA5F5-A8C4-42F3-846C-BBCCB40E3BF8}" name="Column13149"/>
    <tableColumn id="13177" xr3:uid="{FA15FEA2-9A32-4C5B-AEE3-FE2B36B431BB}" name="Column13150"/>
    <tableColumn id="13178" xr3:uid="{5D756D39-08B6-4411-AE34-81C6F7CBD495}" name="Column13151"/>
    <tableColumn id="13179" xr3:uid="{C6C148C2-E8CF-42FB-9FAC-516C5FA11074}" name="Column13152"/>
    <tableColumn id="13180" xr3:uid="{92DBF59C-9DE0-4E23-A2B9-BC6DC5982DB2}" name="Column13153"/>
    <tableColumn id="13181" xr3:uid="{94A92094-D7A0-4704-80D1-3AC88ABDF11B}" name="Column13154"/>
    <tableColumn id="13182" xr3:uid="{F4D3393E-0827-408D-A1E3-0EC7AF8EB30B}" name="Column13155"/>
    <tableColumn id="13183" xr3:uid="{B01FD197-CB27-49F3-AB5D-589BA8FAB6C8}" name="Column13156"/>
    <tableColumn id="13184" xr3:uid="{0DB0E694-2BA4-4834-BC7A-44270D7E0C39}" name="Column13157"/>
    <tableColumn id="13185" xr3:uid="{4B301DDF-AEBE-47DF-9D1B-D9EDF45738B5}" name="Column13158"/>
    <tableColumn id="13186" xr3:uid="{F1151627-FFCF-4FD3-A5C8-910B8677174D}" name="Column13159"/>
    <tableColumn id="13187" xr3:uid="{E5112539-01F4-44DE-A0A1-28E0844CD600}" name="Column13160"/>
    <tableColumn id="13188" xr3:uid="{597F0C61-AC39-4A1E-BFD2-2E4C217B4EF1}" name="Column13161"/>
    <tableColumn id="13189" xr3:uid="{35657819-CA2B-4F89-8C4F-6A7522C6D312}" name="Column13162"/>
    <tableColumn id="13190" xr3:uid="{827E319D-5582-4F13-809E-AAFB6B26255E}" name="Column13163"/>
    <tableColumn id="13191" xr3:uid="{58201200-E630-417F-B380-6BCE790560A1}" name="Column13164"/>
    <tableColumn id="13192" xr3:uid="{C052CCD9-FC23-40D9-BF7E-CA6B63FC5E82}" name="Column13165"/>
    <tableColumn id="13193" xr3:uid="{B6BDA269-555B-455E-914F-931F38674C5C}" name="Column13166"/>
    <tableColumn id="13194" xr3:uid="{0A67FE28-032C-4AB7-B834-DFA711BF897C}" name="Column13167"/>
    <tableColumn id="13195" xr3:uid="{13A10491-56BD-4FC1-90CC-472145EB8142}" name="Column13168"/>
    <tableColumn id="13196" xr3:uid="{95FEDB8B-592A-433F-B490-87106E0813AE}" name="Column13169"/>
    <tableColumn id="13197" xr3:uid="{F536FC59-9C00-4389-84EC-FA7C1179C1C3}" name="Column13170"/>
    <tableColumn id="13198" xr3:uid="{64A4AE84-0750-4056-8611-C136A443DBA1}" name="Column13171"/>
    <tableColumn id="13199" xr3:uid="{FA56C5CC-2B69-40A4-A61A-3BAF7A02D8D0}" name="Column13172"/>
    <tableColumn id="13200" xr3:uid="{D2C8F045-4F38-4387-AA5F-FFFF9EBC8E79}" name="Column13173"/>
    <tableColumn id="13201" xr3:uid="{155BE595-F48C-4B31-80B3-6A40F39C2C65}" name="Column13174"/>
    <tableColumn id="13202" xr3:uid="{590B24B4-391B-47A9-A535-16D811F807DF}" name="Column13175"/>
    <tableColumn id="13203" xr3:uid="{4CE4E741-DE07-4345-A877-C4094161E192}" name="Column13176"/>
    <tableColumn id="13204" xr3:uid="{0F0395D4-00F6-436F-A1CB-C01A3263D233}" name="Column13177"/>
    <tableColumn id="13205" xr3:uid="{5D8D56E0-1DE8-46C8-8594-744EDCD38045}" name="Column13178"/>
    <tableColumn id="13206" xr3:uid="{7C27A01D-6D95-47FF-85C0-7E13015FE7E5}" name="Column13179"/>
    <tableColumn id="13207" xr3:uid="{F5D3837A-877D-4810-8506-823EDBF1493B}" name="Column13180"/>
    <tableColumn id="13208" xr3:uid="{B9F042CC-9928-42D9-BA9C-90C770DA7FAE}" name="Column13181"/>
    <tableColumn id="13209" xr3:uid="{A2CD8766-68B4-4D7E-9C2A-149E63DAF176}" name="Column13182"/>
    <tableColumn id="13210" xr3:uid="{C33030DD-C2F0-4E52-AC62-B4354DB4EE95}" name="Column13183"/>
    <tableColumn id="13211" xr3:uid="{F4D35A00-F2E8-4E4C-936D-9C2885CD9F6E}" name="Column13184"/>
    <tableColumn id="13212" xr3:uid="{55DC0BC2-4BDD-41E4-9C8B-508EEAF7070E}" name="Column13185"/>
    <tableColumn id="13213" xr3:uid="{5E06BA5F-D2B0-483C-93A4-5B2804E3B94D}" name="Column13186"/>
    <tableColumn id="13214" xr3:uid="{40572845-3695-4A34-982E-76CA4E88F887}" name="Column13187"/>
    <tableColumn id="13215" xr3:uid="{598BB22A-38B6-4D86-8D2F-8295819A3FBF}" name="Column13188"/>
    <tableColumn id="13216" xr3:uid="{585098D1-9C51-44F2-A481-8E9F3049862C}" name="Column13189"/>
    <tableColumn id="13217" xr3:uid="{26E5016D-88E0-4CA9-9927-3F489E90EFBD}" name="Column13190"/>
    <tableColumn id="13218" xr3:uid="{42D817A9-A964-469C-90E0-074DFA9B8B59}" name="Column13191"/>
    <tableColumn id="13219" xr3:uid="{6761833C-32EF-4629-BFAD-85DF15697D7B}" name="Column13192"/>
    <tableColumn id="13220" xr3:uid="{21A6F175-D332-450A-BBEA-00EAECCE84E1}" name="Column13193"/>
    <tableColumn id="13221" xr3:uid="{4624865E-CD0E-48D9-B6BE-E3C3EE1FCD15}" name="Column13194"/>
    <tableColumn id="13222" xr3:uid="{A67D6976-93F2-49C2-8614-B5241D59A53F}" name="Column13195"/>
    <tableColumn id="13223" xr3:uid="{5213ACCE-7C56-4B49-9432-EF0A9645E19A}" name="Column13196"/>
    <tableColumn id="13224" xr3:uid="{412263F5-A1CF-444E-BDD1-87DF5D4B7786}" name="Column13197"/>
    <tableColumn id="13225" xr3:uid="{88E27A27-603A-4294-9810-001209A1144E}" name="Column13198"/>
    <tableColumn id="13226" xr3:uid="{6C0F9A1E-F5E9-4DC6-B857-289D28C8917D}" name="Column13199"/>
    <tableColumn id="13227" xr3:uid="{0D5D7159-E891-4A07-BD14-84110285ABDA}" name="Column13200"/>
    <tableColumn id="13228" xr3:uid="{B8BBBD88-3AF7-4B40-9415-655DCC7EFCFF}" name="Column13201"/>
    <tableColumn id="13229" xr3:uid="{50B0FEB9-F2A0-4022-AE80-673F35309666}" name="Column13202"/>
    <tableColumn id="13230" xr3:uid="{77981789-4500-4E45-B65D-8401FE900B4B}" name="Column13203"/>
    <tableColumn id="13231" xr3:uid="{75CCB152-CBE7-4778-BE21-30E1F54E8A39}" name="Column13204"/>
    <tableColumn id="13232" xr3:uid="{04490795-6D4E-4A7F-B517-3DE572E304ED}" name="Column13205"/>
    <tableColumn id="13233" xr3:uid="{FA108A16-8D4E-47C8-B1C1-43640989BE65}" name="Column13206"/>
    <tableColumn id="13234" xr3:uid="{EC95C618-5123-4BF0-BABE-3976403CA999}" name="Column13207"/>
    <tableColumn id="13235" xr3:uid="{8812E45C-D6B9-4EF2-B965-EB0C2F5847D2}" name="Column13208"/>
    <tableColumn id="13236" xr3:uid="{FF23D9D1-C2D4-4534-A38D-F6397B555B84}" name="Column13209"/>
    <tableColumn id="13237" xr3:uid="{5BDE811F-282B-4AFE-B4BE-068D0D8A0CE3}" name="Column13210"/>
    <tableColumn id="13238" xr3:uid="{035E1913-DA26-485D-95D2-77D024DBDB40}" name="Column13211"/>
    <tableColumn id="13239" xr3:uid="{5A742641-A18E-493C-917A-D302E809F7E7}" name="Column13212"/>
    <tableColumn id="13240" xr3:uid="{CA862951-88CE-46FB-BDAA-C60988842838}" name="Column13213"/>
    <tableColumn id="13241" xr3:uid="{3CDE74A9-1D72-443D-BB20-0E670197FAB1}" name="Column13214"/>
    <tableColumn id="13242" xr3:uid="{6AE74D62-763A-4C84-98E8-41235F88BA9E}" name="Column13215"/>
    <tableColumn id="13243" xr3:uid="{7A2E90DC-0F52-4A14-B794-E4631E23059A}" name="Column13216"/>
    <tableColumn id="13244" xr3:uid="{C8C42B96-AC7B-4A47-8DE0-046C10CB6EB8}" name="Column13217"/>
    <tableColumn id="13245" xr3:uid="{EE6BAEEB-C3EB-4873-8EFD-177A802CD341}" name="Column13218"/>
    <tableColumn id="13246" xr3:uid="{43E201B2-33DF-43BC-B4AF-CCFA1A4DCA58}" name="Column13219"/>
    <tableColumn id="13247" xr3:uid="{6C4C638F-C818-4EE2-BE48-E1F46C53767C}" name="Column13220"/>
    <tableColumn id="13248" xr3:uid="{71903B84-3D56-470B-948B-E63AC9856C25}" name="Column13221"/>
    <tableColumn id="13249" xr3:uid="{3C607CAD-081E-4566-93D3-104E2AB27067}" name="Column13222"/>
    <tableColumn id="13250" xr3:uid="{25A3192D-A0FB-46BE-A043-AD72196C0B22}" name="Column13223"/>
    <tableColumn id="13251" xr3:uid="{CE525485-FCD7-4ED3-A832-872E5875D4FB}" name="Column13224"/>
    <tableColumn id="13252" xr3:uid="{29F0B385-4971-407E-A079-97FB13B3A98C}" name="Column13225"/>
    <tableColumn id="13253" xr3:uid="{DCD83E79-A2A0-4CA4-B7EC-BF609DFCAFB0}" name="Column13226"/>
    <tableColumn id="13254" xr3:uid="{43A27085-8A3D-4FCB-B704-AE0A45141D04}" name="Column13227"/>
    <tableColumn id="13255" xr3:uid="{B706E93B-4203-4FE9-AE2E-8B47383555B1}" name="Column13228"/>
    <tableColumn id="13256" xr3:uid="{96ACC838-F6EA-485F-B137-0E97297158DA}" name="Column13229"/>
    <tableColumn id="13257" xr3:uid="{65E500FC-922F-4BFE-B1A1-BC9B758846A3}" name="Column13230"/>
    <tableColumn id="13258" xr3:uid="{3833DFC1-98CD-4A8D-80C5-B8C681D59E0D}" name="Column13231"/>
    <tableColumn id="13259" xr3:uid="{93547518-EFBA-4B71-ADF4-EDDF4FCC104C}" name="Column13232"/>
    <tableColumn id="13260" xr3:uid="{9BD2EA9E-5E27-4A47-9C0D-69F377D3770B}" name="Column13233"/>
    <tableColumn id="13261" xr3:uid="{45C2B4FC-4CAE-4FD6-9A82-AA3A5AF083CB}" name="Column13234"/>
    <tableColumn id="13262" xr3:uid="{D6FDC105-C5B9-4001-8AF5-96E2D32D2BA5}" name="Column13235"/>
    <tableColumn id="13263" xr3:uid="{8779980B-0CBC-4498-9F4F-03E6878CB430}" name="Column13236"/>
    <tableColumn id="13264" xr3:uid="{32074CBB-2F88-48CB-A198-A685CE240F29}" name="Column13237"/>
    <tableColumn id="13265" xr3:uid="{60B8A629-89FA-46BD-A7D4-440EB49A5D82}" name="Column13238"/>
    <tableColumn id="13266" xr3:uid="{C0CA458E-A1E0-4C37-BC6B-073530F14028}" name="Column13239"/>
    <tableColumn id="13267" xr3:uid="{33C2C863-31B9-410D-93DA-5916C8EF96A2}" name="Column13240"/>
    <tableColumn id="13268" xr3:uid="{1CFB7E89-4820-4A78-8655-86CFA94B2061}" name="Column13241"/>
    <tableColumn id="13269" xr3:uid="{CBFA5298-C5FA-4777-9597-753408E709EF}" name="Column13242"/>
    <tableColumn id="13270" xr3:uid="{9DE88549-296A-4A3E-87C5-BE4A34A5DE1F}" name="Column13243"/>
    <tableColumn id="13271" xr3:uid="{5220A03E-E32F-4570-8FEB-B913A4E20C9A}" name="Column13244"/>
    <tableColumn id="13272" xr3:uid="{FD0AA6D5-1F18-44D9-BB23-BB284885058D}" name="Column13245"/>
    <tableColumn id="13273" xr3:uid="{690F6935-C23B-4F7C-918A-8B8A337B9418}" name="Column13246"/>
    <tableColumn id="13274" xr3:uid="{015266CF-E417-4C37-8608-5B407871B210}" name="Column13247"/>
    <tableColumn id="13275" xr3:uid="{CEE4E20C-3603-48FD-B577-94A40980D980}" name="Column13248"/>
    <tableColumn id="13276" xr3:uid="{E4BE4C55-C7AF-47CE-AB6D-BD1A97D6B95F}" name="Column13249"/>
    <tableColumn id="13277" xr3:uid="{EF245CE7-0F22-4A20-9439-570D8ED8F6EC}" name="Column13250"/>
    <tableColumn id="13278" xr3:uid="{D63EBA71-00EA-45B9-BA08-7013A0DF16C5}" name="Column13251"/>
    <tableColumn id="13279" xr3:uid="{0EA745D3-B009-4051-B721-03F0D52073C3}" name="Column13252"/>
    <tableColumn id="13280" xr3:uid="{0C1B054C-0874-4060-A789-8D7B5670FDD0}" name="Column13253"/>
    <tableColumn id="13281" xr3:uid="{E02A00A8-229D-445A-9063-2649D51F3F7D}" name="Column13254"/>
    <tableColumn id="13282" xr3:uid="{DEEAFECC-D2F7-4AA8-AC8B-0B88780C1644}" name="Column13255"/>
    <tableColumn id="13283" xr3:uid="{16D70E9F-5A20-4945-886C-9204AC6E6086}" name="Column13256"/>
    <tableColumn id="13284" xr3:uid="{3EA25BB4-6B66-468A-953F-BCEC93767F8C}" name="Column13257"/>
    <tableColumn id="13285" xr3:uid="{735C2F3D-37D7-4E66-AC32-F4E532F33C8F}" name="Column13258"/>
    <tableColumn id="13286" xr3:uid="{4C9A4712-BD91-40C7-B718-8FDEE9009820}" name="Column13259"/>
    <tableColumn id="13287" xr3:uid="{AF8751C9-C643-494D-A24D-FAAD464585A9}" name="Column13260"/>
    <tableColumn id="13288" xr3:uid="{449654D6-4BE0-4E9D-87BB-88BAD50E4E67}" name="Column13261"/>
    <tableColumn id="13289" xr3:uid="{753EF745-4038-4F18-96B7-CF969823BBB1}" name="Column13262"/>
    <tableColumn id="13290" xr3:uid="{374322F4-8FC6-4D8F-ABD1-0379759A78D2}" name="Column13263"/>
    <tableColumn id="13291" xr3:uid="{33831B87-E1E0-4F81-9EDE-CB986120D667}" name="Column13264"/>
    <tableColumn id="13292" xr3:uid="{7605D4A6-D876-4F3A-A55C-95FE584F98B1}" name="Column13265"/>
    <tableColumn id="13293" xr3:uid="{AB3EEC6E-D4C6-4126-899D-BDC5329ADFD9}" name="Column13266"/>
    <tableColumn id="13294" xr3:uid="{41FBE07D-5ED1-4EFC-AE45-50868C49930A}" name="Column13267"/>
    <tableColumn id="13295" xr3:uid="{7201E22F-BBBC-45B4-9F9E-F6C632AE930C}" name="Column13268"/>
    <tableColumn id="13296" xr3:uid="{909E8013-5E79-4A28-AC5C-B93E888B3608}" name="Column13269"/>
    <tableColumn id="13297" xr3:uid="{BEB69DC3-4BDD-4097-8C15-E95F7117CF56}" name="Column13270"/>
    <tableColumn id="13298" xr3:uid="{D3847016-F4C2-4E33-8A86-E0D0B79E7AEE}" name="Column13271"/>
    <tableColumn id="13299" xr3:uid="{7893ABED-763F-4AEA-AE67-30F8809D0E20}" name="Column13272"/>
    <tableColumn id="13300" xr3:uid="{A797ACEF-D205-41BC-9A0B-F8D6902EC78A}" name="Column13273"/>
    <tableColumn id="13301" xr3:uid="{33FD6974-3BB7-4F7E-8774-25BA81001F34}" name="Column13274"/>
    <tableColumn id="13302" xr3:uid="{EC14906F-524E-4492-B2FB-76E505240586}" name="Column13275"/>
    <tableColumn id="13303" xr3:uid="{8EBA67FD-3F4D-47CF-A9BF-E9B297661CA8}" name="Column13276"/>
    <tableColumn id="13304" xr3:uid="{7645C6A1-EE2B-461B-A659-BB2BF4C55AF2}" name="Column13277"/>
    <tableColumn id="13305" xr3:uid="{7D6C5DFF-F455-4C17-B219-038DAD12664C}" name="Column13278"/>
    <tableColumn id="13306" xr3:uid="{52441B08-EEDC-4AC4-B809-6F72D7911C2A}" name="Column13279"/>
    <tableColumn id="13307" xr3:uid="{D92D872D-9470-4866-924E-5FDC239F3C8B}" name="Column13280"/>
    <tableColumn id="13308" xr3:uid="{6AA2387E-3F7C-4685-A21D-48EA414C5CB7}" name="Column13281"/>
    <tableColumn id="13309" xr3:uid="{1DD040EC-CC5A-4A58-BC23-163AE97AA327}" name="Column13282"/>
    <tableColumn id="13310" xr3:uid="{1D6AAD10-9A24-48FA-8077-2B10DD96BF38}" name="Column13283"/>
    <tableColumn id="13311" xr3:uid="{9123D515-AE18-4C26-B93A-81043F3E7D5F}" name="Column13284"/>
    <tableColumn id="13312" xr3:uid="{E9C835AA-C218-48F2-AEB6-9DA8AAFF12CF}" name="Column13285"/>
    <tableColumn id="13313" xr3:uid="{31152D3A-7FD4-4616-9A60-4B3BF4873230}" name="Column13286"/>
    <tableColumn id="13314" xr3:uid="{B523989E-BA13-428B-8BC8-D2132DC6F8B6}" name="Column13287"/>
    <tableColumn id="13315" xr3:uid="{437A7116-4D48-4DD3-B47A-FBD739844196}" name="Column13288"/>
    <tableColumn id="13316" xr3:uid="{99B440C8-811D-4C7D-985E-93041A674AF0}" name="Column13289"/>
    <tableColumn id="13317" xr3:uid="{DB1F0084-AF0E-438F-8043-3877EBDC0781}" name="Column13290"/>
    <tableColumn id="13318" xr3:uid="{7449720B-1354-40BA-8546-5F7F3F936F01}" name="Column13291"/>
    <tableColumn id="13319" xr3:uid="{A9E4DFAB-E1D2-4BD5-A900-03C106E8C0AD}" name="Column13292"/>
    <tableColumn id="13320" xr3:uid="{E1688DE5-C148-464E-889D-E761E84E9F58}" name="Column13293"/>
    <tableColumn id="13321" xr3:uid="{DA65C699-1340-462B-9DA8-AA2F1D4A86AA}" name="Column13294"/>
    <tableColumn id="13322" xr3:uid="{01903029-EED5-4CC9-ABEE-FA21B4E47835}" name="Column13295"/>
    <tableColumn id="13323" xr3:uid="{9A6FD682-9A34-4ADD-BDC4-862A44E592DF}" name="Column13296"/>
    <tableColumn id="13324" xr3:uid="{98CEC3F2-041A-461D-B36D-0665ABE54B74}" name="Column13297"/>
    <tableColumn id="13325" xr3:uid="{8E37CA84-40B2-4AEA-BBB1-364B1095C29B}" name="Column13298"/>
    <tableColumn id="13326" xr3:uid="{0D261117-4986-45EE-BD2F-5FF7DFF1BF8F}" name="Column13299"/>
    <tableColumn id="13327" xr3:uid="{18DFE336-48E1-4309-A2D4-63699F8380EA}" name="Column13300"/>
    <tableColumn id="13328" xr3:uid="{EFD6E7AE-D790-403D-9CEF-BE48CD93F28A}" name="Column13301"/>
    <tableColumn id="13329" xr3:uid="{05629692-FEF9-4728-86D6-7A2506CA2A97}" name="Column13302"/>
    <tableColumn id="13330" xr3:uid="{942D95BE-7BF4-4BF2-AA94-D1E30F1B904D}" name="Column13303"/>
    <tableColumn id="13331" xr3:uid="{986E24FB-CDCF-41A0-B2F2-93AA3A0B9A3F}" name="Column13304"/>
    <tableColumn id="13332" xr3:uid="{685F8D60-ECDD-4801-909A-CA6EEAA183EE}" name="Column13305"/>
    <tableColumn id="13333" xr3:uid="{0431153A-1142-45B1-8ADE-1D90DD3B52CE}" name="Column13306"/>
    <tableColumn id="13334" xr3:uid="{385E6BCA-03DA-42FA-8159-A9973B53A19D}" name="Column13307"/>
    <tableColumn id="13335" xr3:uid="{DEBDA6E9-252F-44C8-9CAA-65D7C601B3F9}" name="Column13308"/>
    <tableColumn id="13336" xr3:uid="{53F14B87-716F-45BB-9EDF-D628129081AF}" name="Column13309"/>
    <tableColumn id="13337" xr3:uid="{793A0D9E-FBC0-422D-9459-AB45C719D842}" name="Column13310"/>
    <tableColumn id="13338" xr3:uid="{C35696BA-8742-491E-8B4C-07A95D9FCC5E}" name="Column13311"/>
    <tableColumn id="13339" xr3:uid="{62301E5D-A82A-4AB2-ACFF-C8F37903335A}" name="Column13312"/>
    <tableColumn id="13340" xr3:uid="{0BF4E570-E3C9-4EB7-91A4-117DD92AC53E}" name="Column13313"/>
    <tableColumn id="13341" xr3:uid="{A231AE64-9E45-422A-A7E3-7B5929B7F51A}" name="Column13314"/>
    <tableColumn id="13342" xr3:uid="{17B95F29-DF70-4209-BB71-5C24B2280B36}" name="Column13315"/>
    <tableColumn id="13343" xr3:uid="{D1CD2AB4-A20E-45D8-A684-EAE9D32460C4}" name="Column13316"/>
    <tableColumn id="13344" xr3:uid="{0446957F-A98C-4FCE-9DA6-9077C9A0A37C}" name="Column13317"/>
    <tableColumn id="13345" xr3:uid="{B6A7E3CC-A2F3-410D-80FC-94D6490C948F}" name="Column13318"/>
    <tableColumn id="13346" xr3:uid="{B7A673C6-6092-4729-92AD-944D65CCD36D}" name="Column13319"/>
    <tableColumn id="13347" xr3:uid="{5DA1E8FD-9E81-44A3-AE44-251FF0BCD0B2}" name="Column13320"/>
    <tableColumn id="13348" xr3:uid="{7907A16C-054A-4099-959F-5B1EBD728585}" name="Column13321"/>
    <tableColumn id="13349" xr3:uid="{376B2C3B-1574-48BB-B0EF-19F8761A93F0}" name="Column13322"/>
    <tableColumn id="13350" xr3:uid="{0E7912BE-2FB8-47A1-B3A3-039880AB5616}" name="Column13323"/>
    <tableColumn id="13351" xr3:uid="{D92D161E-3ECA-4440-BA71-E41E3BF02F14}" name="Column13324"/>
    <tableColumn id="13352" xr3:uid="{E6AA3F11-88C9-4060-BDA4-95E1E055C341}" name="Column13325"/>
    <tableColumn id="13353" xr3:uid="{95589152-6DA5-4C3F-BE13-9A76D1FEC999}" name="Column13326"/>
    <tableColumn id="13354" xr3:uid="{2DAC4A39-A379-4F8A-A00A-2E2E1BB8AB23}" name="Column13327"/>
    <tableColumn id="13355" xr3:uid="{22D73A20-686D-471A-9F6A-F388981EA6EA}" name="Column13328"/>
    <tableColumn id="13356" xr3:uid="{0521F2DA-74AA-45FD-A8A0-8130DAC86E18}" name="Column13329"/>
    <tableColumn id="13357" xr3:uid="{0E58D26B-E61E-44D1-9941-85B1096914AB}" name="Column13330"/>
    <tableColumn id="13358" xr3:uid="{7874D203-A39B-441E-A0A9-35837861AC65}" name="Column13331"/>
    <tableColumn id="13359" xr3:uid="{3F15DC78-F11B-4EDE-A8FC-9041D9373B35}" name="Column13332"/>
    <tableColumn id="13360" xr3:uid="{AC5E82E0-C92B-4861-BBEE-E8B8F0065011}" name="Column13333"/>
    <tableColumn id="13361" xr3:uid="{825A8776-7784-4D81-A2F7-695C54278F12}" name="Column13334"/>
    <tableColumn id="13362" xr3:uid="{BE8FB031-4356-4756-9B54-29FB6C4457A5}" name="Column13335"/>
    <tableColumn id="13363" xr3:uid="{B3AB3615-92C7-43B6-967B-0034ECA5A0F3}" name="Column13336"/>
    <tableColumn id="13364" xr3:uid="{BE5D15AE-744A-46C9-8F72-04D135DC01BE}" name="Column13337"/>
    <tableColumn id="13365" xr3:uid="{2BB505A8-D23F-4557-87F2-7F810E40E520}" name="Column13338"/>
    <tableColumn id="13366" xr3:uid="{087A130B-821C-43AA-A762-C8ABB3F19004}" name="Column13339"/>
    <tableColumn id="13367" xr3:uid="{79B9F0B8-15E6-413C-A9BE-D1D3B29B6E0A}" name="Column13340"/>
    <tableColumn id="13368" xr3:uid="{6A3FE83A-DDA4-45A2-8AE2-BFE9473F0EC0}" name="Column13341"/>
    <tableColumn id="13369" xr3:uid="{6411FC18-83F0-4204-85AE-59BE46DA20CF}" name="Column13342"/>
    <tableColumn id="13370" xr3:uid="{5111729A-7B9B-45BD-B714-81C6A6A9339B}" name="Column13343"/>
    <tableColumn id="13371" xr3:uid="{9D3C1570-2917-42B4-BC56-F6454260582B}" name="Column13344"/>
    <tableColumn id="13372" xr3:uid="{2EEB9CCC-4962-4981-B574-02F947AFECFB}" name="Column13345"/>
    <tableColumn id="13373" xr3:uid="{C9197458-1174-4C9F-AB7D-D1271D4AFD13}" name="Column13346"/>
    <tableColumn id="13374" xr3:uid="{6FC689D9-69D5-4808-8E1C-4C85A64BDEDE}" name="Column13347"/>
    <tableColumn id="13375" xr3:uid="{3EA4C6E2-233C-4187-872A-62106A1D163A}" name="Column13348"/>
    <tableColumn id="13376" xr3:uid="{293C1EF1-B3DC-411A-8CD8-2B07DF0F49EF}" name="Column13349"/>
    <tableColumn id="13377" xr3:uid="{B005B319-B40E-46B3-86EB-49C3E024EEC0}" name="Column13350"/>
    <tableColumn id="13378" xr3:uid="{F11C398A-01B7-4D34-A799-B3A5C2DC6DCD}" name="Column13351"/>
    <tableColumn id="13379" xr3:uid="{7BD63F14-1E02-4E7D-A0AA-0A94DB468B66}" name="Column13352"/>
    <tableColumn id="13380" xr3:uid="{49E2F6C0-4D5F-4C38-990F-BD7D55140C51}" name="Column13353"/>
    <tableColumn id="13381" xr3:uid="{66F260B4-EE02-4CAD-A231-0F9258374EFF}" name="Column13354"/>
    <tableColumn id="13382" xr3:uid="{F19A38BD-6AED-43FB-8AE7-62CB1262FEFF}" name="Column13355"/>
    <tableColumn id="13383" xr3:uid="{FB49BDC7-AA29-47BD-8299-FCF430EAB4CB}" name="Column13356"/>
    <tableColumn id="13384" xr3:uid="{131576FD-C45A-4F1B-849E-A735BA114725}" name="Column13357"/>
    <tableColumn id="13385" xr3:uid="{7A14358A-C21D-421B-B0B2-332FB3E11311}" name="Column13358"/>
    <tableColumn id="13386" xr3:uid="{75B29AE7-C236-49FD-A1A2-0F2E116AFE8C}" name="Column13359"/>
    <tableColumn id="13387" xr3:uid="{4E137FB4-A4AE-4FDE-AC73-E9BCB9298F31}" name="Column13360"/>
    <tableColumn id="13388" xr3:uid="{8A25A524-90B3-434B-B704-F5E0C0094C09}" name="Column13361"/>
    <tableColumn id="13389" xr3:uid="{D93C5F76-F69F-4001-B7A9-75FB1FC85799}" name="Column13362"/>
    <tableColumn id="13390" xr3:uid="{8C7CC92C-A1B9-40C1-879A-64FE6A163E53}" name="Column13363"/>
    <tableColumn id="13391" xr3:uid="{EB77E7A8-4B20-4EF3-9182-7888617C9CD0}" name="Column13364"/>
    <tableColumn id="13392" xr3:uid="{66FA4F99-B34B-4E08-8701-F0143F065D07}" name="Column13365"/>
    <tableColumn id="13393" xr3:uid="{6AAA3962-9C1D-4573-97E1-73EC5D111423}" name="Column13366"/>
    <tableColumn id="13394" xr3:uid="{80DD0333-C130-4C6A-877B-40E51B4F2920}" name="Column13367"/>
    <tableColumn id="13395" xr3:uid="{D0A6AD86-A7A3-49D8-9611-50AE785154F8}" name="Column13368"/>
    <tableColumn id="13396" xr3:uid="{B4F0773A-1A1D-47D4-B892-EF33915134DC}" name="Column13369"/>
    <tableColumn id="13397" xr3:uid="{274AE4AE-3E88-4CF9-9F63-03EFE7FCD88E}" name="Column13370"/>
    <tableColumn id="13398" xr3:uid="{81673AFD-F9CE-46A7-B83A-F270A22EB7CE}" name="Column13371"/>
    <tableColumn id="13399" xr3:uid="{84DACC6D-DE8C-47AE-B23E-B3A86EBE4C3F}" name="Column13372"/>
    <tableColumn id="13400" xr3:uid="{FD0EC260-7E99-4F91-9E93-405F789EE186}" name="Column13373"/>
    <tableColumn id="13401" xr3:uid="{5B3DFFDD-AFE9-43FF-A7BC-5E832A9E61FB}" name="Column13374"/>
    <tableColumn id="13402" xr3:uid="{A27AFBB9-61B0-4CA1-AE9A-51AFB1E4F07E}" name="Column13375"/>
    <tableColumn id="13403" xr3:uid="{8C340406-D3D1-4420-B836-2469AC6E56A1}" name="Column13376"/>
    <tableColumn id="13404" xr3:uid="{E8395D78-1819-4DB1-9B5F-0F8D8608CC28}" name="Column13377"/>
    <tableColumn id="13405" xr3:uid="{421BA5D7-3548-47C3-842F-C6E0825E98CB}" name="Column13378"/>
    <tableColumn id="13406" xr3:uid="{6A8F03F3-8B42-4CC6-8A0C-DA3DBE9F8608}" name="Column13379"/>
    <tableColumn id="13407" xr3:uid="{20B4E735-3083-4490-B2C9-450C8D0548BE}" name="Column13380"/>
    <tableColumn id="13408" xr3:uid="{22EF4831-B81F-4FB6-B72B-B8C67164314A}" name="Column13381"/>
    <tableColumn id="13409" xr3:uid="{8BF79299-0622-464E-BB36-215B232C13C3}" name="Column13382"/>
    <tableColumn id="13410" xr3:uid="{2162651C-65EF-407D-93CE-1C23F4991099}" name="Column13383"/>
    <tableColumn id="13411" xr3:uid="{72A5DB1B-D796-47B0-9B12-928E152D37CB}" name="Column13384"/>
    <tableColumn id="13412" xr3:uid="{C9280A03-6F87-4D43-B491-1CBC54D06839}" name="Column13385"/>
    <tableColumn id="13413" xr3:uid="{5257DB78-6183-41EB-979A-2BE01368222E}" name="Column13386"/>
    <tableColumn id="13414" xr3:uid="{B57DD410-B07A-4F5A-920F-F582E4FC29D8}" name="Column13387"/>
    <tableColumn id="13415" xr3:uid="{2B954667-2C7E-4ADA-85BC-974982839FC0}" name="Column13388"/>
    <tableColumn id="13416" xr3:uid="{529940A8-0B43-4133-88A7-28FFA78F0AB0}" name="Column13389"/>
    <tableColumn id="13417" xr3:uid="{49F69639-801E-42B9-BEC1-4F5583E0049A}" name="Column13390"/>
    <tableColumn id="13418" xr3:uid="{EDAFD46B-C48F-4A46-A420-DF284FB155CB}" name="Column13391"/>
    <tableColumn id="13419" xr3:uid="{42DA642A-6C1B-48D1-A310-04F902821996}" name="Column13392"/>
    <tableColumn id="13420" xr3:uid="{E475BD8E-8FDA-476E-9022-988BBC278904}" name="Column13393"/>
    <tableColumn id="13421" xr3:uid="{952A11A5-EBEA-4550-B551-BA844ADA4BC9}" name="Column13394"/>
    <tableColumn id="13422" xr3:uid="{E993B3CD-8DAB-49D6-864D-FDD674D7969B}" name="Column13395"/>
    <tableColumn id="13423" xr3:uid="{4013ABDC-1BD8-4FD4-AC12-184F78ED935D}" name="Column13396"/>
    <tableColumn id="13424" xr3:uid="{7197D27B-05A3-4BD2-80F0-B643DBADA594}" name="Column13397"/>
    <tableColumn id="13425" xr3:uid="{E9696846-C2C3-4C6F-9023-9C9F83C9040C}" name="Column13398"/>
    <tableColumn id="13426" xr3:uid="{64D668E8-0856-4414-B233-96CF924C0ED3}" name="Column13399"/>
    <tableColumn id="13427" xr3:uid="{A11E6DEF-714C-4BDF-91E0-CD43D947A60B}" name="Column13400"/>
    <tableColumn id="13428" xr3:uid="{9E40269E-EC7A-49E0-B120-3CC542774B08}" name="Column13401"/>
    <tableColumn id="13429" xr3:uid="{F4B40A1E-0B21-4202-9D3D-84A9F9669188}" name="Column13402"/>
    <tableColumn id="13430" xr3:uid="{37415C8C-1C6D-4AD6-A7CA-B658797A7E55}" name="Column13403"/>
    <tableColumn id="13431" xr3:uid="{26AC6B9E-CB31-45C0-B560-3E56C3CABDB9}" name="Column13404"/>
    <tableColumn id="13432" xr3:uid="{D672C3ED-DD9B-4492-BE08-239EB1D100B1}" name="Column13405"/>
    <tableColumn id="13433" xr3:uid="{CB2B3523-3F16-4DE1-BF55-51D8520E2EA2}" name="Column13406"/>
    <tableColumn id="13434" xr3:uid="{0418EB58-50B9-48AC-A4E3-A533467E7568}" name="Column13407"/>
    <tableColumn id="13435" xr3:uid="{730A4D69-113B-4271-B99B-ECC98ED371A6}" name="Column13408"/>
    <tableColumn id="13436" xr3:uid="{65380859-3819-485C-8F7C-3530EA129FF1}" name="Column13409"/>
    <tableColumn id="13437" xr3:uid="{A988D634-696C-48C7-8704-2327ABD57830}" name="Column13410"/>
    <tableColumn id="13438" xr3:uid="{8E13353B-4B65-4C10-8A95-0F2786C19FBD}" name="Column13411"/>
    <tableColumn id="13439" xr3:uid="{7994BD39-5D04-4C06-B85D-43E044721985}" name="Column13412"/>
    <tableColumn id="13440" xr3:uid="{00E1D0F4-6678-482A-888E-1C2BC63E9475}" name="Column13413"/>
    <tableColumn id="13441" xr3:uid="{D2115F71-62D4-468E-A2D7-9238164FE501}" name="Column13414"/>
    <tableColumn id="13442" xr3:uid="{682AE93B-F6D4-49B0-856A-7CDEF43E8D08}" name="Column13415"/>
    <tableColumn id="13443" xr3:uid="{905E4FB5-C9AE-485A-97A4-4376D76EFBAA}" name="Column13416"/>
    <tableColumn id="13444" xr3:uid="{67D0C1F6-92DB-406F-B7FA-AF4898B58681}" name="Column13417"/>
    <tableColumn id="13445" xr3:uid="{21C1054E-D417-456A-8751-78C591F362AB}" name="Column13418"/>
    <tableColumn id="13446" xr3:uid="{8021654F-B7E3-44DC-AC21-57157D983B98}" name="Column13419"/>
    <tableColumn id="13447" xr3:uid="{AE1D6B08-B106-4A90-8362-1710489DCCDF}" name="Column13420"/>
    <tableColumn id="13448" xr3:uid="{CD743B5E-924B-412D-8E3E-150B307B0D0E}" name="Column13421"/>
    <tableColumn id="13449" xr3:uid="{92B8F663-0B61-4CDA-BA7A-31BE527A7EBE}" name="Column13422"/>
    <tableColumn id="13450" xr3:uid="{C5E1FEDD-1FCD-42C1-BFBD-03CC173C3F37}" name="Column13423"/>
    <tableColumn id="13451" xr3:uid="{E717DC86-FC35-4FD7-905F-B7441EB6FB21}" name="Column13424"/>
    <tableColumn id="13452" xr3:uid="{46E3DFF0-1D10-4291-9264-844F84F87C7D}" name="Column13425"/>
    <tableColumn id="13453" xr3:uid="{431792D9-F3D0-45FA-AEA8-A48D61205E67}" name="Column13426"/>
    <tableColumn id="13454" xr3:uid="{95BDCD69-27E4-4798-86F2-F4983F272D9E}" name="Column13427"/>
    <tableColumn id="13455" xr3:uid="{74F75F47-A02C-44BE-88C4-1354165E78B9}" name="Column13428"/>
    <tableColumn id="13456" xr3:uid="{838CEEED-AC2E-40D5-BC6A-B62DC483B72E}" name="Column13429"/>
    <tableColumn id="13457" xr3:uid="{3FF24639-5F16-4287-B86D-CCAD47F34549}" name="Column13430"/>
    <tableColumn id="13458" xr3:uid="{4C3B2D95-01B8-43F0-B346-9FCCADC4CAA2}" name="Column13431"/>
    <tableColumn id="13459" xr3:uid="{3A6FA16B-44A9-4AD8-828A-B4BC92A1ECC6}" name="Column13432"/>
    <tableColumn id="13460" xr3:uid="{5AFDD1B3-9C30-45C4-8F4F-AA6A0C6139D6}" name="Column13433"/>
    <tableColumn id="13461" xr3:uid="{E65B22E1-BEEE-455D-AC5A-39A0C685DD15}" name="Column13434"/>
    <tableColumn id="13462" xr3:uid="{8D064D4E-13EE-40A6-8F1D-E115EB82C358}" name="Column13435"/>
    <tableColumn id="13463" xr3:uid="{207D9BB6-4F91-46C0-81D8-D67E779D8FBA}" name="Column13436"/>
    <tableColumn id="13464" xr3:uid="{D50AEC5B-371E-4C6F-A8C4-B4092967D0A2}" name="Column13437"/>
    <tableColumn id="13465" xr3:uid="{87ED060E-E93F-4D39-829A-A035559686B8}" name="Column13438"/>
    <tableColumn id="13466" xr3:uid="{35735AA3-4983-4229-B946-302DC8E188CC}" name="Column13439"/>
    <tableColumn id="13467" xr3:uid="{2FB62542-D84B-438C-A0FF-636530677B65}" name="Column13440"/>
    <tableColumn id="13468" xr3:uid="{95D68B0A-822F-42DD-8C95-2F1BB5FB140E}" name="Column13441"/>
    <tableColumn id="13469" xr3:uid="{D44EDA5E-20C4-4AD0-8BAC-BEB52374E73B}" name="Column13442"/>
    <tableColumn id="13470" xr3:uid="{1C0CB6BB-753C-4636-BD16-4ED9DA703ECE}" name="Column13443"/>
    <tableColumn id="13471" xr3:uid="{541B136E-5AE7-4E8F-B2D6-EA823E3C827F}" name="Column13444"/>
    <tableColumn id="13472" xr3:uid="{2C49B34A-1555-4ADE-BA9F-3DBC18E2FFC5}" name="Column13445"/>
    <tableColumn id="13473" xr3:uid="{3BE3FAF8-3788-46C8-A72F-815936FB4AC8}" name="Column13446"/>
    <tableColumn id="13474" xr3:uid="{13DABE84-7CC0-49B0-853E-ED6BEA6C912C}" name="Column13447"/>
    <tableColumn id="13475" xr3:uid="{F232F835-DFA1-4F10-AEC8-0A75B484059D}" name="Column13448"/>
    <tableColumn id="13476" xr3:uid="{5B183B7B-91E8-4959-A0CF-428C6743C95B}" name="Column13449"/>
    <tableColumn id="13477" xr3:uid="{4B23006A-5717-4F61-938C-6C4358D83263}" name="Column13450"/>
    <tableColumn id="13478" xr3:uid="{8AF3791A-188E-4B17-B76D-5110AD7F0203}" name="Column13451"/>
    <tableColumn id="13479" xr3:uid="{50FDB38A-126E-4EF9-B5B5-7FA8B67F7AEE}" name="Column13452"/>
    <tableColumn id="13480" xr3:uid="{86B7157C-E1D2-4725-A8C8-3C08403671C2}" name="Column13453"/>
    <tableColumn id="13481" xr3:uid="{C7106B73-48A5-44EF-8F84-108392C9DA29}" name="Column13454"/>
    <tableColumn id="13482" xr3:uid="{4B211234-DE65-4EDF-8E08-899FBCA6CE5A}" name="Column13455"/>
    <tableColumn id="13483" xr3:uid="{71025A32-38FE-413D-A297-329CEF4C01E7}" name="Column13456"/>
    <tableColumn id="13484" xr3:uid="{955CF0B8-8508-441B-9509-6C3287D81FD5}" name="Column13457"/>
    <tableColumn id="13485" xr3:uid="{EC013AB9-8BA5-49B8-9EBA-C76F92A221E6}" name="Column13458"/>
    <tableColumn id="13486" xr3:uid="{0ADD2D34-7D99-495A-9B35-79A12659CCC3}" name="Column13459"/>
    <tableColumn id="13487" xr3:uid="{FBAEF1C8-7184-473D-B1FB-B25B4AB6CB85}" name="Column13460"/>
    <tableColumn id="13488" xr3:uid="{F8E11222-64DF-43E9-B50E-E44CEEBFE677}" name="Column13461"/>
    <tableColumn id="13489" xr3:uid="{C01B03A7-C3B8-4187-A0A4-24E35E559FC9}" name="Column13462"/>
    <tableColumn id="13490" xr3:uid="{EE339223-0835-450F-8E1B-03E95375C03E}" name="Column13463"/>
    <tableColumn id="13491" xr3:uid="{84784078-0AA5-4B92-9A1C-865E3AD55E80}" name="Column13464"/>
    <tableColumn id="13492" xr3:uid="{95EC4DA5-F4D7-49AD-873F-E87DC3FEF385}" name="Column13465"/>
    <tableColumn id="13493" xr3:uid="{0051F177-5C98-434B-8D37-9C41CD91D60B}" name="Column13466"/>
    <tableColumn id="13494" xr3:uid="{4B3C4F23-6D1B-4626-9C0D-C84F24A31875}" name="Column13467"/>
    <tableColumn id="13495" xr3:uid="{5F7D9F75-1AA3-4F98-AD66-34D9C14EA486}" name="Column13468"/>
    <tableColumn id="13496" xr3:uid="{52BCAE67-934E-42D8-BB75-1459B38AF9FE}" name="Column13469"/>
    <tableColumn id="13497" xr3:uid="{80C7964E-5BA3-4F34-AE79-BF9AF500F227}" name="Column13470"/>
    <tableColumn id="13498" xr3:uid="{93908CCE-C8E4-4BCB-977C-E65E65D3BF10}" name="Column13471"/>
    <tableColumn id="13499" xr3:uid="{0D7DA8B3-9371-4849-AFFA-0F586907E4D0}" name="Column13472"/>
    <tableColumn id="13500" xr3:uid="{BBCD515E-7FE0-4D22-B169-0FEDD51864C1}" name="Column13473"/>
    <tableColumn id="13501" xr3:uid="{F7E55A86-7E90-4E78-B05D-C2A353C522EB}" name="Column13474"/>
    <tableColumn id="13502" xr3:uid="{92F3C03A-00A7-4392-9C10-A4B8F0777C17}" name="Column13475"/>
    <tableColumn id="13503" xr3:uid="{4FFD03EE-DA58-4BB5-8222-49BDD8AF7783}" name="Column13476"/>
    <tableColumn id="13504" xr3:uid="{F7F3930F-6E82-4707-A180-8E9D9F6C1EB7}" name="Column13477"/>
    <tableColumn id="13505" xr3:uid="{C7AFBCAE-3B08-424B-9243-44090BE8179F}" name="Column13478"/>
    <tableColumn id="13506" xr3:uid="{9CA2020D-19B3-4F03-98C7-E1E04DAFC673}" name="Column13479"/>
    <tableColumn id="13507" xr3:uid="{52AB9F59-43A6-4DB2-B08D-1F36BA8C7D08}" name="Column13480"/>
    <tableColumn id="13508" xr3:uid="{E61EFF62-9493-4047-8570-9BFA8851416C}" name="Column13481"/>
    <tableColumn id="13509" xr3:uid="{ADC520C7-C005-4BC7-B151-F03068E5479E}" name="Column13482"/>
    <tableColumn id="13510" xr3:uid="{E073FEA2-FB00-4B49-B980-70262543B08B}" name="Column13483"/>
    <tableColumn id="13511" xr3:uid="{9A9F2CCD-5335-4E0D-B08B-7C28F7EB0F63}" name="Column13484"/>
    <tableColumn id="13512" xr3:uid="{B429AD9D-255F-4B0C-974B-2DA094604455}" name="Column13485"/>
    <tableColumn id="13513" xr3:uid="{18C09DCA-5B9E-4EE0-883E-C355FA273838}" name="Column13486"/>
    <tableColumn id="13514" xr3:uid="{3B197DA9-3718-4140-89A9-2E02A353F033}" name="Column13487"/>
    <tableColumn id="13515" xr3:uid="{309FE4B4-977A-4E30-89B0-E72C1DFF20F2}" name="Column13488"/>
    <tableColumn id="13516" xr3:uid="{F6B37B62-56EE-4491-8257-EE63E5CEB101}" name="Column13489"/>
    <tableColumn id="13517" xr3:uid="{B60CA9B4-3A40-4975-B55E-908E4C843EFA}" name="Column13490"/>
    <tableColumn id="13518" xr3:uid="{57E04E38-9AC6-46CD-9C9A-856CE1CAEE91}" name="Column13491"/>
    <tableColumn id="13519" xr3:uid="{1736DC5A-C459-4487-B021-3BF8DC386B2C}" name="Column13492"/>
    <tableColumn id="13520" xr3:uid="{A020740C-2069-47F9-AF05-F679DD04954E}" name="Column13493"/>
    <tableColumn id="13521" xr3:uid="{7B6F2BE4-F49E-49DA-874F-5B7633D3676C}" name="Column13494"/>
    <tableColumn id="13522" xr3:uid="{8143CADE-5AE2-4ADE-9277-A66CBA7DE84E}" name="Column13495"/>
    <tableColumn id="13523" xr3:uid="{2D4CEFF6-39E9-4AEC-A5A9-79140A26A41E}" name="Column13496"/>
    <tableColumn id="13524" xr3:uid="{7EDC6416-7629-4B0B-958C-CE21115D6FD8}" name="Column13497"/>
    <tableColumn id="13525" xr3:uid="{CC49785C-3664-410D-9866-0C02D14DE052}" name="Column13498"/>
    <tableColumn id="13526" xr3:uid="{2AB76A4F-0F6B-48D7-9CA3-24C01B555F2C}" name="Column13499"/>
    <tableColumn id="13527" xr3:uid="{036F3E4B-482F-48EC-AE67-A480616C7CF5}" name="Column13500"/>
    <tableColumn id="13528" xr3:uid="{473F70DD-B954-456E-9301-7994D9E2079F}" name="Column13501"/>
    <tableColumn id="13529" xr3:uid="{4DCDA887-BD17-495A-B564-A2007FB59FFF}" name="Column13502"/>
    <tableColumn id="13530" xr3:uid="{ECE452EE-BBAE-48A1-864B-279FB0C38A41}" name="Column13503"/>
    <tableColumn id="13531" xr3:uid="{0A76CAAC-DA66-4450-89DD-EADF5F1239F7}" name="Column13504"/>
    <tableColumn id="13532" xr3:uid="{1650EF6B-7489-4E00-BABF-3CE57B2712EA}" name="Column13505"/>
    <tableColumn id="13533" xr3:uid="{4011E1D0-AD9D-4836-A0D2-1B912060E8EC}" name="Column13506"/>
    <tableColumn id="13534" xr3:uid="{B216C0FE-BF3A-4EEC-87DB-C3F165F0F2D0}" name="Column13507"/>
    <tableColumn id="13535" xr3:uid="{182F6FBE-9819-4CD7-9977-4908088FD62A}" name="Column13508"/>
    <tableColumn id="13536" xr3:uid="{3222BE31-D29E-427D-9747-975375476BC4}" name="Column13509"/>
    <tableColumn id="13537" xr3:uid="{375E21A3-D6FE-45A6-A015-7C178DE6B7D9}" name="Column13510"/>
    <tableColumn id="13538" xr3:uid="{35A297B8-B04B-4AFA-A836-80F932CFD963}" name="Column13511"/>
    <tableColumn id="13539" xr3:uid="{89BCFC72-C7A5-4F9F-A109-CDD0ED127EE8}" name="Column13512"/>
    <tableColumn id="13540" xr3:uid="{D098B8CE-D173-4D40-B216-D2EE6D0A63D7}" name="Column13513"/>
    <tableColumn id="13541" xr3:uid="{A8286BFD-134F-46F3-AD42-B123BB56CDC2}" name="Column13514"/>
    <tableColumn id="13542" xr3:uid="{6D1FDC7E-B3A5-4B1E-8474-D6705B1631FD}" name="Column13515"/>
    <tableColumn id="13543" xr3:uid="{50B91321-D4A8-49D3-B4FE-7A205BDE1E9D}" name="Column13516"/>
    <tableColumn id="13544" xr3:uid="{A5EBE3DF-D451-44FD-B185-8A02E9743EA6}" name="Column13517"/>
    <tableColumn id="13545" xr3:uid="{2BB7336E-1C57-49BA-AD51-68805D4AD09E}" name="Column13518"/>
    <tableColumn id="13546" xr3:uid="{EDD7017B-57D1-41FF-8E9D-91ED840C8E65}" name="Column13519"/>
    <tableColumn id="13547" xr3:uid="{C54282C7-3CA4-4D73-AD5A-41518E99A1E3}" name="Column13520"/>
    <tableColumn id="13548" xr3:uid="{312848BD-2ABC-4F52-8377-EF5A189B6A0A}" name="Column13521"/>
    <tableColumn id="13549" xr3:uid="{B4C1D4FE-E56F-4ED0-B191-6B30148BAE70}" name="Column13522"/>
    <tableColumn id="13550" xr3:uid="{1C3A8FC5-394A-4431-B9B2-C2A4E381C801}" name="Column13523"/>
    <tableColumn id="13551" xr3:uid="{EF59FF75-7ABE-44AA-872A-A10100E22CFF}" name="Column13524"/>
    <tableColumn id="13552" xr3:uid="{81B24887-286A-481E-B06D-21461C9BC0A9}" name="Column13525"/>
    <tableColumn id="13553" xr3:uid="{75E66F02-00FF-4DCB-89A7-9D84B67C27EE}" name="Column13526"/>
    <tableColumn id="13554" xr3:uid="{7CEDECC1-E182-47B8-AA17-1FB15EBCB8B7}" name="Column13527"/>
    <tableColumn id="13555" xr3:uid="{2799E4EF-B327-485B-8408-785CC694901F}" name="Column13528"/>
    <tableColumn id="13556" xr3:uid="{68F3E368-D49D-41A9-A95E-1B0CB8111E3F}" name="Column13529"/>
    <tableColumn id="13557" xr3:uid="{ADC3DCB6-8916-4824-B759-57F5B9EEC43B}" name="Column13530"/>
    <tableColumn id="13558" xr3:uid="{345BB9AC-1172-4035-AAFD-1CDEBCBCB705}" name="Column13531"/>
    <tableColumn id="13559" xr3:uid="{F5324DEC-6F04-4470-84D5-CF99AD28AA52}" name="Column13532"/>
    <tableColumn id="13560" xr3:uid="{5C039D8D-58AE-45EF-A7BA-3CFB379F31FB}" name="Column13533"/>
    <tableColumn id="13561" xr3:uid="{8A94137C-7F01-456A-B95F-406AC3750184}" name="Column13534"/>
    <tableColumn id="13562" xr3:uid="{BCF5B404-6C6A-4AA7-A51E-53F8681B68BC}" name="Column13535"/>
    <tableColumn id="13563" xr3:uid="{4861879F-12F7-442F-9A91-6747D6384AA5}" name="Column13536"/>
    <tableColumn id="13564" xr3:uid="{8225F7DC-A7CD-4409-8CD3-846F4E48085C}" name="Column13537"/>
    <tableColumn id="13565" xr3:uid="{00106D7D-6EEE-40CF-91BF-887CAA59AE21}" name="Column13538"/>
    <tableColumn id="13566" xr3:uid="{38C013F3-9992-40A2-BA52-BCDEE0C5F47E}" name="Column13539"/>
    <tableColumn id="13567" xr3:uid="{BC901013-F10C-4592-A69D-3384E5013B22}" name="Column13540"/>
    <tableColumn id="13568" xr3:uid="{8621AC8C-17E8-4171-801E-F164A659B346}" name="Column13541"/>
    <tableColumn id="13569" xr3:uid="{6B6EE904-BE13-41B4-BC92-7452856C9C1E}" name="Column13542"/>
    <tableColumn id="13570" xr3:uid="{4D180C4D-63F7-42C0-BD3C-7336990FC8A2}" name="Column13543"/>
    <tableColumn id="13571" xr3:uid="{E5BB11D2-D200-46AC-A4E7-85F340E5DEF5}" name="Column13544"/>
    <tableColumn id="13572" xr3:uid="{0353881F-FFCD-4FB8-A419-A436F364634C}" name="Column13545"/>
    <tableColumn id="13573" xr3:uid="{8195D7AE-D596-4A84-8914-8B412164AF44}" name="Column13546"/>
    <tableColumn id="13574" xr3:uid="{AA5B591C-4BD2-47FF-87E0-1778181F8635}" name="Column13547"/>
    <tableColumn id="13575" xr3:uid="{430283E2-E394-4DFF-9A3B-96F624B4F352}" name="Column13548"/>
    <tableColumn id="13576" xr3:uid="{73EF7C1B-755E-4A84-9F40-6852ABD1D5E1}" name="Column13549"/>
    <tableColumn id="13577" xr3:uid="{09EC4339-8ACA-4D60-B6D8-7021D9C18D0B}" name="Column13550"/>
    <tableColumn id="13578" xr3:uid="{D4FA8691-8735-4F8F-99A6-63836A0E3185}" name="Column13551"/>
    <tableColumn id="13579" xr3:uid="{22338976-4146-4780-9661-DC8A7D363DBB}" name="Column13552"/>
    <tableColumn id="13580" xr3:uid="{9140C56F-DF95-4AA4-9EDF-08642750FA22}" name="Column13553"/>
    <tableColumn id="13581" xr3:uid="{26F56C89-C58A-40D9-A634-C0E0EBD22A1F}" name="Column13554"/>
    <tableColumn id="13582" xr3:uid="{EAAD9C9D-F4F8-41ED-8F04-201C03C204B0}" name="Column13555"/>
    <tableColumn id="13583" xr3:uid="{478D5635-C2C8-4F7D-B4F0-5F30E9BF3A3F}" name="Column13556"/>
    <tableColumn id="13584" xr3:uid="{E44C2B4A-F05F-4AE8-9F6F-00DDD1C63D28}" name="Column13557"/>
    <tableColumn id="13585" xr3:uid="{48472D87-9BCA-4116-8D01-CDBE447AB4AE}" name="Column13558"/>
    <tableColumn id="13586" xr3:uid="{E527C55A-6577-4204-B6F6-63F64C79D97E}" name="Column13559"/>
    <tableColumn id="13587" xr3:uid="{D80E6DC6-D12F-4AFB-AED4-C42841F7696F}" name="Column13560"/>
    <tableColumn id="13588" xr3:uid="{E84A6BB8-A0BD-4D8F-B67F-0B795B05FFA1}" name="Column13561"/>
    <tableColumn id="13589" xr3:uid="{43374524-7963-4A5F-B20D-0FB2832367D0}" name="Column13562"/>
    <tableColumn id="13590" xr3:uid="{A7A5D1A5-C2A3-49D8-997E-4BE9BD2DEA84}" name="Column13563"/>
    <tableColumn id="13591" xr3:uid="{CA5E8452-7742-4EA8-905B-D366574D3706}" name="Column13564"/>
    <tableColumn id="13592" xr3:uid="{2969E5E1-D8B0-45A6-B503-E0D75D97C676}" name="Column13565"/>
    <tableColumn id="13593" xr3:uid="{18FF3203-C505-49EA-8CF8-CA705377718A}" name="Column13566"/>
    <tableColumn id="13594" xr3:uid="{7E2DD9A8-5EBA-4F09-88ED-9FD2DF8FFF51}" name="Column13567"/>
    <tableColumn id="13595" xr3:uid="{F6688F8C-FA98-489E-A542-65C291DAB5D0}" name="Column13568"/>
    <tableColumn id="13596" xr3:uid="{26E911C2-33F3-4EE1-ACFE-68AE41D47798}" name="Column13569"/>
    <tableColumn id="13597" xr3:uid="{CC75C415-F148-41E0-8539-2F32ACF02A85}" name="Column13570"/>
    <tableColumn id="13598" xr3:uid="{4C22DAC7-3F31-49A0-941C-A88015AB2DA4}" name="Column13571"/>
    <tableColumn id="13599" xr3:uid="{95F4D195-AD89-4DF0-9F7D-5CADA24BA580}" name="Column13572"/>
    <tableColumn id="13600" xr3:uid="{565B2A0A-3907-446F-B0F1-91FDDF0C35E8}" name="Column13573"/>
    <tableColumn id="13601" xr3:uid="{D8AA89D5-6BB2-4C37-9058-09A980D7DBCB}" name="Column13574"/>
    <tableColumn id="13602" xr3:uid="{6DB93277-69E2-4119-839E-5B54D82C43D0}" name="Column13575"/>
    <tableColumn id="13603" xr3:uid="{9872860C-013C-4AB6-9E4E-97741213CD91}" name="Column13576"/>
    <tableColumn id="13604" xr3:uid="{7BA4FA5A-1BA8-4ADC-8FC2-58CC7B180F4C}" name="Column13577"/>
    <tableColumn id="13605" xr3:uid="{028C1617-A329-46FB-B0E8-B67CC77D7D7B}" name="Column13578"/>
    <tableColumn id="13606" xr3:uid="{E03F95DB-E60D-4B9B-B602-A49FE3A227A1}" name="Column13579"/>
    <tableColumn id="13607" xr3:uid="{4136221B-44A0-4DBE-8395-ED26BC56B808}" name="Column13580"/>
    <tableColumn id="13608" xr3:uid="{CC571227-1BF1-4FC0-B038-BE0B96EEDF2D}" name="Column13581"/>
    <tableColumn id="13609" xr3:uid="{46685E57-CBEB-4A94-BD75-5E96DF887EA9}" name="Column13582"/>
    <tableColumn id="13610" xr3:uid="{5079B77B-521E-42B0-8E6E-A82EC5DEB68D}" name="Column13583"/>
    <tableColumn id="13611" xr3:uid="{146B52C8-9B5F-4CC5-BB39-B33805E98561}" name="Column13584"/>
    <tableColumn id="13612" xr3:uid="{EB66590C-CFC9-4A91-AE58-EE6532779B76}" name="Column13585"/>
    <tableColumn id="13613" xr3:uid="{DAF7ECFB-2406-4A46-AFE2-F3385735E6FD}" name="Column13586"/>
    <tableColumn id="13614" xr3:uid="{B68FEDDB-1E00-49F8-ADF9-875A6BF2209D}" name="Column13587"/>
    <tableColumn id="13615" xr3:uid="{50C96A17-AD2A-47FE-AEDE-DF5C3D8E8C15}" name="Column13588"/>
    <tableColumn id="13616" xr3:uid="{ECE4F4C7-83B8-4A37-B919-391E4FA7A829}" name="Column13589"/>
    <tableColumn id="13617" xr3:uid="{F90EA76F-1D34-4F81-8564-44CD31A4FAFA}" name="Column13590"/>
    <tableColumn id="13618" xr3:uid="{7FA3CB4E-482D-4C36-86BD-4ED66EEB2C6B}" name="Column13591"/>
    <tableColumn id="13619" xr3:uid="{1EFE1BD7-8181-45D2-BEA1-E4E324F61D6C}" name="Column13592"/>
    <tableColumn id="13620" xr3:uid="{2C8ACFAE-6326-47D1-9657-DF1CC6E0A81C}" name="Column13593"/>
    <tableColumn id="13621" xr3:uid="{062AE46B-80EB-4E68-8E67-2BBAE5D12D19}" name="Column13594"/>
    <tableColumn id="13622" xr3:uid="{B41290DE-E2DE-4F71-B7AC-6EB4D6111198}" name="Column13595"/>
    <tableColumn id="13623" xr3:uid="{1223D0E2-5BA2-41C9-B141-A74C09975A4F}" name="Column13596"/>
    <tableColumn id="13624" xr3:uid="{0E9278DA-8685-48DD-B427-841B089CE1C4}" name="Column13597"/>
    <tableColumn id="13625" xr3:uid="{33335142-9207-4C17-8C5D-683AB148DB0D}" name="Column13598"/>
    <tableColumn id="13626" xr3:uid="{7216C4BA-9D06-4D13-ACE4-2458A24193AF}" name="Column13599"/>
    <tableColumn id="13627" xr3:uid="{AA94F8CE-9C0A-4DC7-9F6C-4995A1614E03}" name="Column13600"/>
    <tableColumn id="13628" xr3:uid="{2C71D668-C665-45E3-9EDF-346748EBB503}" name="Column13601"/>
    <tableColumn id="13629" xr3:uid="{AE7771DA-6689-4E1C-895F-3E1E4B8F13EC}" name="Column13602"/>
    <tableColumn id="13630" xr3:uid="{159300BC-DF62-4197-A9D4-27BAA6707133}" name="Column13603"/>
    <tableColumn id="13631" xr3:uid="{54BBDE85-3744-408B-817D-7B052F20BEBA}" name="Column13604"/>
    <tableColumn id="13632" xr3:uid="{BDA2B558-C289-4E1F-8380-8EB20D3884D5}" name="Column13605"/>
    <tableColumn id="13633" xr3:uid="{080ECF37-E6D0-4773-A55E-D60BD771FDB2}" name="Column13606"/>
    <tableColumn id="13634" xr3:uid="{6791575A-1F65-436E-B04D-E9BF68EE6C2D}" name="Column13607"/>
    <tableColumn id="13635" xr3:uid="{DD9F8D64-BA24-4294-B47F-33613F7EC53C}" name="Column13608"/>
    <tableColumn id="13636" xr3:uid="{85575774-8500-4F09-8603-7799A498971F}" name="Column13609"/>
    <tableColumn id="13637" xr3:uid="{9FF8F260-CED0-4C81-B995-E3DA4CD3F1FC}" name="Column13610"/>
    <tableColumn id="13638" xr3:uid="{FC1F3F30-71BD-4705-8716-4A58A4840D42}" name="Column13611"/>
    <tableColumn id="13639" xr3:uid="{5F276EC0-CA86-40CE-9782-583CB8D9A3A1}" name="Column13612"/>
    <tableColumn id="13640" xr3:uid="{ADE35E38-7F3E-4D06-958A-B9B41F553199}" name="Column13613"/>
    <tableColumn id="13641" xr3:uid="{213C4ECE-0470-4DD1-B4F6-9FF6BA9A06FF}" name="Column13614"/>
    <tableColumn id="13642" xr3:uid="{A97B1B37-1F66-495A-8834-02D386E88D46}" name="Column13615"/>
    <tableColumn id="13643" xr3:uid="{E4893C6A-4016-4D7A-A51F-F80FB085A2DD}" name="Column13616"/>
    <tableColumn id="13644" xr3:uid="{8BFF2365-6B85-4639-8F1D-241DC8638BFE}" name="Column13617"/>
    <tableColumn id="13645" xr3:uid="{E0D65A85-A562-4FD5-A716-774D26AE4712}" name="Column13618"/>
    <tableColumn id="13646" xr3:uid="{4081383E-AA74-4201-B386-ECF0561DCEDA}" name="Column13619"/>
    <tableColumn id="13647" xr3:uid="{93951F63-AA3B-4A02-8846-6F19D54E7EBA}" name="Column13620"/>
    <tableColumn id="13648" xr3:uid="{4AD5AF3B-BD1C-46EA-83A0-9610AE4643E6}" name="Column13621"/>
    <tableColumn id="13649" xr3:uid="{122FF805-B03D-4281-A389-7672DBCCD90E}" name="Column13622"/>
    <tableColumn id="13650" xr3:uid="{C4DBC278-AAEC-4509-9723-A0EE7F03A3D4}" name="Column13623"/>
    <tableColumn id="13651" xr3:uid="{4AE1F705-98FC-43F4-AA33-CAEE3526AA58}" name="Column13624"/>
    <tableColumn id="13652" xr3:uid="{E958E800-5CB7-4BB6-8CEB-483335F29D27}" name="Column13625"/>
    <tableColumn id="13653" xr3:uid="{CC3AB4E5-A773-435F-9EC1-339EE6297B53}" name="Column13626"/>
    <tableColumn id="13654" xr3:uid="{B32E1F6A-2C86-4061-8480-8960B781803A}" name="Column13627"/>
    <tableColumn id="13655" xr3:uid="{1A0D046A-9536-4E7D-86EF-15B10D1C42F3}" name="Column13628"/>
    <tableColumn id="13656" xr3:uid="{04B4ECF8-4D10-4732-BA7C-CCB7B5E964DD}" name="Column13629"/>
    <tableColumn id="13657" xr3:uid="{FE949377-3827-4B39-A921-58015DE09DA5}" name="Column13630"/>
    <tableColumn id="13658" xr3:uid="{6FC75355-4479-47A3-82AD-50B0AA94812C}" name="Column13631"/>
    <tableColumn id="13659" xr3:uid="{26817470-8316-45D2-ABC2-52B7D39046BE}" name="Column13632"/>
    <tableColumn id="13660" xr3:uid="{82931673-184D-4855-A638-592AA3CC9013}" name="Column13633"/>
    <tableColumn id="13661" xr3:uid="{2BEEA8A1-78E3-4697-BAC7-0B48E0A9AD7E}" name="Column13634"/>
    <tableColumn id="13662" xr3:uid="{8F2F38AA-31B9-492F-8BA4-6FB5CB2F77EE}" name="Column13635"/>
    <tableColumn id="13663" xr3:uid="{378FF066-6D0D-4686-984C-FED6A8AD8BB4}" name="Column13636"/>
    <tableColumn id="13664" xr3:uid="{CF7C5F02-6E1C-44AC-9C8E-3C0BBAE20986}" name="Column13637"/>
    <tableColumn id="13665" xr3:uid="{0B1B1159-1B43-413C-9BFF-0565E5DD0523}" name="Column13638"/>
    <tableColumn id="13666" xr3:uid="{9E382AD4-7DB6-4DE9-991D-2BF4D8033060}" name="Column13639"/>
    <tableColumn id="13667" xr3:uid="{857A22C4-F13F-4088-B46C-131E5297D2DF}" name="Column13640"/>
    <tableColumn id="13668" xr3:uid="{F8E23248-653C-4A70-96AA-F011823C1856}" name="Column13641"/>
    <tableColumn id="13669" xr3:uid="{B3E41550-4593-40C9-B715-BCD818418EB9}" name="Column13642"/>
    <tableColumn id="13670" xr3:uid="{EA493347-EB9F-49F7-B68E-92267979321B}" name="Column13643"/>
    <tableColumn id="13671" xr3:uid="{A9BD42EF-3383-4850-8CE4-4304AA7F8C56}" name="Column13644"/>
    <tableColumn id="13672" xr3:uid="{B695717C-14C6-48D1-9597-08F23A7CBB5A}" name="Column13645"/>
    <tableColumn id="13673" xr3:uid="{0D2B42F8-AF7C-4C51-97AB-35803BE32859}" name="Column13646"/>
    <tableColumn id="13674" xr3:uid="{E8964980-477F-4DB8-8758-113EC909041A}" name="Column13647"/>
    <tableColumn id="13675" xr3:uid="{1B72C333-82D5-42DB-8DAB-3B1F4DFF1E88}" name="Column13648"/>
    <tableColumn id="13676" xr3:uid="{8FEB6548-EDAE-489E-A562-E52C09F321C3}" name="Column13649"/>
    <tableColumn id="13677" xr3:uid="{6D8EC911-E69F-4141-9163-7B3BB7A349F7}" name="Column13650"/>
    <tableColumn id="13678" xr3:uid="{ECD7C4D0-5E3A-43B8-AC04-8A3B6A225A11}" name="Column13651"/>
    <tableColumn id="13679" xr3:uid="{48EB35EA-63C6-43B5-BD66-A4B9346D8933}" name="Column13652"/>
    <tableColumn id="13680" xr3:uid="{CF5CB904-09C3-4236-9DCE-7BEE41E6AD0B}" name="Column13653"/>
    <tableColumn id="13681" xr3:uid="{493F503E-1D09-4331-8910-C60C86A70B09}" name="Column13654"/>
    <tableColumn id="13682" xr3:uid="{353144B0-B33C-405C-9302-0C07D0430B30}" name="Column13655"/>
    <tableColumn id="13683" xr3:uid="{4AB92E32-5019-4628-9E7E-90DD5AA4EF9C}" name="Column13656"/>
    <tableColumn id="13684" xr3:uid="{1B5475D8-6154-4817-B533-F234D344C9A9}" name="Column13657"/>
    <tableColumn id="13685" xr3:uid="{F52C5E1B-7C15-4829-A0B7-53B39071AE31}" name="Column13658"/>
    <tableColumn id="13686" xr3:uid="{8623415A-D86E-4EE2-A889-FCA60E2F5FA0}" name="Column13659"/>
    <tableColumn id="13687" xr3:uid="{95A4CD66-56B0-40C8-B954-CAE5BA65CCF7}" name="Column13660"/>
    <tableColumn id="13688" xr3:uid="{F96F1E4E-7E4F-4802-BDAE-C6D4E131E763}" name="Column13661"/>
    <tableColumn id="13689" xr3:uid="{56EB283B-3C94-4881-92F5-4ABCCCA937E8}" name="Column13662"/>
    <tableColumn id="13690" xr3:uid="{A82970C2-C63B-4D65-AC4F-F8A4D6B7D8D5}" name="Column13663"/>
    <tableColumn id="13691" xr3:uid="{3B6E9460-5A42-4B0D-960B-24A36B0B21AD}" name="Column13664"/>
    <tableColumn id="13692" xr3:uid="{F04C8205-49C5-47D6-9B97-2FE8F74DB4F8}" name="Column13665"/>
    <tableColumn id="13693" xr3:uid="{5A6A75E6-368A-468B-9CFE-FFA2602D8F32}" name="Column13666"/>
    <tableColumn id="13694" xr3:uid="{A2B5B3E8-2BD2-4D5B-AC2C-4EA0C9DA9E7F}" name="Column13667"/>
    <tableColumn id="13695" xr3:uid="{45E88060-96BD-4E7E-912B-23F7A494A06D}" name="Column13668"/>
    <tableColumn id="13696" xr3:uid="{913FD053-A1EB-4952-AE1B-CFFAFE9DF35A}" name="Column13669"/>
    <tableColumn id="13697" xr3:uid="{EA99623D-ABFE-49E6-827B-35C1F061C317}" name="Column13670"/>
    <tableColumn id="13698" xr3:uid="{9102C377-4193-4988-B04D-5AA1752B06B9}" name="Column13671"/>
    <tableColumn id="13699" xr3:uid="{697F3168-D1FA-4A81-A5C4-C333D45BCE73}" name="Column13672"/>
    <tableColumn id="13700" xr3:uid="{CCDBEA3F-6873-4494-A362-E6E0E6E206A3}" name="Column13673"/>
    <tableColumn id="13701" xr3:uid="{60303C09-E709-468B-BCE8-6BBB38666899}" name="Column13674"/>
    <tableColumn id="13702" xr3:uid="{67668DFD-1941-4067-8937-5F2990198DCC}" name="Column13675"/>
    <tableColumn id="13703" xr3:uid="{6CFCF619-EAFC-408E-A4C7-3EDF8F3D8C0C}" name="Column13676"/>
    <tableColumn id="13704" xr3:uid="{9E1A02F8-E87C-4C81-87EA-CE6A575795CD}" name="Column13677"/>
    <tableColumn id="13705" xr3:uid="{5D0A71AC-15A4-44EE-8B72-07EE65F6857A}" name="Column13678"/>
    <tableColumn id="13706" xr3:uid="{C0424E5A-E626-4287-9DB0-2F50113B52B4}" name="Column13679"/>
    <tableColumn id="13707" xr3:uid="{6075E7EC-CF1A-46B4-9DF9-125E1E54F7FE}" name="Column13680"/>
    <tableColumn id="13708" xr3:uid="{76210FEA-A74E-402A-8832-DC9BC80FF40F}" name="Column13681"/>
    <tableColumn id="13709" xr3:uid="{A12EF82D-BF9A-419D-A8DA-AD1D5C3CD94B}" name="Column13682"/>
    <tableColumn id="13710" xr3:uid="{3A9AA737-DC21-4C6A-A2EB-A8D49C04BBC9}" name="Column13683"/>
    <tableColumn id="13711" xr3:uid="{C7E3C494-B57E-4292-9357-01ACAB8520C3}" name="Column13684"/>
    <tableColumn id="13712" xr3:uid="{D2DDF541-ED8C-422D-9761-11155E9D0DC6}" name="Column13685"/>
    <tableColumn id="13713" xr3:uid="{7BDE1C0A-D4A4-404A-8C18-C305DAFC4D68}" name="Column13686"/>
    <tableColumn id="13714" xr3:uid="{012DA6D6-FE56-4C72-8D4A-B220E574D018}" name="Column13687"/>
    <tableColumn id="13715" xr3:uid="{504F7CD5-B3D3-45B4-BB50-51835862212A}" name="Column13688"/>
    <tableColumn id="13716" xr3:uid="{E9EB374B-8398-4092-ADA4-846BE26FDE00}" name="Column13689"/>
    <tableColumn id="13717" xr3:uid="{B67836E0-8976-4D3C-A059-39DD5CD83296}" name="Column13690"/>
    <tableColumn id="13718" xr3:uid="{A2B0AE70-78CA-4504-9111-C8D1AFC8D96C}" name="Column13691"/>
    <tableColumn id="13719" xr3:uid="{0AE7C416-150D-4732-B945-FAD195B0DAE5}" name="Column13692"/>
    <tableColumn id="13720" xr3:uid="{38C43F6B-2028-4605-A16C-FC2059E79B7E}" name="Column13693"/>
    <tableColumn id="13721" xr3:uid="{7B5007BC-5B07-41CF-80B4-93E4B4987117}" name="Column13694"/>
    <tableColumn id="13722" xr3:uid="{C73807E3-9704-409B-98B1-D57F95C28BDD}" name="Column13695"/>
    <tableColumn id="13723" xr3:uid="{BAD0E719-1446-4E71-81FC-1D56F2355E7B}" name="Column13696"/>
    <tableColumn id="13724" xr3:uid="{ADB18CE4-9B8E-44BF-83F3-9A26F9358307}" name="Column13697"/>
    <tableColumn id="13725" xr3:uid="{02C3BCCB-3502-467B-8E14-5B39A5B9CEC6}" name="Column13698"/>
    <tableColumn id="13726" xr3:uid="{7A4A82A8-EBC2-4B5B-9CD8-E2D3D9706F85}" name="Column13699"/>
    <tableColumn id="13727" xr3:uid="{F052AF39-D997-4B03-98BE-555869B8EA92}" name="Column13700"/>
    <tableColumn id="13728" xr3:uid="{B494F6FF-03B6-4883-9F50-3ADA2F3C6DD3}" name="Column13701"/>
    <tableColumn id="13729" xr3:uid="{06ACC2E5-B8AD-45C1-A53F-E23E99589A87}" name="Column13702"/>
    <tableColumn id="13730" xr3:uid="{BA257C57-B470-410C-A507-7DACF63F1ACF}" name="Column13703"/>
    <tableColumn id="13731" xr3:uid="{3B750EBF-4772-4955-93EA-AC7635B649DA}" name="Column13704"/>
    <tableColumn id="13732" xr3:uid="{5F2666FB-1BD5-4931-B2F1-DA8D4C6EFAC0}" name="Column13705"/>
    <tableColumn id="13733" xr3:uid="{0FE96A29-CBB4-4F1C-A0AE-4043996D4489}" name="Column13706"/>
    <tableColumn id="13734" xr3:uid="{D965AAA9-3406-4187-B9A4-438E47AE4A6C}" name="Column13707"/>
    <tableColumn id="13735" xr3:uid="{24414326-9890-42C2-BADB-15A16C4D7C51}" name="Column13708"/>
    <tableColumn id="13736" xr3:uid="{158D08B1-8AE0-4F64-90B8-D08A51CCAFA4}" name="Column13709"/>
    <tableColumn id="13737" xr3:uid="{42FE18BA-353C-4897-BF53-D1E4DC09E790}" name="Column13710"/>
    <tableColumn id="13738" xr3:uid="{C4A2D265-176B-44E0-99A7-104214928F3A}" name="Column13711"/>
    <tableColumn id="13739" xr3:uid="{FE330731-3557-4307-9E65-B309A97B2D85}" name="Column13712"/>
    <tableColumn id="13740" xr3:uid="{CBDCC8E5-21BC-4038-9380-2B18A580AF6B}" name="Column13713"/>
    <tableColumn id="13741" xr3:uid="{8CF1263C-8E82-4B76-AA45-52C8397EB562}" name="Column13714"/>
    <tableColumn id="13742" xr3:uid="{C590B4D2-EAFB-43D9-A85C-B432B21FECF0}" name="Column13715"/>
    <tableColumn id="13743" xr3:uid="{22F552BD-96D9-4183-AEF5-7AA4563241BA}" name="Column13716"/>
    <tableColumn id="13744" xr3:uid="{AFD858E9-96DF-4568-97B3-67F895688CF8}" name="Column13717"/>
    <tableColumn id="13745" xr3:uid="{CC7E6939-F0AC-4E97-BDE4-95A5A966182C}" name="Column13718"/>
    <tableColumn id="13746" xr3:uid="{6964982A-2FFE-47D7-B70E-D052DCB65E5B}" name="Column13719"/>
    <tableColumn id="13747" xr3:uid="{07225B51-D1BF-4452-9FCC-A36E59D804D9}" name="Column13720"/>
    <tableColumn id="13748" xr3:uid="{82FF94A1-D6E6-4C25-A19F-43D2A04045F6}" name="Column13721"/>
    <tableColumn id="13749" xr3:uid="{5270C662-83BA-426F-ACDE-D74C7703B182}" name="Column13722"/>
    <tableColumn id="13750" xr3:uid="{1284AC1A-FF8F-4CAB-858A-C8A8A4774BE1}" name="Column13723"/>
    <tableColumn id="13751" xr3:uid="{BBD17F29-E283-4618-A789-27851BA4CB0C}" name="Column13724"/>
    <tableColumn id="13752" xr3:uid="{9414B92D-4214-47FB-947B-74A3DA1817B7}" name="Column13725"/>
    <tableColumn id="13753" xr3:uid="{AFB5A33A-8F52-448A-8C4B-5216B8E2A2A1}" name="Column13726"/>
    <tableColumn id="13754" xr3:uid="{79C38788-5C6A-4714-8943-D2D48BE956AA}" name="Column13727"/>
    <tableColumn id="13755" xr3:uid="{833D5C61-6E33-401A-8F25-A536A4615AE5}" name="Column13728"/>
    <tableColumn id="13756" xr3:uid="{462E7427-6E64-420C-B37B-695B96CA8341}" name="Column13729"/>
    <tableColumn id="13757" xr3:uid="{75FB0B96-9887-4A0E-8B5B-A1952452D6D9}" name="Column13730"/>
    <tableColumn id="13758" xr3:uid="{1B544503-D492-4414-843F-AF34160DA6E2}" name="Column13731"/>
    <tableColumn id="13759" xr3:uid="{12CDE8DB-8BD6-4858-B0D0-79F8889E878A}" name="Column13732"/>
    <tableColumn id="13760" xr3:uid="{3A54D41E-A634-4FFA-9AFB-B04CA9CAC3B6}" name="Column13733"/>
    <tableColumn id="13761" xr3:uid="{2E5F6205-088A-4FF0-A231-7283A653F2CE}" name="Column13734"/>
    <tableColumn id="13762" xr3:uid="{219F7CED-3DF6-4577-A618-2E841CE8619D}" name="Column13735"/>
    <tableColumn id="13763" xr3:uid="{AB91440A-620F-4376-A3E6-A2EE97DF4E57}" name="Column13736"/>
    <tableColumn id="13764" xr3:uid="{994F7208-5F0D-48D5-9819-A75AC965A462}" name="Column13737"/>
    <tableColumn id="13765" xr3:uid="{5ACB4565-D0C9-4914-97CB-049C2C74E9CE}" name="Column13738"/>
    <tableColumn id="13766" xr3:uid="{064CFE81-B741-4E5A-AC20-20CD2B9E5347}" name="Column13739"/>
    <tableColumn id="13767" xr3:uid="{8C09BF98-78C8-4A81-A61D-64FFE11CAA91}" name="Column13740"/>
    <tableColumn id="13768" xr3:uid="{2A4C705F-25BA-497A-9E30-371CB5E72388}" name="Column13741"/>
    <tableColumn id="13769" xr3:uid="{24FDB956-6574-4C6D-AF8E-35C532275A7B}" name="Column13742"/>
    <tableColumn id="13770" xr3:uid="{424A5947-7232-46DE-937D-A964F11E57A8}" name="Column13743"/>
    <tableColumn id="13771" xr3:uid="{D953025D-7F54-40E0-95A7-3D1AB401171C}" name="Column13744"/>
    <tableColumn id="13772" xr3:uid="{C45ED91F-5637-4B90-B89D-B12F3A15ECD9}" name="Column13745"/>
    <tableColumn id="13773" xr3:uid="{04B7475E-3421-4BF7-BC7F-4A485B81F9A5}" name="Column13746"/>
    <tableColumn id="13774" xr3:uid="{926374B3-39C4-428F-B8C1-04B4E8E802F8}" name="Column13747"/>
    <tableColumn id="13775" xr3:uid="{BD3F64DA-CF4A-48CA-BD0C-48265BC6C693}" name="Column13748"/>
    <tableColumn id="13776" xr3:uid="{D2BC3154-4B97-4C2E-8AFC-C0020975EA62}" name="Column13749"/>
    <tableColumn id="13777" xr3:uid="{F99E5936-4A47-4C39-AC52-2F178B360916}" name="Column13750"/>
    <tableColumn id="13778" xr3:uid="{FA871903-B596-461C-AE6F-526C02BA0D22}" name="Column13751"/>
    <tableColumn id="13779" xr3:uid="{275D7F31-1F80-4068-91C4-E5F73FE30596}" name="Column13752"/>
    <tableColumn id="13780" xr3:uid="{2B57CB1E-328C-46FA-8F8F-EC50DDECBA99}" name="Column13753"/>
    <tableColumn id="13781" xr3:uid="{AE7DFBA3-ACF8-4A39-95FD-0B964DB5A89C}" name="Column13754"/>
    <tableColumn id="13782" xr3:uid="{DA7D71B3-06D3-4FCE-A28B-7385FCC301FB}" name="Column13755"/>
    <tableColumn id="13783" xr3:uid="{4414BDBF-9B30-455E-9A60-D01487E59F09}" name="Column13756"/>
    <tableColumn id="13784" xr3:uid="{1E464926-D3C0-4A54-BAA0-C5261ECE7D29}" name="Column13757"/>
    <tableColumn id="13785" xr3:uid="{0E77647B-B44B-4259-A7AB-492EBE6D17E9}" name="Column13758"/>
    <tableColumn id="13786" xr3:uid="{AC24BF20-E41A-4C5A-9C03-A596837E5B47}" name="Column13759"/>
    <tableColumn id="13787" xr3:uid="{1E297E95-66CC-429B-8D70-58E19F0F02D5}" name="Column13760"/>
    <tableColumn id="13788" xr3:uid="{36DF68C8-F7C7-45A8-86D0-A6D2E789EFBC}" name="Column13761"/>
    <tableColumn id="13789" xr3:uid="{56D967AC-9D2D-458E-9B59-7D07420386AB}" name="Column13762"/>
    <tableColumn id="13790" xr3:uid="{3B7052DA-B354-4481-89B6-0555EA2533CA}" name="Column13763"/>
    <tableColumn id="13791" xr3:uid="{73F7BA02-638D-495F-AA6C-A588CEE8BB78}" name="Column13764"/>
    <tableColumn id="13792" xr3:uid="{180BE29C-63C8-45A5-9DA4-DBC69C42D531}" name="Column13765"/>
    <tableColumn id="13793" xr3:uid="{F3192F5A-8CED-4967-8986-A81717701A6D}" name="Column13766"/>
    <tableColumn id="13794" xr3:uid="{A350BE8D-79D5-477C-8B1E-9DB9B8A7B43D}" name="Column13767"/>
    <tableColumn id="13795" xr3:uid="{ED85D66B-4858-438C-A689-A81E4C0BF335}" name="Column13768"/>
    <tableColumn id="13796" xr3:uid="{2CA35B70-946D-4122-BA86-A9656CEEE2D4}" name="Column13769"/>
    <tableColumn id="13797" xr3:uid="{B3FD3CDD-DA0C-4B5D-9AFF-C3E106B59BB8}" name="Column13770"/>
    <tableColumn id="13798" xr3:uid="{A509E0FC-B6A9-4088-A402-0BA7F78BB047}" name="Column13771"/>
    <tableColumn id="13799" xr3:uid="{E37CB4B5-84CD-42CB-A629-3E3977DFF4A1}" name="Column13772"/>
    <tableColumn id="13800" xr3:uid="{B7274306-8AB9-4E42-966F-95E7CC25DE46}" name="Column13773"/>
    <tableColumn id="13801" xr3:uid="{1D2B92B9-1B82-4CD4-9F86-350BBB5908A3}" name="Column13774"/>
    <tableColumn id="13802" xr3:uid="{F9C3941E-AEEF-4A32-815D-6B014E640BFD}" name="Column13775"/>
    <tableColumn id="13803" xr3:uid="{698EB053-B462-44BD-AA04-DF09907080CF}" name="Column13776"/>
    <tableColumn id="13804" xr3:uid="{8B57D704-ADEF-4BCB-805E-1E4A28CA6778}" name="Column13777"/>
    <tableColumn id="13805" xr3:uid="{2A2EDF51-A447-4C3A-A2D6-6337134B3BEA}" name="Column13778"/>
    <tableColumn id="13806" xr3:uid="{685F76DE-0F3B-422B-851B-F2D636815931}" name="Column13779"/>
    <tableColumn id="13807" xr3:uid="{6A4C3406-390D-433B-A31D-E6819EDED837}" name="Column13780"/>
    <tableColumn id="13808" xr3:uid="{A3CFE6E3-27BF-4D79-B8CA-FC8919656D60}" name="Column13781"/>
    <tableColumn id="13809" xr3:uid="{CCE45391-C1C0-4F98-B48A-A1F7841F584B}" name="Column13782"/>
    <tableColumn id="13810" xr3:uid="{737A86D7-60D6-43E8-80E9-9255CC9FFD97}" name="Column13783"/>
    <tableColumn id="13811" xr3:uid="{AB8C9B29-64BC-48BB-94C7-E8F104E1D722}" name="Column13784"/>
    <tableColumn id="13812" xr3:uid="{216C2FA8-CCAB-4AE3-BAF6-D4EC7BFE5C38}" name="Column13785"/>
    <tableColumn id="13813" xr3:uid="{D634C87A-E2CD-4656-B079-339B59A17A2B}" name="Column13786"/>
    <tableColumn id="13814" xr3:uid="{60B6ABD2-C0B8-4AD5-8E40-889B4FE51187}" name="Column13787"/>
    <tableColumn id="13815" xr3:uid="{E81F9233-2765-4979-8C0A-E2F6B39EB8D7}" name="Column13788"/>
    <tableColumn id="13816" xr3:uid="{776A594B-893B-4514-B739-9AFAC60CF91F}" name="Column13789"/>
    <tableColumn id="13817" xr3:uid="{51B3E140-B07F-4F50-9BA5-098A446A85CC}" name="Column13790"/>
    <tableColumn id="13818" xr3:uid="{088FF3D0-91BC-4A61-ACA0-9312F78C391D}" name="Column13791"/>
    <tableColumn id="13819" xr3:uid="{EFBB190D-5930-4E86-B8F1-AE4CDC713158}" name="Column13792"/>
    <tableColumn id="13820" xr3:uid="{1EDE0123-E910-46A5-BA5C-477DA309A175}" name="Column13793"/>
    <tableColumn id="13821" xr3:uid="{C25B0E21-ADD2-423B-A65F-00B60F867D52}" name="Column13794"/>
    <tableColumn id="13822" xr3:uid="{5CF1F0A0-92CC-4596-AD25-D61ACD54CC7B}" name="Column13795"/>
    <tableColumn id="13823" xr3:uid="{16B5C419-0086-4F85-AC16-C0CD59EBEB2F}" name="Column13796"/>
    <tableColumn id="13824" xr3:uid="{CD32A8CB-063F-47FA-86FD-D0067360B037}" name="Column13797"/>
    <tableColumn id="13825" xr3:uid="{1F6D3129-E934-45FA-9E50-E1A186A7AB13}" name="Column13798"/>
    <tableColumn id="13826" xr3:uid="{B164F948-A5B4-477F-8D9D-3535D05A8861}" name="Column13799"/>
    <tableColumn id="13827" xr3:uid="{950494F5-63DB-4D8C-80AE-AC5E18A752DC}" name="Column13800"/>
    <tableColumn id="13828" xr3:uid="{E1A4D4D7-0784-457C-884B-4142C61BA9B4}" name="Column13801"/>
    <tableColumn id="13829" xr3:uid="{354D1748-6CB6-4517-92A5-3106F2EBC3A7}" name="Column13802"/>
    <tableColumn id="13830" xr3:uid="{2215069D-3F25-4737-8BA3-C11211FB51BA}" name="Column13803"/>
    <tableColumn id="13831" xr3:uid="{B501771F-CA02-4568-A404-CDEEE707D4F0}" name="Column13804"/>
    <tableColumn id="13832" xr3:uid="{0AC86CB5-A04B-474F-92C6-82278FBB07A2}" name="Column13805"/>
    <tableColumn id="13833" xr3:uid="{E39FFB9B-C15C-45F9-A75C-2D3134E7F240}" name="Column13806"/>
    <tableColumn id="13834" xr3:uid="{FA3F8386-C9D2-4C32-82B4-EA542F23D668}" name="Column13807"/>
    <tableColumn id="13835" xr3:uid="{CE1E6428-1B81-4E5E-9AE6-64D4FA692C3E}" name="Column13808"/>
    <tableColumn id="13836" xr3:uid="{E4299630-ACB6-4586-8A06-2322B086066A}" name="Column13809"/>
    <tableColumn id="13837" xr3:uid="{138620FE-87A6-4065-A251-CAB14D13A432}" name="Column13810"/>
    <tableColumn id="13838" xr3:uid="{69390E3C-7006-4003-A040-FB50F5D8424A}" name="Column13811"/>
    <tableColumn id="13839" xr3:uid="{7566FCBC-FB8B-47B9-96DB-225515DFED0B}" name="Column13812"/>
    <tableColumn id="13840" xr3:uid="{1AA0FE42-38F6-4814-8639-20A6ADF2793B}" name="Column13813"/>
    <tableColumn id="13841" xr3:uid="{3F86C090-1429-417C-A414-EC216797F068}" name="Column13814"/>
    <tableColumn id="13842" xr3:uid="{77062B41-A218-4C49-8295-773AD4F3F501}" name="Column13815"/>
    <tableColumn id="13843" xr3:uid="{D2E0A2A7-4EEE-4378-961C-E3B6BD030319}" name="Column13816"/>
    <tableColumn id="13844" xr3:uid="{7049B084-9E61-47AF-BC0D-01947A75ACCE}" name="Column13817"/>
    <tableColumn id="13845" xr3:uid="{20EB1B53-C10C-44A5-ADF2-B06BDA5982C4}" name="Column13818"/>
    <tableColumn id="13846" xr3:uid="{1F9A7F1F-F51C-46F2-B65C-A3C711820E71}" name="Column13819"/>
    <tableColumn id="13847" xr3:uid="{0BBF03C1-AF14-4F96-87B5-9954E0C94E39}" name="Column13820"/>
    <tableColumn id="13848" xr3:uid="{0FCD336B-8929-41E2-9C6F-3532CBE0F1DD}" name="Column13821"/>
    <tableColumn id="13849" xr3:uid="{67DD6688-DBE4-4A16-BC79-492925C97A46}" name="Column13822"/>
    <tableColumn id="13850" xr3:uid="{2511D7AF-D96B-48E4-8A1D-DF2D02DF085D}" name="Column13823"/>
    <tableColumn id="13851" xr3:uid="{1B68E4F7-0D50-4F0A-87FF-3A2C5B2E7C1F}" name="Column13824"/>
    <tableColumn id="13852" xr3:uid="{D9C862A6-DAD9-4872-B656-A4068AE38795}" name="Column13825"/>
    <tableColumn id="13853" xr3:uid="{4F8D5F98-9017-4F67-8D59-EFA0E28CF952}" name="Column13826"/>
    <tableColumn id="13854" xr3:uid="{049906D2-17EE-4079-A722-91C16C57B5C2}" name="Column13827"/>
    <tableColumn id="13855" xr3:uid="{417C2949-FF5C-4B07-A443-3FF45BF8F3D1}" name="Column13828"/>
    <tableColumn id="13856" xr3:uid="{B884BA69-5BBC-46E4-8B93-0DDA3FE001AF}" name="Column13829"/>
    <tableColumn id="13857" xr3:uid="{BD70BD09-F8C8-40FC-B03F-ABD2F8B5722D}" name="Column13830"/>
    <tableColumn id="13858" xr3:uid="{D53D8411-591B-43C7-81A8-3D6B7098DBFE}" name="Column13831"/>
    <tableColumn id="13859" xr3:uid="{DFAB5AC3-7600-43AA-9EAE-8F55D08B0895}" name="Column13832"/>
    <tableColumn id="13860" xr3:uid="{917A794D-DDE3-434D-BC33-0DDE2EA4D25C}" name="Column13833"/>
    <tableColumn id="13861" xr3:uid="{AD15A34F-1C91-4E00-BA35-D9A6F4B1BFB4}" name="Column13834"/>
    <tableColumn id="13862" xr3:uid="{6C2F1562-96B3-43C4-AC34-1568DF1F3D1F}" name="Column13835"/>
    <tableColumn id="13863" xr3:uid="{6CFDDF15-180A-4C93-BDFA-1C847A8DE630}" name="Column13836"/>
    <tableColumn id="13864" xr3:uid="{A8B04D4B-457E-4D8A-B01D-4933ABC2B056}" name="Column13837"/>
    <tableColumn id="13865" xr3:uid="{A3919FB2-1C61-4B9C-93BA-1F556EB6C308}" name="Column13838"/>
    <tableColumn id="13866" xr3:uid="{C9B17028-BFCE-43BF-8974-904126FFE7FE}" name="Column13839"/>
    <tableColumn id="13867" xr3:uid="{FAB82F3C-F6C7-4C37-81B8-9830B45969AA}" name="Column13840"/>
    <tableColumn id="13868" xr3:uid="{1BC5BDCF-EE0F-4CCE-95FD-C12C5C904E06}" name="Column13841"/>
    <tableColumn id="13869" xr3:uid="{25E0527B-592E-4534-86F9-47925FB35D15}" name="Column13842"/>
    <tableColumn id="13870" xr3:uid="{D86D01D1-E28F-4DFA-87FC-A2C5AEF01A26}" name="Column13843"/>
    <tableColumn id="13871" xr3:uid="{ECD18537-4D69-43C9-B0A9-5A71A5E89A86}" name="Column13844"/>
    <tableColumn id="13872" xr3:uid="{ABBE6988-E87D-4502-9D50-93CCEBC45D7A}" name="Column13845"/>
    <tableColumn id="13873" xr3:uid="{DB4AD312-59F0-460F-A764-0B7F44D687CC}" name="Column13846"/>
    <tableColumn id="13874" xr3:uid="{77F6B4EC-107A-4C84-A9CC-8D25BEC28127}" name="Column13847"/>
    <tableColumn id="13875" xr3:uid="{17985406-CED1-4050-9514-AECA84748400}" name="Column13848"/>
    <tableColumn id="13876" xr3:uid="{EE57CECE-FD8E-4B52-968E-40853C97D6AF}" name="Column13849"/>
    <tableColumn id="13877" xr3:uid="{232728BD-C541-4F51-8D14-2A704DC329DF}" name="Column13850"/>
    <tableColumn id="13878" xr3:uid="{C330BA51-FDE0-46F8-B92D-27BCCEB80323}" name="Column13851"/>
    <tableColumn id="13879" xr3:uid="{E16B3EFC-09E4-45D8-83DE-F7852AC37609}" name="Column13852"/>
    <tableColumn id="13880" xr3:uid="{9C67D81B-F1E5-40ED-8001-1F13E11C7485}" name="Column13853"/>
    <tableColumn id="13881" xr3:uid="{D277471E-7177-4D10-9B7F-49C3020CF035}" name="Column13854"/>
    <tableColumn id="13882" xr3:uid="{6D977B9B-1323-4A2C-8EC2-95055ED7D3D8}" name="Column13855"/>
    <tableColumn id="13883" xr3:uid="{90974BA0-083A-40EA-B266-F8693D160D9B}" name="Column13856"/>
    <tableColumn id="13884" xr3:uid="{D10BA44C-4EF5-44B1-BED5-30E78844BE31}" name="Column13857"/>
    <tableColumn id="13885" xr3:uid="{A9C200E9-80F1-4C90-A29B-774FEBD36D3E}" name="Column13858"/>
    <tableColumn id="13886" xr3:uid="{86551D29-500D-4106-8324-1BBC77D01E40}" name="Column13859"/>
    <tableColumn id="13887" xr3:uid="{6DFF1DDD-4EAB-4C61-8567-712EAEC0940C}" name="Column13860"/>
    <tableColumn id="13888" xr3:uid="{47330700-DEBB-43CB-B836-F14D8609B09B}" name="Column13861"/>
    <tableColumn id="13889" xr3:uid="{582CED96-F9D4-482E-BD8C-B9C719043E35}" name="Column13862"/>
    <tableColumn id="13890" xr3:uid="{3729F438-624C-46A1-9373-6CB1B6394C46}" name="Column13863"/>
    <tableColumn id="13891" xr3:uid="{57E4BD12-30FA-4931-8956-E54E7157AF06}" name="Column13864"/>
    <tableColumn id="13892" xr3:uid="{F4B9FF14-20BF-4990-BEBA-87E19AFCB577}" name="Column13865"/>
    <tableColumn id="13893" xr3:uid="{3C5663C5-AAB7-4C65-B6DD-4ADD348E4433}" name="Column13866"/>
    <tableColumn id="13894" xr3:uid="{FD79E3E4-1528-40D3-8E59-9D31F672466D}" name="Column13867"/>
    <tableColumn id="13895" xr3:uid="{641C86C3-D398-4ABE-A0D1-45D87A5F2C84}" name="Column13868"/>
    <tableColumn id="13896" xr3:uid="{12827FCA-746B-4024-AFBE-1EEBD1EE3A84}" name="Column13869"/>
    <tableColumn id="13897" xr3:uid="{0BD374BA-0A11-47B2-A293-AF37C0ABAB9C}" name="Column13870"/>
    <tableColumn id="13898" xr3:uid="{B71F75C9-72FE-4FBC-83DE-C68686AFA8B6}" name="Column13871"/>
    <tableColumn id="13899" xr3:uid="{11054F43-0541-4DD2-A214-BBBF50BCD7E6}" name="Column13872"/>
    <tableColumn id="13900" xr3:uid="{200E6888-25F7-4EF6-A0DD-55D764CA9844}" name="Column13873"/>
    <tableColumn id="13901" xr3:uid="{6D657E6E-574D-478E-8071-963915CF23E8}" name="Column13874"/>
    <tableColumn id="13902" xr3:uid="{6CE248E4-0BCA-4924-A402-F287690CD406}" name="Column13875"/>
    <tableColumn id="13903" xr3:uid="{99A0CFB9-C551-4CC9-9F02-69FABD9489B1}" name="Column13876"/>
    <tableColumn id="13904" xr3:uid="{93C6D455-9CA9-4753-8193-59665E33AA63}" name="Column13877"/>
    <tableColumn id="13905" xr3:uid="{E8428B88-4370-48CA-A31C-2234D8A744F8}" name="Column13878"/>
    <tableColumn id="13906" xr3:uid="{9A12F2A4-C97F-4DBD-8621-6BCCA38EABEC}" name="Column13879"/>
    <tableColumn id="13907" xr3:uid="{59CC67B8-891A-4D82-A7A1-B050986BD9FB}" name="Column13880"/>
    <tableColumn id="13908" xr3:uid="{05EE14B3-011C-4525-AB56-622A64BC5ED4}" name="Column13881"/>
    <tableColumn id="13909" xr3:uid="{95C2E9ED-BEC0-48B2-9AFA-833E2B7493FB}" name="Column13882"/>
    <tableColumn id="13910" xr3:uid="{5E2CDBED-AA45-492E-8FB1-A18D8E352DD2}" name="Column13883"/>
    <tableColumn id="13911" xr3:uid="{96C8A56C-098C-49E3-8029-58CBF94E8BC3}" name="Column13884"/>
    <tableColumn id="13912" xr3:uid="{7C44256C-8C87-44F8-AF84-A865A5940ED1}" name="Column13885"/>
    <tableColumn id="13913" xr3:uid="{544F248B-729F-46B0-8AD4-238006C05E8E}" name="Column13886"/>
    <tableColumn id="13914" xr3:uid="{FD4683F8-DB8E-4060-918A-9AA85BA563DD}" name="Column13887"/>
    <tableColumn id="13915" xr3:uid="{B9D8EB6D-C7A9-4159-A3D9-B6AE383F9F52}" name="Column13888"/>
    <tableColumn id="13916" xr3:uid="{45DFE850-0C56-4E21-8F6B-8501D1136DD3}" name="Column13889"/>
    <tableColumn id="13917" xr3:uid="{6A5214D2-7804-4005-A1B1-5F7D2C539B46}" name="Column13890"/>
    <tableColumn id="13918" xr3:uid="{E8430F39-A564-43C8-8138-D45468ECCC1A}" name="Column13891"/>
    <tableColumn id="13919" xr3:uid="{F418EF16-3CBF-455F-A6B0-568A3BFB2533}" name="Column13892"/>
    <tableColumn id="13920" xr3:uid="{D1C11A41-DEB6-4FBF-9C35-597BA91D62B0}" name="Column13893"/>
    <tableColumn id="13921" xr3:uid="{E7EE0252-3407-4B06-91F8-0C38B212F396}" name="Column13894"/>
    <tableColumn id="13922" xr3:uid="{9C866C0D-6650-479A-9B0F-E2369F83A0E6}" name="Column13895"/>
    <tableColumn id="13923" xr3:uid="{B37FFC90-0E16-4FFF-978A-8685800ACF1E}" name="Column13896"/>
    <tableColumn id="13924" xr3:uid="{38ECA63E-3606-40F3-A041-24EE3B0E12C8}" name="Column13897"/>
    <tableColumn id="13925" xr3:uid="{32189E9A-4A5B-46FD-9C04-E2A9CCECD642}" name="Column13898"/>
    <tableColumn id="13926" xr3:uid="{B82C31D1-B1B2-4D6D-B098-B68B96A5AA90}" name="Column13899"/>
    <tableColumn id="13927" xr3:uid="{8F194983-A5B4-43D3-92DB-F4C82FEE84F4}" name="Column13900"/>
    <tableColumn id="13928" xr3:uid="{C3D73637-7D9A-4013-9A2A-FC354F6E6807}" name="Column13901"/>
    <tableColumn id="13929" xr3:uid="{97A4B791-C7A8-46B9-8AEF-007C9B88F44A}" name="Column13902"/>
    <tableColumn id="13930" xr3:uid="{E2B0D214-5E74-4438-B2C2-EEA5572C3F7B}" name="Column13903"/>
    <tableColumn id="13931" xr3:uid="{7BFC2493-09B3-4BA6-A42D-80CC9955ED37}" name="Column13904"/>
    <tableColumn id="13932" xr3:uid="{94740170-5100-40F4-896D-D01C6C3DC1E7}" name="Column13905"/>
    <tableColumn id="13933" xr3:uid="{E86FEDF9-FB92-44DA-B04C-87EAC12EB247}" name="Column13906"/>
    <tableColumn id="13934" xr3:uid="{170AD02E-4DCA-4571-8B19-D7493165CD85}" name="Column13907"/>
    <tableColumn id="13935" xr3:uid="{7542AF3E-799E-4AFD-A174-46D5E8C300B4}" name="Column13908"/>
    <tableColumn id="13936" xr3:uid="{EA4CDA06-F625-44BE-8054-DF4E4D586E8E}" name="Column13909"/>
    <tableColumn id="13937" xr3:uid="{75B235DC-FD30-4641-AABF-203CB6D1B95A}" name="Column13910"/>
    <tableColumn id="13938" xr3:uid="{C93C4836-B2D8-45E0-9290-3CF1565ADA6D}" name="Column13911"/>
    <tableColumn id="13939" xr3:uid="{46FC22B3-4426-49D2-A69A-C735BF82B70C}" name="Column13912"/>
    <tableColumn id="13940" xr3:uid="{04EF1DA0-880E-4FF6-A6A3-7AD85AC0F330}" name="Column13913"/>
    <tableColumn id="13941" xr3:uid="{FF2F4DF5-357B-4885-A8E4-66E140C4FD63}" name="Column13914"/>
    <tableColumn id="13942" xr3:uid="{BD4A80A1-7372-4EBB-8937-F50CA161522D}" name="Column13915"/>
    <tableColumn id="13943" xr3:uid="{59BC3378-A1CD-4AE1-8626-60D20603A02B}" name="Column13916"/>
    <tableColumn id="13944" xr3:uid="{CFD7A1C7-D858-4400-A8F8-2987A2CF6EF6}" name="Column13917"/>
    <tableColumn id="13945" xr3:uid="{7AFD8A37-3602-4736-87DA-C5F765521423}" name="Column13918"/>
    <tableColumn id="13946" xr3:uid="{39D7F7CE-2237-449C-92FD-74827216DD47}" name="Column13919"/>
    <tableColumn id="13947" xr3:uid="{9E299DD5-5DE5-459A-B591-99728D129A5D}" name="Column13920"/>
    <tableColumn id="13948" xr3:uid="{96406733-BF68-43FF-A783-5745409D3E54}" name="Column13921"/>
    <tableColumn id="13949" xr3:uid="{8D5BAF11-0B28-448F-886D-386B1C9F4035}" name="Column13922"/>
    <tableColumn id="13950" xr3:uid="{E858AE6F-8E6D-42D0-A2DB-BF9F3FFF57E7}" name="Column13923"/>
    <tableColumn id="13951" xr3:uid="{6493AF7E-CE4E-4063-BFAB-0207AD600DDA}" name="Column13924"/>
    <tableColumn id="13952" xr3:uid="{22F0BDB9-4040-4AC1-9057-96F19ECBC753}" name="Column13925"/>
    <tableColumn id="13953" xr3:uid="{714EA749-62AB-4877-8307-5DE140EFA09B}" name="Column13926"/>
    <tableColumn id="13954" xr3:uid="{686854A5-EE4E-43A6-BF68-3FC01720DEEE}" name="Column13927"/>
    <tableColumn id="13955" xr3:uid="{F70BA763-6A21-4085-9CA6-E05E46CEE163}" name="Column13928"/>
    <tableColumn id="13956" xr3:uid="{BE4039D0-6F7E-46D2-9782-E9F10BE11F64}" name="Column13929"/>
    <tableColumn id="13957" xr3:uid="{96828AF5-36B6-4796-9343-7160915B05DD}" name="Column13930"/>
    <tableColumn id="13958" xr3:uid="{32CF8BE7-A95E-4371-BA3F-2055899ABBCF}" name="Column13931"/>
    <tableColumn id="13959" xr3:uid="{1C190514-F9E8-49BB-B078-F0FEFE66A8CB}" name="Column13932"/>
    <tableColumn id="13960" xr3:uid="{C2A370EE-44A7-4D64-BAD5-18C33FA1B03C}" name="Column13933"/>
    <tableColumn id="13961" xr3:uid="{909C8F81-6608-4A61-B740-E2105FD714B1}" name="Column13934"/>
    <tableColumn id="13962" xr3:uid="{053FB7FB-A865-433A-9F92-8EBAEB46A14F}" name="Column13935"/>
    <tableColumn id="13963" xr3:uid="{5E467025-7BA9-48BA-A739-5EDFB8CBCDA4}" name="Column13936"/>
    <tableColumn id="13964" xr3:uid="{9AC6A3A4-6035-4BD8-A457-C3EECEB13826}" name="Column13937"/>
    <tableColumn id="13965" xr3:uid="{333F9DBB-DDE7-482F-9F21-161EB6515D6B}" name="Column13938"/>
    <tableColumn id="13966" xr3:uid="{6D22D595-3BBC-4441-83DA-BEACCEB3B135}" name="Column13939"/>
    <tableColumn id="13967" xr3:uid="{E97B4F1D-1953-416B-847D-9F5BD0FA93FE}" name="Column13940"/>
    <tableColumn id="13968" xr3:uid="{76999AE2-531E-404A-8E0C-A3B411FDDDD8}" name="Column13941"/>
    <tableColumn id="13969" xr3:uid="{B2214DA7-07F2-49E9-8C72-13FEF3716040}" name="Column13942"/>
    <tableColumn id="13970" xr3:uid="{A8684B81-55AB-4C8F-90D3-F491C8CDC95E}" name="Column13943"/>
    <tableColumn id="13971" xr3:uid="{08F6BEE9-47FE-442A-A219-8BE570BC6F70}" name="Column13944"/>
    <tableColumn id="13972" xr3:uid="{ED11750E-E0E1-4E04-94CE-4E3F3D6AF76A}" name="Column13945"/>
    <tableColumn id="13973" xr3:uid="{151F3A4D-3625-44CF-9F25-4E377F1F81C3}" name="Column13946"/>
    <tableColumn id="13974" xr3:uid="{5FA7A931-53D2-4EB9-88B4-CA1B6D8C0086}" name="Column13947"/>
    <tableColumn id="13975" xr3:uid="{A7C29160-8094-42E6-B946-ABC0825C1A36}" name="Column13948"/>
    <tableColumn id="13976" xr3:uid="{7C55C271-9D59-4BFF-94CD-A06A420C0E10}" name="Column13949"/>
    <tableColumn id="13977" xr3:uid="{529C50FA-C8E9-4E31-B8F6-9C54E33FB17C}" name="Column13950"/>
    <tableColumn id="13978" xr3:uid="{4C2E7A6A-567A-4C28-A894-4C0E0A5D6F9D}" name="Column13951"/>
    <tableColumn id="13979" xr3:uid="{4CC47EB4-A0C9-471F-8011-DD247C3121AA}" name="Column13952"/>
    <tableColumn id="13980" xr3:uid="{5FCC5FEE-C31F-4C73-A08B-236E1512C5FF}" name="Column13953"/>
    <tableColumn id="13981" xr3:uid="{522904A0-B786-45FD-A7E8-AD7BDC4E6855}" name="Column13954"/>
    <tableColumn id="13982" xr3:uid="{52B263F3-37E3-4C9B-B329-CA769505AF6A}" name="Column13955"/>
    <tableColumn id="13983" xr3:uid="{81D2A4C5-472A-4E2B-BAAE-BD8B18993C89}" name="Column13956"/>
    <tableColumn id="13984" xr3:uid="{10BA3177-937E-49E4-98D4-A420CB4B36C9}" name="Column13957"/>
    <tableColumn id="13985" xr3:uid="{BAC9AC4D-AF16-4681-84C9-32FF90C00DFB}" name="Column13958"/>
    <tableColumn id="13986" xr3:uid="{89C45354-E501-4B40-A630-22DBA7CAAD94}" name="Column13959"/>
    <tableColumn id="13987" xr3:uid="{3135AE2D-5037-45D3-994A-25C149EAF242}" name="Column13960"/>
    <tableColumn id="13988" xr3:uid="{0D5220BF-ACDC-4878-AD60-E0373AF457F3}" name="Column13961"/>
    <tableColumn id="13989" xr3:uid="{E7D5E387-A072-45E8-AD31-4E22EB1CE10D}" name="Column13962"/>
    <tableColumn id="13990" xr3:uid="{744F7375-DB50-4A3C-81A4-72678D4E055D}" name="Column13963"/>
    <tableColumn id="13991" xr3:uid="{DDFB3F85-B7C9-4F84-ACE4-C3D6188CD0BC}" name="Column13964"/>
    <tableColumn id="13992" xr3:uid="{23404E6B-BFA7-4595-A5F7-E2541CE59965}" name="Column13965"/>
    <tableColumn id="13993" xr3:uid="{84A47E5E-05B5-4A44-AA63-E1F8BB9A228E}" name="Column13966"/>
    <tableColumn id="13994" xr3:uid="{3CD5BAA4-1CF2-4AF9-A4FC-3EF82D1C4D3B}" name="Column13967"/>
    <tableColumn id="13995" xr3:uid="{6CE54576-00B6-45CD-A583-2550A522E3CF}" name="Column13968"/>
    <tableColumn id="13996" xr3:uid="{2AF285E6-19BF-43BA-8266-4CFAEBBDE9B0}" name="Column13969"/>
    <tableColumn id="13997" xr3:uid="{A48F9E20-49EB-435F-B2FA-49EE8A862194}" name="Column13970"/>
    <tableColumn id="13998" xr3:uid="{A0CFCFCD-DE20-4109-9B1B-6C84EC49B0AE}" name="Column13971"/>
    <tableColumn id="13999" xr3:uid="{7E2967B2-7167-46DD-B1D4-AD085E330985}" name="Column13972"/>
    <tableColumn id="14000" xr3:uid="{B5D5058F-990A-413E-B6E5-94FBB61C98B8}" name="Column13973"/>
    <tableColumn id="14001" xr3:uid="{2F02DCEC-3B92-41B1-90E8-51FDC77EAFB3}" name="Column13974"/>
    <tableColumn id="14002" xr3:uid="{88CD5841-72D2-46F5-A729-FD3F4AFD80E8}" name="Column13975"/>
    <tableColumn id="14003" xr3:uid="{7E89E83C-7DA5-49D1-B9DF-87EF31299D51}" name="Column13976"/>
    <tableColumn id="14004" xr3:uid="{E1CBCFB4-92E3-4CFE-BBA7-819A06FBB8BB}" name="Column13977"/>
    <tableColumn id="14005" xr3:uid="{EA8580B1-62C6-40F1-BA36-2B97433ED962}" name="Column13978"/>
    <tableColumn id="14006" xr3:uid="{BB779524-D7E7-4ABD-90B3-F2C006160D87}" name="Column13979"/>
    <tableColumn id="14007" xr3:uid="{AF547AB9-0F2E-4BC7-B76C-141E67E81728}" name="Column13980"/>
    <tableColumn id="14008" xr3:uid="{DF80703C-F16F-48C9-9396-5B805DA36450}" name="Column13981"/>
    <tableColumn id="14009" xr3:uid="{BE1C260A-5128-4EAD-8206-219B56E7DF63}" name="Column13982"/>
    <tableColumn id="14010" xr3:uid="{1D479E71-65BD-478D-BC26-1D26AE798EDF}" name="Column13983"/>
    <tableColumn id="14011" xr3:uid="{B1D78B34-926A-4586-9899-A62DE481B592}" name="Column13984"/>
    <tableColumn id="14012" xr3:uid="{162A9500-ABEC-48B8-965F-0FAB395C3AC2}" name="Column13985"/>
    <tableColumn id="14013" xr3:uid="{E493A9C0-C2D7-452F-9A56-EFF8B2333C9A}" name="Column13986"/>
    <tableColumn id="14014" xr3:uid="{B1CE4067-FAA7-49FD-A589-B532564D28E6}" name="Column13987"/>
    <tableColumn id="14015" xr3:uid="{634CEA32-9D7E-4802-BB85-77BBC8F30502}" name="Column13988"/>
    <tableColumn id="14016" xr3:uid="{EEBDF896-3617-4CB7-8E8A-5BAC6CFBC9C1}" name="Column13989"/>
    <tableColumn id="14017" xr3:uid="{51E046C8-2EFB-4C3D-B569-A72E0DA84BA6}" name="Column13990"/>
    <tableColumn id="14018" xr3:uid="{11328F6E-DCB1-45A4-BFD4-CCDC69BE3F24}" name="Column13991"/>
    <tableColumn id="14019" xr3:uid="{2786A3A9-BEAE-42DE-A139-359219CD9A07}" name="Column13992"/>
    <tableColumn id="14020" xr3:uid="{4EE04E5C-F4CC-48AB-BEEB-3A6E4B811246}" name="Column13993"/>
    <tableColumn id="14021" xr3:uid="{50FADE19-1CB4-42E4-8DC4-CDB2D3617BFB}" name="Column13994"/>
    <tableColumn id="14022" xr3:uid="{A012CF3B-3906-4AA5-A3ED-69ADC29625F8}" name="Column13995"/>
    <tableColumn id="14023" xr3:uid="{D94A8689-93AE-44AF-9431-76F9BBB764D9}" name="Column13996"/>
    <tableColumn id="14024" xr3:uid="{A682C2D4-C17F-48DE-87A0-7778B60B799F}" name="Column13997"/>
    <tableColumn id="14025" xr3:uid="{EA4DA94D-BD99-4673-A60F-A72B98604D6D}" name="Column13998"/>
    <tableColumn id="14026" xr3:uid="{7A88FE2B-DB6E-409F-A960-5DB83D0925FE}" name="Column13999"/>
    <tableColumn id="14027" xr3:uid="{74BCC1CC-3F43-4054-A8A1-77E0B1811897}" name="Column14000"/>
    <tableColumn id="14028" xr3:uid="{11E66910-C026-441E-A627-D4A1D4AAC003}" name="Column14001"/>
    <tableColumn id="14029" xr3:uid="{35802AE1-BDB8-4AAC-8D86-4D02279A551F}" name="Column14002"/>
    <tableColumn id="14030" xr3:uid="{7F896EAB-D99E-4CCA-B992-A67E1E634656}" name="Column14003"/>
    <tableColumn id="14031" xr3:uid="{8A07AC27-D538-4FBE-9ED3-4D1AFD604777}" name="Column14004"/>
    <tableColumn id="14032" xr3:uid="{375C3403-526A-4EB9-9445-E1970CAF407A}" name="Column14005"/>
    <tableColumn id="14033" xr3:uid="{2A32D911-B767-44CB-B363-12F1FF0A9811}" name="Column14006"/>
    <tableColumn id="14034" xr3:uid="{F151D023-8B03-4A9A-A2AE-8AF4BCD1D48F}" name="Column14007"/>
    <tableColumn id="14035" xr3:uid="{C889B561-5FB0-4AE2-A330-FA5C5941C6E5}" name="Column14008"/>
    <tableColumn id="14036" xr3:uid="{00304E67-22AA-4F6C-A60C-DAE0767AD73A}" name="Column14009"/>
    <tableColumn id="14037" xr3:uid="{C6709DBC-E9B3-492F-8005-2309F4E24035}" name="Column14010"/>
    <tableColumn id="14038" xr3:uid="{2BBC83BA-88A7-414C-BF75-D0F8729E89C1}" name="Column14011"/>
    <tableColumn id="14039" xr3:uid="{74F57FDB-4866-4C93-9F76-07AEA302AFCC}" name="Column14012"/>
    <tableColumn id="14040" xr3:uid="{B7D6618E-E275-498A-B01F-F5F759783876}" name="Column14013"/>
    <tableColumn id="14041" xr3:uid="{29450E09-6EA0-4846-BE37-65AD6C15F6CF}" name="Column14014"/>
    <tableColumn id="14042" xr3:uid="{3E3855AD-4CE6-434C-A0C8-6BAAC6109BDD}" name="Column14015"/>
    <tableColumn id="14043" xr3:uid="{6B356DD0-D72D-430D-960D-A88A84C98B7A}" name="Column14016"/>
    <tableColumn id="14044" xr3:uid="{19002E12-9D2C-4283-9AFC-58570BEC19A2}" name="Column14017"/>
    <tableColumn id="14045" xr3:uid="{5C09DB94-871E-4B58-B812-781AAD43D495}" name="Column14018"/>
    <tableColumn id="14046" xr3:uid="{520DA873-A713-422C-A8C9-2E9274D04FD5}" name="Column14019"/>
    <tableColumn id="14047" xr3:uid="{7FEC1840-8197-412F-B74A-7F9F831E95F6}" name="Column14020"/>
    <tableColumn id="14048" xr3:uid="{56A9CA92-AEE6-4CF9-8DDD-07A78F1C782F}" name="Column14021"/>
    <tableColumn id="14049" xr3:uid="{AB3D4B1D-64AE-46A3-A548-35672678C852}" name="Column14022"/>
    <tableColumn id="14050" xr3:uid="{71819F2A-D7A0-4EEA-AE60-250171F5C7E6}" name="Column14023"/>
    <tableColumn id="14051" xr3:uid="{6B855E7F-AA62-4394-9949-AC44F3921694}" name="Column14024"/>
    <tableColumn id="14052" xr3:uid="{9F310E4C-78DC-4B07-8E80-8246080D5C35}" name="Column14025"/>
    <tableColumn id="14053" xr3:uid="{F3DA5D68-762D-4F9A-9388-4C72E68E930C}" name="Column14026"/>
    <tableColumn id="14054" xr3:uid="{4864EFCA-99CF-4491-9852-E9C577497486}" name="Column14027"/>
    <tableColumn id="14055" xr3:uid="{3A9364AD-049E-4C27-AE33-CBEA02EA16A7}" name="Column14028"/>
    <tableColumn id="14056" xr3:uid="{4A3D3299-59AC-4074-8900-2080FD10C500}" name="Column14029"/>
    <tableColumn id="14057" xr3:uid="{9AB5ED3C-2E26-44D6-B9A4-CBAC41CA3ED7}" name="Column14030"/>
    <tableColumn id="14058" xr3:uid="{48D9A772-8597-4F80-808B-0AA9579BE68C}" name="Column14031"/>
    <tableColumn id="14059" xr3:uid="{CC7C398F-6C1A-4D9A-B3E3-62415901204F}" name="Column14032"/>
    <tableColumn id="14060" xr3:uid="{7FCFBF2D-0598-4AA3-B8B3-32B423345289}" name="Column14033"/>
    <tableColumn id="14061" xr3:uid="{F65A85AF-EEF9-4E98-94FF-F43DD3BEB142}" name="Column14034"/>
    <tableColumn id="14062" xr3:uid="{EC2B2555-E021-41BE-BBB1-B1DD5AF5EC97}" name="Column14035"/>
    <tableColumn id="14063" xr3:uid="{13C2049C-F8B4-4616-9D68-6AFB7D05D60F}" name="Column14036"/>
    <tableColumn id="14064" xr3:uid="{86DED314-B97A-4BF1-8A22-FE5746FBA655}" name="Column14037"/>
    <tableColumn id="14065" xr3:uid="{CA3BC659-7BDA-4375-8F1B-D281360FB157}" name="Column14038"/>
    <tableColumn id="14066" xr3:uid="{6CCA3626-F20D-4D59-ADE0-C11ADA842518}" name="Column14039"/>
    <tableColumn id="14067" xr3:uid="{61D8B417-95A2-48DA-891A-2BA438723623}" name="Column14040"/>
    <tableColumn id="14068" xr3:uid="{7A97607F-6654-495A-AEDA-C0F5FC74D937}" name="Column14041"/>
    <tableColumn id="14069" xr3:uid="{EAAA3DFF-3FC1-4B9D-AB78-3CC535FDE450}" name="Column14042"/>
    <tableColumn id="14070" xr3:uid="{DF3BB726-4EFD-4BE9-AFC7-31A4B43E476E}" name="Column14043"/>
    <tableColumn id="14071" xr3:uid="{46AF4AFD-43B6-4B34-AB28-6BAF3472C0A9}" name="Column14044"/>
    <tableColumn id="14072" xr3:uid="{4782D2C0-2321-403F-B357-33FB42B76960}" name="Column14045"/>
    <tableColumn id="14073" xr3:uid="{A5C5822F-4074-4D6F-90C0-6DD8C6874E89}" name="Column14046"/>
    <tableColumn id="14074" xr3:uid="{690D5825-FCE7-4BFE-B2CD-AA9E4B86EA38}" name="Column14047"/>
    <tableColumn id="14075" xr3:uid="{FC3C3090-FE19-4C2A-B6A3-A0802F75A061}" name="Column14048"/>
    <tableColumn id="14076" xr3:uid="{889CB259-27EC-422B-AD99-F8FCB1A56C1C}" name="Column14049"/>
    <tableColumn id="14077" xr3:uid="{0EDA7C38-5203-498C-BECD-D9FF30A05A42}" name="Column14050"/>
    <tableColumn id="14078" xr3:uid="{3CC6EE7F-9519-4FE9-8AAA-8FD2A58A1EC5}" name="Column14051"/>
    <tableColumn id="14079" xr3:uid="{737379FA-2608-4C22-9649-25AE512EFE9F}" name="Column14052"/>
    <tableColumn id="14080" xr3:uid="{D48185FB-ED82-4B77-8103-8CA7FDC2D75B}" name="Column14053"/>
    <tableColumn id="14081" xr3:uid="{37C3B1E8-46BF-4B0B-8133-E0354BBA15A7}" name="Column14054"/>
    <tableColumn id="14082" xr3:uid="{1AAAF6F1-F558-4AD2-92BD-BC29C1B38FF7}" name="Column14055"/>
    <tableColumn id="14083" xr3:uid="{2BD50531-E10F-42A9-88B2-C46C28D80862}" name="Column14056"/>
    <tableColumn id="14084" xr3:uid="{BB7476D6-41F8-488E-A775-40185F6FBF14}" name="Column14057"/>
    <tableColumn id="14085" xr3:uid="{F4F0947D-7C61-447B-A1AB-BF2D6A64AECA}" name="Column14058"/>
    <tableColumn id="14086" xr3:uid="{1D9EB817-1ED8-4358-BFFB-14DBA2B34EF9}" name="Column14059"/>
    <tableColumn id="14087" xr3:uid="{90EF1D97-FC68-44D2-A7D4-A38AD7E22CB9}" name="Column14060"/>
    <tableColumn id="14088" xr3:uid="{E4A089D2-E566-4951-B488-BD552879A6FE}" name="Column14061"/>
    <tableColumn id="14089" xr3:uid="{D4A8C91C-FB29-45DD-90AA-7E8A853A599F}" name="Column14062"/>
    <tableColumn id="14090" xr3:uid="{227C0F10-4AF6-488F-9239-99A34806FA4A}" name="Column14063"/>
    <tableColumn id="14091" xr3:uid="{F1FB5D6F-E023-44F9-88F7-FF9EF8776664}" name="Column14064"/>
    <tableColumn id="14092" xr3:uid="{06887B05-0E1A-4741-9462-A5675F926BD4}" name="Column14065"/>
    <tableColumn id="14093" xr3:uid="{4C020017-6CEE-4DCE-8083-5E66463D8BFE}" name="Column14066"/>
    <tableColumn id="14094" xr3:uid="{83AD5B4D-5360-41D2-A6D4-0072B5B8BFE4}" name="Column14067"/>
    <tableColumn id="14095" xr3:uid="{9EABF52A-39F3-4061-AB96-BEE4881FB6B9}" name="Column14068"/>
    <tableColumn id="14096" xr3:uid="{27CC656F-5FCF-4F49-90A3-EA306F512BCC}" name="Column14069"/>
    <tableColumn id="14097" xr3:uid="{B65330B3-592B-42A5-BFC4-32058EC25083}" name="Column14070"/>
    <tableColumn id="14098" xr3:uid="{7D575348-33E3-4DAF-90F2-9E74A6551840}" name="Column14071"/>
    <tableColumn id="14099" xr3:uid="{1956E026-9D6B-4ED7-AE06-E48D760A3AB6}" name="Column14072"/>
    <tableColumn id="14100" xr3:uid="{95FDB8B2-2FAC-4E7E-A77B-AFCDFE5E9973}" name="Column14073"/>
    <tableColumn id="14101" xr3:uid="{423CB4A5-FB93-46F0-BF16-A745DB1952DE}" name="Column14074"/>
    <tableColumn id="14102" xr3:uid="{4F3BF62A-3261-4581-94CD-683815C1A58E}" name="Column14075"/>
    <tableColumn id="14103" xr3:uid="{6CE80D6D-DA07-406B-9E8D-CE8EC4C62633}" name="Column14076"/>
    <tableColumn id="14104" xr3:uid="{74151A4B-B44C-4013-B99D-3A838033EC36}" name="Column14077"/>
    <tableColumn id="14105" xr3:uid="{7AC6EBDF-0C6C-4FA3-B09B-E394C1D76968}" name="Column14078"/>
    <tableColumn id="14106" xr3:uid="{FBB1AE2C-2416-4116-BAA6-7751D1179D24}" name="Column14079"/>
    <tableColumn id="14107" xr3:uid="{F7539026-CFBD-476B-9DEC-37CEBD10ADDB}" name="Column14080"/>
    <tableColumn id="14108" xr3:uid="{257FF5B1-3FA6-48F2-9488-786FDC94CF05}" name="Column14081"/>
    <tableColumn id="14109" xr3:uid="{524D12FA-DB69-4B3B-9F61-95B23BAF8F0D}" name="Column14082"/>
    <tableColumn id="14110" xr3:uid="{6F0F759A-1882-4F16-A2B2-DAF962983F53}" name="Column14083"/>
    <tableColumn id="14111" xr3:uid="{B15BEA8E-2C4F-4AF3-A1EA-F18F4402B8FA}" name="Column14084"/>
    <tableColumn id="14112" xr3:uid="{7EE29595-963E-40AD-AB54-696011AA98F6}" name="Column14085"/>
    <tableColumn id="14113" xr3:uid="{5A96839F-7B31-4729-8F74-30F9A553C122}" name="Column14086"/>
    <tableColumn id="14114" xr3:uid="{26CCFB59-20AB-4011-AD19-187521CD017F}" name="Column14087"/>
    <tableColumn id="14115" xr3:uid="{19C186EB-24B3-4548-BD14-DAD6040BD064}" name="Column14088"/>
    <tableColumn id="14116" xr3:uid="{E60685AB-1EE2-42D3-AB48-A73DE2144DE7}" name="Column14089"/>
    <tableColumn id="14117" xr3:uid="{7965A29E-9A63-45A4-87E2-DE9B3674E0F4}" name="Column14090"/>
    <tableColumn id="14118" xr3:uid="{03C1CAED-2D47-4BE6-B1B6-677113231554}" name="Column14091"/>
    <tableColumn id="14119" xr3:uid="{D9628B9A-D2C3-4DB8-B9A6-FF49EBB50AC4}" name="Column14092"/>
    <tableColumn id="14120" xr3:uid="{5D218A3F-FC21-4C20-BCB2-57C1511DCA8A}" name="Column14093"/>
    <tableColumn id="14121" xr3:uid="{37C5FA40-EBBD-497C-9435-B67B934848EF}" name="Column14094"/>
    <tableColumn id="14122" xr3:uid="{0D662A4C-3F6C-4F24-A8D2-B8A5578B11CB}" name="Column14095"/>
    <tableColumn id="14123" xr3:uid="{CADCA426-1FDC-4CE8-8B19-5FBFED3E1EB2}" name="Column14096"/>
    <tableColumn id="14124" xr3:uid="{76A1F1B3-BEB2-4183-B1E3-FF6E2E36BDA0}" name="Column14097"/>
    <tableColumn id="14125" xr3:uid="{4E4A3BD1-5414-4F09-9A06-51633FA01033}" name="Column14098"/>
    <tableColumn id="14126" xr3:uid="{C2DD193A-D09F-4CAD-8616-FDDE8F9CE87A}" name="Column14099"/>
    <tableColumn id="14127" xr3:uid="{B4A66440-189F-4134-B077-199A01A033C3}" name="Column14100"/>
    <tableColumn id="14128" xr3:uid="{144A5C38-F7F3-4AA8-9A33-ED336A969928}" name="Column14101"/>
    <tableColumn id="14129" xr3:uid="{D0DC108B-6067-4B1B-87E4-E6847A04D171}" name="Column14102"/>
    <tableColumn id="14130" xr3:uid="{2C7561F3-F351-4465-A755-2731D13B9FC6}" name="Column14103"/>
    <tableColumn id="14131" xr3:uid="{32675764-3257-467C-8330-057F847379AE}" name="Column14104"/>
    <tableColumn id="14132" xr3:uid="{D523A5C5-0B42-4F61-8DAC-0506A4D45452}" name="Column14105"/>
    <tableColumn id="14133" xr3:uid="{C770E690-44BB-42CC-840D-519658EFE7A3}" name="Column14106"/>
    <tableColumn id="14134" xr3:uid="{B847BD93-6338-4E87-A7AF-F12D229FFE26}" name="Column14107"/>
    <tableColumn id="14135" xr3:uid="{897FE0DF-6657-4A8D-9709-A0C0385819A8}" name="Column14108"/>
    <tableColumn id="14136" xr3:uid="{BB53414A-DFB0-42D4-9F92-ED4D9A8CE5AF}" name="Column14109"/>
    <tableColumn id="14137" xr3:uid="{A2793A30-BFCD-4BB8-9C55-C2881E5860CE}" name="Column14110"/>
    <tableColumn id="14138" xr3:uid="{82A718DE-FF99-4D86-B61B-CCE04B621E23}" name="Column14111"/>
    <tableColumn id="14139" xr3:uid="{330DDBB9-6101-4F1D-A47D-CFC46EB69168}" name="Column14112"/>
    <tableColumn id="14140" xr3:uid="{152A358A-C235-43E6-8E19-712CB5CCACA6}" name="Column14113"/>
    <tableColumn id="14141" xr3:uid="{F987A74E-DD21-4499-9AA4-45B3F9B3A451}" name="Column14114"/>
    <tableColumn id="14142" xr3:uid="{4E01031F-875E-4B63-A28C-AFD9C4E0984E}" name="Column14115"/>
    <tableColumn id="14143" xr3:uid="{A6CFAE65-8149-4BC6-B385-DFAF2B899F4C}" name="Column14116"/>
    <tableColumn id="14144" xr3:uid="{3209F577-5A5A-4A35-9A08-3A0A36EFA228}" name="Column14117"/>
    <tableColumn id="14145" xr3:uid="{B4FCBA3E-0F37-4A29-95EB-DC0D8937C853}" name="Column14118"/>
    <tableColumn id="14146" xr3:uid="{12F57484-6160-4C4C-BCA6-EF5BD5C98E67}" name="Column14119"/>
    <tableColumn id="14147" xr3:uid="{49A71CFA-D597-471F-BCC5-97F8ECF192BA}" name="Column14120"/>
    <tableColumn id="14148" xr3:uid="{08380C6A-DB9E-4938-91C8-B9EC53A182EC}" name="Column14121"/>
    <tableColumn id="14149" xr3:uid="{43AA72DA-5F0C-49DB-B4E0-4B8040D02882}" name="Column14122"/>
    <tableColumn id="14150" xr3:uid="{A8F60D6E-F457-4EEC-BB4E-E287DA2D8B13}" name="Column14123"/>
    <tableColumn id="14151" xr3:uid="{60AFED8B-02CE-468A-9C01-142573727747}" name="Column14124"/>
    <tableColumn id="14152" xr3:uid="{A0C3253E-1E53-463B-AC56-6BB5013EE0C2}" name="Column14125"/>
    <tableColumn id="14153" xr3:uid="{BA192AF1-083B-45B8-B30B-F974729194E5}" name="Column14126"/>
    <tableColumn id="14154" xr3:uid="{C83DD84C-C01C-4BB4-8DD5-B1CAD058B697}" name="Column14127"/>
    <tableColumn id="14155" xr3:uid="{7F03787C-C4B5-4FA3-9FF7-428AE9A2AF4E}" name="Column14128"/>
    <tableColumn id="14156" xr3:uid="{32932CC7-18FD-4C73-BBF8-38596B410B63}" name="Column14129"/>
    <tableColumn id="14157" xr3:uid="{5535A7BC-38A1-4F05-91FD-AC8E272E0D5D}" name="Column14130"/>
    <tableColumn id="14158" xr3:uid="{358984B4-32E9-4F2A-8425-49CAF4095B11}" name="Column14131"/>
    <tableColumn id="14159" xr3:uid="{2D0F5961-A297-4CC9-9B66-75A1C9C1A030}" name="Column14132"/>
    <tableColumn id="14160" xr3:uid="{31901EBD-ED5D-42C7-9F6F-0262F94370C6}" name="Column14133"/>
    <tableColumn id="14161" xr3:uid="{C4B0F931-EB7D-4B94-98E5-D82C1DF2EE0A}" name="Column14134"/>
    <tableColumn id="14162" xr3:uid="{6F52FB0D-8797-46CC-AC50-7DC6566F5CFE}" name="Column14135"/>
    <tableColumn id="14163" xr3:uid="{D92060B5-CE1A-4B82-BD9F-413B716CA53B}" name="Column14136"/>
    <tableColumn id="14164" xr3:uid="{B3506E51-7FEF-4FC2-AD4D-6CD54F1696F0}" name="Column14137"/>
    <tableColumn id="14165" xr3:uid="{50547780-FD14-4856-82DD-FD20D526D543}" name="Column14138"/>
    <tableColumn id="14166" xr3:uid="{E07301EF-6097-40DF-AB80-02F392A3998B}" name="Column14139"/>
    <tableColumn id="14167" xr3:uid="{55629AEE-144C-4A1E-802D-EA1E105324C4}" name="Column14140"/>
    <tableColumn id="14168" xr3:uid="{A8F6750C-1E7C-4D03-96B8-B067DA0166D3}" name="Column14141"/>
    <tableColumn id="14169" xr3:uid="{E4F7DC4F-C23E-4863-BF4B-0D773CD35193}" name="Column14142"/>
    <tableColumn id="14170" xr3:uid="{2A354171-7769-450E-8DC8-18DDA1F04B2E}" name="Column14143"/>
    <tableColumn id="14171" xr3:uid="{3C68543F-1A51-449F-9E82-AFD39183716D}" name="Column14144"/>
    <tableColumn id="14172" xr3:uid="{93052E24-98F7-435C-8C66-0A3653E64859}" name="Column14145"/>
    <tableColumn id="14173" xr3:uid="{24871214-ABCC-4805-95E6-6724B3F7E5B2}" name="Column14146"/>
    <tableColumn id="14174" xr3:uid="{FF563F80-1EA5-4D32-B50B-E19E7C2C4EFF}" name="Column14147"/>
    <tableColumn id="14175" xr3:uid="{8FAAFB41-6AC5-44EB-8BCE-4779B5F884B1}" name="Column14148"/>
    <tableColumn id="14176" xr3:uid="{D27081FE-3B8A-42B2-A732-C1A7EBC3E163}" name="Column14149"/>
    <tableColumn id="14177" xr3:uid="{FF3625A3-146F-44C5-8436-E0B8EAB1BE0E}" name="Column14150"/>
    <tableColumn id="14178" xr3:uid="{3A4C5FF3-5739-4490-8E3B-7A1169BB61E6}" name="Column14151"/>
    <tableColumn id="14179" xr3:uid="{09CD0502-37E9-4E05-884F-2D1A1026F6B2}" name="Column14152"/>
    <tableColumn id="14180" xr3:uid="{1A9714DB-B01C-4304-B227-4A34D6B9760E}" name="Column14153"/>
    <tableColumn id="14181" xr3:uid="{E4BFA05B-EE80-4710-9E8A-E06B0B3DD04B}" name="Column14154"/>
    <tableColumn id="14182" xr3:uid="{563DAEB6-59AF-42A9-A44C-F4F488DBA3FC}" name="Column14155"/>
    <tableColumn id="14183" xr3:uid="{4DFCF1A6-1052-49BA-851E-142C7B8C0DC7}" name="Column14156"/>
    <tableColumn id="14184" xr3:uid="{6DBBAA64-F784-4C2D-AC36-C81E313758FF}" name="Column14157"/>
    <tableColumn id="14185" xr3:uid="{AEC2E375-991B-4C9C-8FA5-18017F96F3A2}" name="Column14158"/>
    <tableColumn id="14186" xr3:uid="{E3574EB9-7FFC-4880-BBFA-F510CA647EE9}" name="Column14159"/>
    <tableColumn id="14187" xr3:uid="{03533595-70D4-4605-9FD0-8FBAC7FDCC4F}" name="Column14160"/>
    <tableColumn id="14188" xr3:uid="{2FE2A61B-867A-4BCE-9E6E-B8182D93E282}" name="Column14161"/>
    <tableColumn id="14189" xr3:uid="{0766A049-DB44-410B-88A6-F103B63077FA}" name="Column14162"/>
    <tableColumn id="14190" xr3:uid="{EA3CEF72-7EF6-4D2B-BFA5-85592E35B4AF}" name="Column14163"/>
    <tableColumn id="14191" xr3:uid="{5B82D3DA-F499-4326-8F1E-5FF9F2FC7859}" name="Column14164"/>
    <tableColumn id="14192" xr3:uid="{EF7E6DC8-6935-4906-BBA7-80BF7C5A1C70}" name="Column14165"/>
    <tableColumn id="14193" xr3:uid="{349409B9-1F53-47DF-9C0C-689D7BB54D85}" name="Column14166"/>
    <tableColumn id="14194" xr3:uid="{BA9D07FB-11D3-41B7-A202-7916D63A325F}" name="Column14167"/>
    <tableColumn id="14195" xr3:uid="{A3FD8A51-980B-4202-BE66-35489670B7E5}" name="Column14168"/>
    <tableColumn id="14196" xr3:uid="{DD506BE8-83FF-4E4F-9DD6-78662A31054D}" name="Column14169"/>
    <tableColumn id="14197" xr3:uid="{1528A3C7-FBB8-40E7-9E1D-4A8DF210C721}" name="Column14170"/>
    <tableColumn id="14198" xr3:uid="{D2296743-BBBD-4077-A43D-386993D92E87}" name="Column14171"/>
    <tableColumn id="14199" xr3:uid="{8C18B7F9-F8FA-4BB6-A786-BEB7E29009E7}" name="Column14172"/>
    <tableColumn id="14200" xr3:uid="{89142474-6C31-40B7-BA72-379051C0B095}" name="Column14173"/>
    <tableColumn id="14201" xr3:uid="{2F808564-B7F8-4994-AB5A-F06AC3663E4A}" name="Column14174"/>
    <tableColumn id="14202" xr3:uid="{C54F9210-795A-4657-976F-C49D08A388BD}" name="Column14175"/>
    <tableColumn id="14203" xr3:uid="{B7094E21-7273-4EDE-ACB3-925D27654FED}" name="Column14176"/>
    <tableColumn id="14204" xr3:uid="{5924822F-B7CB-4094-B59E-49421AAD7C6E}" name="Column14177"/>
    <tableColumn id="14205" xr3:uid="{68F9A787-F331-49A2-8C86-992DD2980748}" name="Column14178"/>
    <tableColumn id="14206" xr3:uid="{E972A867-16FB-4EF5-905C-70916BE431CF}" name="Column14179"/>
    <tableColumn id="14207" xr3:uid="{CBA29393-6602-4804-BDE7-54EA68C6A407}" name="Column14180"/>
    <tableColumn id="14208" xr3:uid="{AB137A4E-6B5A-4403-A273-7550DD382B78}" name="Column14181"/>
    <tableColumn id="14209" xr3:uid="{522B9148-5528-4424-BB44-CBF5D70A892A}" name="Column14182"/>
    <tableColumn id="14210" xr3:uid="{CA5896BE-9C4F-4990-B277-BE7364D246EE}" name="Column14183"/>
    <tableColumn id="14211" xr3:uid="{C27F350B-D069-4122-8CB6-B8F33CCACEE0}" name="Column14184"/>
    <tableColumn id="14212" xr3:uid="{8DB391E7-EC08-48C2-9610-030A15E16A85}" name="Column14185"/>
    <tableColumn id="14213" xr3:uid="{C7BF08A4-E18F-4293-8B2D-164D7BB6DE83}" name="Column14186"/>
    <tableColumn id="14214" xr3:uid="{6528EBCD-08F7-472D-BC52-C743661D85A6}" name="Column14187"/>
    <tableColumn id="14215" xr3:uid="{A302CB04-ECF4-4120-BD0A-6ED6902DC720}" name="Column14188"/>
    <tableColumn id="14216" xr3:uid="{04730D05-5819-467F-B8CA-6B4C2A80AF45}" name="Column14189"/>
    <tableColumn id="14217" xr3:uid="{1344D3EF-96F0-4076-AE68-E599D251679C}" name="Column14190"/>
    <tableColumn id="14218" xr3:uid="{DBCCD4B7-A10C-4A38-8E77-9F2DA193C183}" name="Column14191"/>
    <tableColumn id="14219" xr3:uid="{E8D23169-0B6A-4B48-9C88-B8DE9B6784B1}" name="Column14192"/>
    <tableColumn id="14220" xr3:uid="{F40BA36B-72EB-435F-B606-6BF1101C6072}" name="Column14193"/>
    <tableColumn id="14221" xr3:uid="{B17CA6B2-32CA-433B-8D27-F39B4A3A67B3}" name="Column14194"/>
    <tableColumn id="14222" xr3:uid="{AA2013E8-E20B-4487-AFE8-C70AF53FBB46}" name="Column14195"/>
    <tableColumn id="14223" xr3:uid="{9EDF6735-60C0-45F1-BF94-F9FFBE56D5DD}" name="Column14196"/>
    <tableColumn id="14224" xr3:uid="{3EFA968B-B869-4D2B-80F4-47B5E9ACC0AB}" name="Column14197"/>
    <tableColumn id="14225" xr3:uid="{699CC4A1-AAA0-4253-86F4-C322C64EC908}" name="Column14198"/>
    <tableColumn id="14226" xr3:uid="{F65E5FBF-72A3-45DF-A360-93E62DCDEE36}" name="Column14199"/>
    <tableColumn id="14227" xr3:uid="{3CDF75F5-7692-4ABE-9912-AA1290B8A8B0}" name="Column14200"/>
    <tableColumn id="14228" xr3:uid="{A2976708-C634-44A0-954A-62309AA22730}" name="Column14201"/>
    <tableColumn id="14229" xr3:uid="{0F5B1635-8F5F-4EBD-9E4B-3FC5203E4082}" name="Column14202"/>
    <tableColumn id="14230" xr3:uid="{15C9CD16-6466-4A7B-8147-4E13662C8069}" name="Column14203"/>
    <tableColumn id="14231" xr3:uid="{3B4DA81B-83A8-43F9-ADB7-A075A92838F9}" name="Column14204"/>
    <tableColumn id="14232" xr3:uid="{D01D3861-E00B-4C01-B18D-4FF23B312495}" name="Column14205"/>
    <tableColumn id="14233" xr3:uid="{ACA94895-1B08-48EB-9E83-4AD85BC9A4C9}" name="Column14206"/>
    <tableColumn id="14234" xr3:uid="{0DB0AB2D-6814-47BC-961E-0F97168E71BB}" name="Column14207"/>
    <tableColumn id="14235" xr3:uid="{1149A92B-DEE7-48A0-A792-753C15CBD8E6}" name="Column14208"/>
    <tableColumn id="14236" xr3:uid="{D82E5462-B961-4446-BDE1-71234EE6EC10}" name="Column14209"/>
    <tableColumn id="14237" xr3:uid="{26584296-DCEB-4C00-8910-B19BBD372AE8}" name="Column14210"/>
    <tableColumn id="14238" xr3:uid="{A862BF44-7EC0-49C5-9603-9F9393BDDDD0}" name="Column14211"/>
    <tableColumn id="14239" xr3:uid="{1F124BFC-3ECF-4445-8B68-20E182642739}" name="Column14212"/>
    <tableColumn id="14240" xr3:uid="{F2ED8A23-5F3D-4D73-BD92-78E0279C0675}" name="Column14213"/>
    <tableColumn id="14241" xr3:uid="{E3F2D013-E321-4C0E-A929-0951C41045C2}" name="Column14214"/>
    <tableColumn id="14242" xr3:uid="{FE518A11-6B74-421F-A66A-A2C8A6DEF07E}" name="Column14215"/>
    <tableColumn id="14243" xr3:uid="{CE739C0B-1725-478A-A937-0224E7F54777}" name="Column14216"/>
    <tableColumn id="14244" xr3:uid="{2616770E-1B72-47F0-BC3A-591DF7012AE1}" name="Column14217"/>
    <tableColumn id="14245" xr3:uid="{88A17F8B-FBCD-460E-A1A9-A72FA65AD92A}" name="Column14218"/>
    <tableColumn id="14246" xr3:uid="{901934CA-E8C1-4F52-BBB0-583CB542B899}" name="Column14219"/>
    <tableColumn id="14247" xr3:uid="{3A882EA0-6901-4BB5-9B49-C31319D77568}" name="Column14220"/>
    <tableColumn id="14248" xr3:uid="{EDEA70BA-430D-4C11-ACE1-BF852ABB96F4}" name="Column14221"/>
    <tableColumn id="14249" xr3:uid="{C8ACC003-3E9D-43EE-9ACF-9D139628007E}" name="Column14222"/>
    <tableColumn id="14250" xr3:uid="{16996DE3-FE57-476D-AC33-AD0A320B2597}" name="Column14223"/>
    <tableColumn id="14251" xr3:uid="{A5257C6C-4C31-445D-B2B6-4E14F5B99ECD}" name="Column14224"/>
    <tableColumn id="14252" xr3:uid="{1732EBB0-5B1D-482C-9507-14C889557EBB}" name="Column14225"/>
    <tableColumn id="14253" xr3:uid="{CCC864E2-8B82-473C-998F-C99618AA8EDD}" name="Column14226"/>
    <tableColumn id="14254" xr3:uid="{FBB78036-324C-4BBC-A1F5-26AE4679C3C6}" name="Column14227"/>
    <tableColumn id="14255" xr3:uid="{DC4BBF00-E3E3-4784-A4E8-4E4F25B471F9}" name="Column14228"/>
    <tableColumn id="14256" xr3:uid="{C7F4FCE4-A153-4C6E-9645-43605F4DBBFB}" name="Column14229"/>
    <tableColumn id="14257" xr3:uid="{F61D5469-F109-4BC3-8088-9ECAEF4BF223}" name="Column14230"/>
    <tableColumn id="14258" xr3:uid="{BA73E8C5-E09E-4319-AA9C-D47BD220A683}" name="Column14231"/>
    <tableColumn id="14259" xr3:uid="{20E296F9-53CB-4209-89E3-E3418B1B90C2}" name="Column14232"/>
    <tableColumn id="14260" xr3:uid="{DFD938DE-E159-4E86-9C14-0FC100FB3A5C}" name="Column14233"/>
    <tableColumn id="14261" xr3:uid="{BDF12ABE-995B-42F2-AC3B-8BFE75A468DC}" name="Column14234"/>
    <tableColumn id="14262" xr3:uid="{221212C3-4B92-4803-B285-57859B592764}" name="Column14235"/>
    <tableColumn id="14263" xr3:uid="{56E39796-E8C6-43F4-9CA1-F5D51CD842A8}" name="Column14236"/>
    <tableColumn id="14264" xr3:uid="{1CDB0D1A-B0B3-46D7-9700-49775FAD6564}" name="Column14237"/>
    <tableColumn id="14265" xr3:uid="{363BB3ED-4F17-4CF3-BC62-410E11651110}" name="Column14238"/>
    <tableColumn id="14266" xr3:uid="{DECFBF6C-70B5-41D4-876D-467822A5263A}" name="Column14239"/>
    <tableColumn id="14267" xr3:uid="{B84C7CE9-00DF-4A45-97F6-9CA9C339064E}" name="Column14240"/>
    <tableColumn id="14268" xr3:uid="{90AC8950-23FB-4DDA-B165-DB35AF065A5A}" name="Column14241"/>
    <tableColumn id="14269" xr3:uid="{2E60DCB7-324D-49E4-811F-DC42BD65DEFD}" name="Column14242"/>
    <tableColumn id="14270" xr3:uid="{9F0F427F-6ADE-41D2-8541-0A0EF18C18BC}" name="Column14243"/>
    <tableColumn id="14271" xr3:uid="{59D24F94-3C2D-4B00-9175-A50A77C555FC}" name="Column14244"/>
    <tableColumn id="14272" xr3:uid="{D468FF2B-5006-4A6E-8BEA-8CF2E56D6C91}" name="Column14245"/>
    <tableColumn id="14273" xr3:uid="{4FD8DC33-CF92-4429-8ACF-F986916DF4C9}" name="Column14246"/>
    <tableColumn id="14274" xr3:uid="{B2D3B67F-7CD3-4CB9-9299-5FC8C71DA404}" name="Column14247"/>
    <tableColumn id="14275" xr3:uid="{C06D783E-0A43-4CA2-A64E-0CF00E5B915A}" name="Column14248"/>
    <tableColumn id="14276" xr3:uid="{E4B7404E-B7F2-4507-A422-A781D65CFCA7}" name="Column14249"/>
    <tableColumn id="14277" xr3:uid="{4C38FB66-60C9-437B-AB05-BB5EBAA23F31}" name="Column14250"/>
    <tableColumn id="14278" xr3:uid="{04E03312-BB29-4214-8527-C6B0510C291E}" name="Column14251"/>
    <tableColumn id="14279" xr3:uid="{E00FF4D0-55B9-4D93-B8EA-42D6BDC7B115}" name="Column14252"/>
    <tableColumn id="14280" xr3:uid="{7D13D2CC-D036-44A1-BB9E-CDC0E484816D}" name="Column14253"/>
    <tableColumn id="14281" xr3:uid="{75F0CF73-6842-4AEC-9A35-8F36AB3674FD}" name="Column14254"/>
    <tableColumn id="14282" xr3:uid="{0C3F098F-9816-431F-B3D0-BF8C463C540E}" name="Column14255"/>
    <tableColumn id="14283" xr3:uid="{53A37517-FFEB-4254-B6DF-4DCBFF8661ED}" name="Column14256"/>
    <tableColumn id="14284" xr3:uid="{6A173919-32A2-4DB0-823E-3A5757473F99}" name="Column14257"/>
    <tableColumn id="14285" xr3:uid="{D44E5DE3-C7CA-4A14-9569-49AB846D64DA}" name="Column14258"/>
    <tableColumn id="14286" xr3:uid="{87343486-D524-44D2-A769-A554BEF69300}" name="Column14259"/>
    <tableColumn id="14287" xr3:uid="{4D3E4871-2A93-4B2D-9B38-DCAC95E2377C}" name="Column14260"/>
    <tableColumn id="14288" xr3:uid="{75CD0254-0683-4FBF-B3EE-F42723FB865D}" name="Column14261"/>
    <tableColumn id="14289" xr3:uid="{DACD2B76-D527-4B42-AFB5-71C89670E66C}" name="Column14262"/>
    <tableColumn id="14290" xr3:uid="{3F86A0A4-D904-4448-8AD4-253F339BEFF5}" name="Column14263"/>
    <tableColumn id="14291" xr3:uid="{9F238F10-928D-44F9-A1BF-DB2B94C2CC2D}" name="Column14264"/>
    <tableColumn id="14292" xr3:uid="{87616C8C-E272-4206-9833-6DA609F4875F}" name="Column14265"/>
    <tableColumn id="14293" xr3:uid="{536D1200-3729-4C19-A4D9-7DF5617A3919}" name="Column14266"/>
    <tableColumn id="14294" xr3:uid="{ACAA77E1-F1C6-4DB6-BD03-875D97277338}" name="Column14267"/>
    <tableColumn id="14295" xr3:uid="{927C3823-5CCB-495D-8020-660B7186800F}" name="Column14268"/>
    <tableColumn id="14296" xr3:uid="{D46DA9D6-C883-48C1-8539-6EF9637037B7}" name="Column14269"/>
    <tableColumn id="14297" xr3:uid="{AB0FDACE-CE38-479B-A305-FA5263049860}" name="Column14270"/>
    <tableColumn id="14298" xr3:uid="{3F79A8BB-D1B7-4DD0-9ADF-B37851F6D964}" name="Column14271"/>
    <tableColumn id="14299" xr3:uid="{0CC9BE54-2A0B-4C7D-916D-708C2D12191E}" name="Column14272"/>
    <tableColumn id="14300" xr3:uid="{8ED96AE6-CE60-48A2-99C6-332D2B7775C6}" name="Column14273"/>
    <tableColumn id="14301" xr3:uid="{43303C63-B223-4E4B-9100-56B6335EA92A}" name="Column14274"/>
    <tableColumn id="14302" xr3:uid="{C8E54DD0-54C1-410A-A11E-D84A831101E0}" name="Column14275"/>
    <tableColumn id="14303" xr3:uid="{E4685D2B-7842-4288-9954-E4ACDA20DEF9}" name="Column14276"/>
    <tableColumn id="14304" xr3:uid="{8A97BF48-A722-4930-9B80-F69CF38CCB85}" name="Column14277"/>
    <tableColumn id="14305" xr3:uid="{618F8CD8-8E91-4FE7-B58F-D5A5A043500C}" name="Column14278"/>
    <tableColumn id="14306" xr3:uid="{752C1FDB-FAE5-49EA-911C-295E0A86EB17}" name="Column14279"/>
    <tableColumn id="14307" xr3:uid="{3CAC0367-87AE-4317-8FA4-7B2DBACACD7C}" name="Column14280"/>
    <tableColumn id="14308" xr3:uid="{9FA89F22-56A6-4C62-95E0-B2490A7B6E36}" name="Column14281"/>
    <tableColumn id="14309" xr3:uid="{7F517DC6-809C-4D51-A204-58274CB49F4B}" name="Column14282"/>
    <tableColumn id="14310" xr3:uid="{E9F4A411-2657-48DC-B1FC-1B602DE6CAA0}" name="Column14283"/>
    <tableColumn id="14311" xr3:uid="{6B890838-41B6-462B-A148-9ECB72DC9618}" name="Column14284"/>
    <tableColumn id="14312" xr3:uid="{8652AD5E-61AC-4E3E-86EA-405D016DAB13}" name="Column14285"/>
    <tableColumn id="14313" xr3:uid="{377818AA-56F5-4082-9035-39CA75CE396C}" name="Column14286"/>
    <tableColumn id="14314" xr3:uid="{A4E887EC-8944-47FA-87DD-1032357CBB67}" name="Column14287"/>
    <tableColumn id="14315" xr3:uid="{DC381B9B-3AA7-4291-987A-BD803F1C4931}" name="Column14288"/>
    <tableColumn id="14316" xr3:uid="{9A5D4CF2-B617-4902-9ADE-38A5FA93B31D}" name="Column14289"/>
    <tableColumn id="14317" xr3:uid="{E571A70A-84BB-4F65-860C-14C40DED4920}" name="Column14290"/>
    <tableColumn id="14318" xr3:uid="{9F5B74FD-69C7-47AF-9B44-6ED689982D52}" name="Column14291"/>
    <tableColumn id="14319" xr3:uid="{318EF20D-DE9F-48F8-AE22-3A1789E76D44}" name="Column14292"/>
    <tableColumn id="14320" xr3:uid="{39663516-27B6-4FA8-90BA-2474058D8DBF}" name="Column14293"/>
    <tableColumn id="14321" xr3:uid="{F176309E-CE0A-4FC5-A441-3E7C52057FE8}" name="Column14294"/>
    <tableColumn id="14322" xr3:uid="{1EA0A77A-9E31-41BE-AD98-AAC083D2CC55}" name="Column14295"/>
    <tableColumn id="14323" xr3:uid="{3E660D21-4F25-4787-A229-4A135681C6BB}" name="Column14296"/>
    <tableColumn id="14324" xr3:uid="{82D7F69C-223E-40C2-B01A-256FFF45AA7E}" name="Column14297"/>
    <tableColumn id="14325" xr3:uid="{CCD27700-8844-40EB-93B5-5E228D8BFD3F}" name="Column14298"/>
    <tableColumn id="14326" xr3:uid="{D1D2DCA0-CAD6-4D48-9AA3-E0DE775A7900}" name="Column14299"/>
    <tableColumn id="14327" xr3:uid="{BB59DD9F-52AF-4624-BC75-62D1BAB9F5BE}" name="Column14300"/>
    <tableColumn id="14328" xr3:uid="{EDBBC98F-6777-449B-B9A1-E26C8BEAF69C}" name="Column14301"/>
    <tableColumn id="14329" xr3:uid="{D2234279-FE6A-4915-A20C-B3D822001C3B}" name="Column14302"/>
    <tableColumn id="14330" xr3:uid="{02A73CBD-939B-4C9F-B921-5AC1FF7B3D70}" name="Column14303"/>
    <tableColumn id="14331" xr3:uid="{DB364844-569F-42DF-A1CE-10DA7420AD06}" name="Column14304"/>
    <tableColumn id="14332" xr3:uid="{F0EF8C0F-1E13-4DEC-9D7F-A5E0EB24AB9C}" name="Column14305"/>
    <tableColumn id="14333" xr3:uid="{1B72747B-6C25-4582-B821-A11D92E844F3}" name="Column14306"/>
    <tableColumn id="14334" xr3:uid="{C2367652-425B-44DF-8C84-A490A2A8D462}" name="Column14307"/>
    <tableColumn id="14335" xr3:uid="{0D2BD4F5-0AA2-45C7-806C-A5627C6BAF54}" name="Column14308"/>
    <tableColumn id="14336" xr3:uid="{2D65E957-2D60-49F4-A1A5-7D392688D865}" name="Column14309"/>
    <tableColumn id="14337" xr3:uid="{87323A68-159E-49CF-9B88-9D641EBD8A8D}" name="Column14310"/>
    <tableColumn id="14338" xr3:uid="{D69C25F3-22A7-484E-A1A7-5F6EC1115D13}" name="Column14311"/>
    <tableColumn id="14339" xr3:uid="{93163090-8FB3-4F48-AD71-7F5974920A54}" name="Column14312"/>
    <tableColumn id="14340" xr3:uid="{0B1DECC7-F8FE-4B57-A01F-4BD248286B98}" name="Column14313"/>
    <tableColumn id="14341" xr3:uid="{F1C0ACA9-4F20-4259-9F37-F83918DEF067}" name="Column14314"/>
    <tableColumn id="14342" xr3:uid="{2A31B58E-24D0-42B2-AE0F-DD9AD7C6B937}" name="Column14315"/>
    <tableColumn id="14343" xr3:uid="{D2162795-727E-4848-ADA5-45EC20F0026D}" name="Column14316"/>
    <tableColumn id="14344" xr3:uid="{3972C55F-CFB6-478E-A660-34BC00EE6F63}" name="Column14317"/>
    <tableColumn id="14345" xr3:uid="{BBCB3383-25DF-4941-BA80-45B09D55A1CB}" name="Column14318"/>
    <tableColumn id="14346" xr3:uid="{E7421324-E476-4799-9071-ECC18980D75C}" name="Column14319"/>
    <tableColumn id="14347" xr3:uid="{E3F9815F-A8F7-48DA-8DDC-CFD2E9689566}" name="Column14320"/>
    <tableColumn id="14348" xr3:uid="{8646AA43-A804-4D37-B083-BCDD4FAEC6BA}" name="Column14321"/>
    <tableColumn id="14349" xr3:uid="{35B9F7E9-7D89-4329-923A-85E7B6243A3B}" name="Column14322"/>
    <tableColumn id="14350" xr3:uid="{C4B5FA6E-41E4-4035-B4FA-33F9B3AC41A5}" name="Column14323"/>
    <tableColumn id="14351" xr3:uid="{BB53AA7C-1BC1-4F65-96BF-60A620C1ADA8}" name="Column14324"/>
    <tableColumn id="14352" xr3:uid="{9CDC3C68-00C3-4E05-9D3C-F56DBB5CDBE4}" name="Column14325"/>
    <tableColumn id="14353" xr3:uid="{4FC10B3D-967E-4D26-9C6F-37019EF7CA01}" name="Column14326"/>
    <tableColumn id="14354" xr3:uid="{A083A16D-53AA-4764-83AA-64AA888F7246}" name="Column14327"/>
    <tableColumn id="14355" xr3:uid="{8666CB20-94B2-459D-8381-2C6E1D60B0D0}" name="Column14328"/>
    <tableColumn id="14356" xr3:uid="{AFE4F093-2CDD-4DBF-85A3-ABB8AF050086}" name="Column14329"/>
    <tableColumn id="14357" xr3:uid="{DB567D0B-16DE-4D0D-AD48-19B58B36E37B}" name="Column14330"/>
    <tableColumn id="14358" xr3:uid="{8F4250F3-6CDF-4B3A-A7A8-46E359ACF195}" name="Column14331"/>
    <tableColumn id="14359" xr3:uid="{0E4A0119-5B8B-412F-909E-4EC23995E93C}" name="Column14332"/>
    <tableColumn id="14360" xr3:uid="{86245939-95EB-431A-971C-67FA3465A516}" name="Column14333"/>
    <tableColumn id="14361" xr3:uid="{D17DB065-A9FE-4CE8-8A04-96E6C6296471}" name="Column14334"/>
    <tableColumn id="14362" xr3:uid="{28E38E04-131F-4BCB-9D75-7F1CB00AB85D}" name="Column14335"/>
    <tableColumn id="14363" xr3:uid="{8841B68A-C8CA-4E6E-98DC-88287C3D83CB}" name="Column14336"/>
    <tableColumn id="14364" xr3:uid="{CAAD6469-B650-4224-BC42-ADAFC9CB9D14}" name="Column14337"/>
    <tableColumn id="14365" xr3:uid="{69DD6FCC-894E-451C-AD41-EE25168930A9}" name="Column14338"/>
    <tableColumn id="14366" xr3:uid="{44A72C68-9CB4-4BED-8AF1-6697B2BEE58D}" name="Column14339"/>
    <tableColumn id="14367" xr3:uid="{BC5758A3-903B-47BD-8C13-5A44E2CC0176}" name="Column14340"/>
    <tableColumn id="14368" xr3:uid="{93A4F4FA-396F-4A01-BFAC-64B22892FE76}" name="Column14341"/>
    <tableColumn id="14369" xr3:uid="{B39BA0EC-EC07-4F23-B1ED-FF3EF6B713B3}" name="Column14342"/>
    <tableColumn id="14370" xr3:uid="{77C1053A-73EA-40A0-8A1C-A4A7770E59B3}" name="Column14343"/>
    <tableColumn id="14371" xr3:uid="{F8FE9AFB-632B-44ED-AE88-0D4066C051BA}" name="Column14344"/>
    <tableColumn id="14372" xr3:uid="{8169223F-20B3-4236-9D97-CA8AC3EDE179}" name="Column14345"/>
    <tableColumn id="14373" xr3:uid="{7F01633A-5020-4600-AF93-7C5ABF8E87A6}" name="Column14346"/>
    <tableColumn id="14374" xr3:uid="{C0EE565A-556C-466F-A2A3-EB92B41E0AD5}" name="Column14347"/>
    <tableColumn id="14375" xr3:uid="{3C397782-7583-42A7-824D-35FB43B27CFB}" name="Column14348"/>
    <tableColumn id="14376" xr3:uid="{DC507676-78F5-42E0-AD47-DE707614E7E6}" name="Column14349"/>
    <tableColumn id="14377" xr3:uid="{93B81B3B-A065-4699-B7D8-B211344739D0}" name="Column14350"/>
    <tableColumn id="14378" xr3:uid="{257262BC-878C-4FEA-8E72-1793BB20AE2C}" name="Column14351"/>
    <tableColumn id="14379" xr3:uid="{F47E9188-907C-4E65-9B1B-120348CC3867}" name="Column14352"/>
    <tableColumn id="14380" xr3:uid="{9E3A0F3A-9D9E-4A6D-88AE-B22D232D6390}" name="Column14353"/>
    <tableColumn id="14381" xr3:uid="{00EFA343-8A47-4336-8E2A-FEDCC5A4E1ED}" name="Column14354"/>
    <tableColumn id="14382" xr3:uid="{AFF77F7F-0918-4BD3-8FB1-E947678A80FC}" name="Column14355"/>
    <tableColumn id="14383" xr3:uid="{C2B40F40-31D9-4FA6-8CCA-F83CC65B0649}" name="Column14356"/>
    <tableColumn id="14384" xr3:uid="{499B99A9-27F9-4E79-9BEF-9844FD7C68F5}" name="Column14357"/>
    <tableColumn id="14385" xr3:uid="{8818DF7C-E4A2-4259-8059-C7AF0B21A3FD}" name="Column14358"/>
    <tableColumn id="14386" xr3:uid="{4DF989BE-E5A1-4D93-A45C-A3788D24095D}" name="Column14359"/>
    <tableColumn id="14387" xr3:uid="{F86BA792-8C49-477B-BE9E-0554D8B9EC38}" name="Column14360"/>
    <tableColumn id="14388" xr3:uid="{1571C0EA-E436-4D89-B1CE-032D64FD78AB}" name="Column14361"/>
    <tableColumn id="14389" xr3:uid="{8AE7E526-1D3F-4325-9214-190B95864136}" name="Column14362"/>
    <tableColumn id="14390" xr3:uid="{8D2E3BD4-F2CE-4849-A1BE-DF58E2C988B2}" name="Column14363"/>
    <tableColumn id="14391" xr3:uid="{58DBAC9E-B980-4604-A008-EA37DCD48F6B}" name="Column14364"/>
    <tableColumn id="14392" xr3:uid="{F83AFD96-255E-4150-8204-4AFC4B4483F5}" name="Column14365"/>
    <tableColumn id="14393" xr3:uid="{DAB814DE-8BB7-4853-B01B-F65999227DF6}" name="Column14366"/>
    <tableColumn id="14394" xr3:uid="{C97FD5D4-409C-4FE9-B286-1C5AF3A02BAB}" name="Column14367"/>
    <tableColumn id="14395" xr3:uid="{423D97B7-4384-4D0C-B54A-879E3849D417}" name="Column14368"/>
    <tableColumn id="14396" xr3:uid="{901B576B-45BA-4B8E-9609-348E0DCB5391}" name="Column14369"/>
    <tableColumn id="14397" xr3:uid="{AAFEE968-F781-43B4-A135-FBE3CFBD5381}" name="Column14370"/>
    <tableColumn id="14398" xr3:uid="{AB4046AC-F0C0-4914-BF86-0E3BCED2B260}" name="Column14371"/>
    <tableColumn id="14399" xr3:uid="{89D6AF14-B0D7-402D-9240-EEF92DB0F511}" name="Column14372"/>
    <tableColumn id="14400" xr3:uid="{995B2046-90F5-4177-B607-E3644D27194B}" name="Column14373"/>
    <tableColumn id="14401" xr3:uid="{C8D99BD9-B123-47F4-BE48-173F711B80F8}" name="Column14374"/>
    <tableColumn id="14402" xr3:uid="{A7773E97-7561-4FE7-97E5-F7B35DB8992B}" name="Column14375"/>
    <tableColumn id="14403" xr3:uid="{23CFB271-0384-4463-9D07-A2472597B4B8}" name="Column14376"/>
    <tableColumn id="14404" xr3:uid="{F12070A2-96EF-4154-92E7-45893088CAF6}" name="Column14377"/>
    <tableColumn id="14405" xr3:uid="{E9478EE7-7D8B-4095-BAF6-5F4D3F82B48A}" name="Column14378"/>
    <tableColumn id="14406" xr3:uid="{9B3D03AC-A874-41B9-B601-11395D00765B}" name="Column14379"/>
    <tableColumn id="14407" xr3:uid="{B7B3C331-44F5-4868-AADF-05472F30F556}" name="Column14380"/>
    <tableColumn id="14408" xr3:uid="{D4564C63-0C80-4C3D-B2FF-AF8E5DE00CBE}" name="Column14381"/>
    <tableColumn id="14409" xr3:uid="{EB42C310-E331-492F-8199-209CABC0FB34}" name="Column14382"/>
    <tableColumn id="14410" xr3:uid="{F9E435C8-36B0-4099-B71D-EED15A3EBA55}" name="Column14383"/>
    <tableColumn id="14411" xr3:uid="{4C692562-9881-4E5E-8064-9A797DD29BBD}" name="Column14384"/>
    <tableColumn id="14412" xr3:uid="{B82F10F8-AA78-4E83-874D-7ADA5EDEB9C4}" name="Column14385"/>
    <tableColumn id="14413" xr3:uid="{37D6EEF2-DD3C-4EA3-9CFC-D2ED51EE1D70}" name="Column14386"/>
    <tableColumn id="14414" xr3:uid="{52347FE0-4067-412F-9D78-920BFEE1F37D}" name="Column14387"/>
    <tableColumn id="14415" xr3:uid="{EA166B50-B21B-4B9F-9D13-12020EE4AB13}" name="Column14388"/>
    <tableColumn id="14416" xr3:uid="{805128B1-0657-43EB-AC01-FF4761C2FE99}" name="Column14389"/>
    <tableColumn id="14417" xr3:uid="{EE511372-4BC6-466F-9FD3-38460D97FC56}" name="Column14390"/>
    <tableColumn id="14418" xr3:uid="{187C21C7-DEED-41D4-8F2A-270CE7AD000E}" name="Column14391"/>
    <tableColumn id="14419" xr3:uid="{046DC721-17BF-4F3B-8FBF-D3BE14E7BD6D}" name="Column14392"/>
    <tableColumn id="14420" xr3:uid="{DC52B4A0-FDA3-49BF-ADE8-986440B96A38}" name="Column14393"/>
    <tableColumn id="14421" xr3:uid="{3A7D184E-4D76-4779-822A-83AC8497052B}" name="Column14394"/>
    <tableColumn id="14422" xr3:uid="{4D4981BC-E457-4BE4-955F-5E643A34ADB9}" name="Column14395"/>
    <tableColumn id="14423" xr3:uid="{4580DCB5-379D-4BB0-BEB8-DE580904264F}" name="Column14396"/>
    <tableColumn id="14424" xr3:uid="{29ACB170-ED5A-4873-AAC6-AFF93E554DAC}" name="Column14397"/>
    <tableColumn id="14425" xr3:uid="{3095E043-CE22-4DAA-AB6E-3AA890E00853}" name="Column14398"/>
    <tableColumn id="14426" xr3:uid="{5FAEA011-2A4A-47F9-9044-78D42DD2AC5C}" name="Column14399"/>
    <tableColumn id="14427" xr3:uid="{88886FE2-4465-4D03-B188-C94A279070B7}" name="Column14400"/>
    <tableColumn id="14428" xr3:uid="{6AC11D7B-D7C6-4B0F-AC86-984AF1F41521}" name="Column14401"/>
    <tableColumn id="14429" xr3:uid="{77EE6DBB-EA5B-4124-8336-6DC7C96B82BC}" name="Column14402"/>
    <tableColumn id="14430" xr3:uid="{2FE1F3F9-0A2E-41B8-A9F3-F3385EE3EF0D}" name="Column14403"/>
    <tableColumn id="14431" xr3:uid="{90240CE8-E0CB-4962-B49B-6C9903CEFBBF}" name="Column14404"/>
    <tableColumn id="14432" xr3:uid="{5BD59754-0408-4DF7-A755-43A3E9AC8F26}" name="Column14405"/>
    <tableColumn id="14433" xr3:uid="{3CBF28CD-30A9-47E7-9688-77CFA9BECF76}" name="Column14406"/>
    <tableColumn id="14434" xr3:uid="{05E3A531-5F60-4465-957E-085E6B199676}" name="Column14407"/>
    <tableColumn id="14435" xr3:uid="{FAB8D488-61A2-433B-84EE-9990CDF7A290}" name="Column14408"/>
    <tableColumn id="14436" xr3:uid="{F0B4A620-766A-476A-81C4-7130EF148BC0}" name="Column14409"/>
    <tableColumn id="14437" xr3:uid="{560A8FDD-24C4-4935-967C-5FCBFA7321D6}" name="Column14410"/>
    <tableColumn id="14438" xr3:uid="{3BDECA8B-416D-41D4-8EA1-90605F5989F5}" name="Column14411"/>
    <tableColumn id="14439" xr3:uid="{FE1C4A46-1B83-4F4A-ABA9-1F07CE14207F}" name="Column14412"/>
    <tableColumn id="14440" xr3:uid="{DFA7C9E5-9D9F-478D-9838-5AC168A1BB4E}" name="Column14413"/>
    <tableColumn id="14441" xr3:uid="{0C91A3C1-1B39-4628-B1F8-186EE3E77F70}" name="Column14414"/>
    <tableColumn id="14442" xr3:uid="{80675ED7-8D67-4FB9-8633-D23BF75EADAD}" name="Column14415"/>
    <tableColumn id="14443" xr3:uid="{F2985BD1-C0BD-48E6-9DCA-774FDAB3F479}" name="Column14416"/>
    <tableColumn id="14444" xr3:uid="{4A63B468-9CF8-408E-A97C-D82A48861FEB}" name="Column14417"/>
    <tableColumn id="14445" xr3:uid="{C68E6E42-A9CC-4643-9852-41A11C5D7DE6}" name="Column14418"/>
    <tableColumn id="14446" xr3:uid="{C47EDC56-245A-42BE-BE69-5A5377F1A003}" name="Column14419"/>
    <tableColumn id="14447" xr3:uid="{6C8B68EC-2B01-44F9-B688-79EFCDD52049}" name="Column14420"/>
    <tableColumn id="14448" xr3:uid="{42CC0D94-2E35-47F3-8DE7-1048B12BA8C9}" name="Column14421"/>
    <tableColumn id="14449" xr3:uid="{E4DA3F81-E51E-4641-A7B3-C4CD3918A5AA}" name="Column14422"/>
    <tableColumn id="14450" xr3:uid="{15126DF5-9640-46B2-992D-71C5642FEC58}" name="Column14423"/>
    <tableColumn id="14451" xr3:uid="{F0F7E6DF-6629-44A0-8051-E5D022F19B40}" name="Column14424"/>
    <tableColumn id="14452" xr3:uid="{98CDED26-2DBC-472D-BD26-EE2AA9A6AB36}" name="Column14425"/>
    <tableColumn id="14453" xr3:uid="{61407C52-9440-48FF-8FE6-D89FDE8716EB}" name="Column14426"/>
    <tableColumn id="14454" xr3:uid="{D77FDB2B-ED4B-4077-A200-90E781A2E318}" name="Column14427"/>
    <tableColumn id="14455" xr3:uid="{531664A3-C483-44E4-B7DB-0C9D85A2162E}" name="Column14428"/>
    <tableColumn id="14456" xr3:uid="{BA1D6C98-2C25-4770-8BA8-5E9E4F03BBEC}" name="Column14429"/>
    <tableColumn id="14457" xr3:uid="{F77E0964-ADEF-4C87-9609-490AC8FFEA15}" name="Column14430"/>
    <tableColumn id="14458" xr3:uid="{2EC7BFE2-253C-454C-8D8E-ACF5B0F50B80}" name="Column14431"/>
    <tableColumn id="14459" xr3:uid="{7D8AA6E3-092F-4BD7-841C-A0BEC23B39A1}" name="Column14432"/>
    <tableColumn id="14460" xr3:uid="{47ACE781-1ABD-4DB5-BBF4-9C5AD92685C1}" name="Column14433"/>
    <tableColumn id="14461" xr3:uid="{258E99D5-6B70-4085-B2B6-DB5FE54206F9}" name="Column14434"/>
    <tableColumn id="14462" xr3:uid="{38C6D4C7-FA27-429D-8939-A8AE4DC243CC}" name="Column14435"/>
    <tableColumn id="14463" xr3:uid="{E372EAD1-D3A0-4A87-B69B-AC919E84CADC}" name="Column14436"/>
    <tableColumn id="14464" xr3:uid="{EF41D200-9BB8-4BF4-A745-3CAD790CF52E}" name="Column14437"/>
    <tableColumn id="14465" xr3:uid="{3D9AA9A1-A391-443C-8A60-24799D320278}" name="Column14438"/>
    <tableColumn id="14466" xr3:uid="{6E469B47-A471-46A9-9334-FD96F1AA0373}" name="Column14439"/>
    <tableColumn id="14467" xr3:uid="{41B8D97F-9CD0-417D-A4A0-4C93D5751F87}" name="Column14440"/>
    <tableColumn id="14468" xr3:uid="{F48EB753-C895-45AE-8AD7-5809F59049E4}" name="Column14441"/>
    <tableColumn id="14469" xr3:uid="{73876322-8D8E-45EE-84E5-C23813732141}" name="Column14442"/>
    <tableColumn id="14470" xr3:uid="{2C026C8C-331F-478F-8FE3-FA66E9B95693}" name="Column14443"/>
    <tableColumn id="14471" xr3:uid="{2925EE51-2A5B-4624-AA49-A0B1BC4DD2BB}" name="Column14444"/>
    <tableColumn id="14472" xr3:uid="{0C385DF6-C0A6-4718-BC9A-C42DE5A26101}" name="Column14445"/>
    <tableColumn id="14473" xr3:uid="{D8FC2239-623D-4B7A-9D3E-A62FFD84746A}" name="Column14446"/>
    <tableColumn id="14474" xr3:uid="{86FF2E2D-DD70-44F4-85DD-12B5A192B2B9}" name="Column14447"/>
    <tableColumn id="14475" xr3:uid="{E6DC5041-D65F-4B97-BC6B-5485ED242E6A}" name="Column14448"/>
    <tableColumn id="14476" xr3:uid="{05E7C0F6-2D3E-4D55-BEC7-C941E225E2A2}" name="Column14449"/>
    <tableColumn id="14477" xr3:uid="{CFA2B57A-19CD-4917-849C-F13087A5E856}" name="Column14450"/>
    <tableColumn id="14478" xr3:uid="{4D972697-EB1C-4E56-ADFD-AC878192A21A}" name="Column14451"/>
    <tableColumn id="14479" xr3:uid="{5C540649-C378-42C5-88E7-BB9C957F1DCB}" name="Column14452"/>
    <tableColumn id="14480" xr3:uid="{953841A7-201B-4878-9D57-CF8331AC0814}" name="Column14453"/>
    <tableColumn id="14481" xr3:uid="{3674A79E-5059-4868-B08F-58CE153C2E7B}" name="Column14454"/>
    <tableColumn id="14482" xr3:uid="{D0468F83-8CEF-4DF8-9E06-8C8BB98B899D}" name="Column14455"/>
    <tableColumn id="14483" xr3:uid="{06D401F8-9AA2-4885-A35A-71AA0AA51F03}" name="Column14456"/>
    <tableColumn id="14484" xr3:uid="{5D184C25-3364-457A-A4B7-7CD529CCC68B}" name="Column14457"/>
    <tableColumn id="14485" xr3:uid="{002E535C-BF56-4FA5-8FE2-49D415969B38}" name="Column14458"/>
    <tableColumn id="14486" xr3:uid="{2B2DF0E5-9158-4E83-B888-87CC20B0F840}" name="Column14459"/>
    <tableColumn id="14487" xr3:uid="{C70FE4A7-D430-4783-BC97-6D3CABF791A3}" name="Column14460"/>
    <tableColumn id="14488" xr3:uid="{9CFA72B8-4B41-4208-B6D0-E76FE8F6CF7E}" name="Column14461"/>
    <tableColumn id="14489" xr3:uid="{D9EA0008-DAD1-4D91-99C0-32DE7D1AAF97}" name="Column14462"/>
    <tableColumn id="14490" xr3:uid="{993A7B64-1436-4FAC-A977-E3FA82CD2B82}" name="Column14463"/>
    <tableColumn id="14491" xr3:uid="{D3B766FF-4F3F-422F-858A-009508B8385C}" name="Column14464"/>
    <tableColumn id="14492" xr3:uid="{8CB612AE-4D3B-4984-8115-3E7BE5911D24}" name="Column14465"/>
    <tableColumn id="14493" xr3:uid="{C0BB9C85-A4B4-47E9-A9C0-5E175ADB068C}" name="Column14466"/>
    <tableColumn id="14494" xr3:uid="{0EE4C1CE-35B1-49F2-8B5C-D0A1FC9EA2C8}" name="Column14467"/>
    <tableColumn id="14495" xr3:uid="{E2DB03CD-AA93-408F-8C29-48B4E5890B9C}" name="Column14468"/>
    <tableColumn id="14496" xr3:uid="{43376CDA-AF21-4B62-A07C-CB1F461A1CCF}" name="Column14469"/>
    <tableColumn id="14497" xr3:uid="{727961F8-8D5E-4C07-AFB7-DBAC7AD97BB1}" name="Column14470"/>
    <tableColumn id="14498" xr3:uid="{69ADF281-15B3-479C-A1A1-86E3C83162D8}" name="Column14471"/>
    <tableColumn id="14499" xr3:uid="{0BA89BF9-9AAC-42A7-BDEE-C0CE16FC9CCC}" name="Column14472"/>
    <tableColumn id="14500" xr3:uid="{7144FDA7-4A1B-4A8D-9092-ED5CD8AB55B1}" name="Column14473"/>
    <tableColumn id="14501" xr3:uid="{53772A94-DBFD-4364-B76C-9B48AFC35BA5}" name="Column14474"/>
    <tableColumn id="14502" xr3:uid="{CC380D98-FE31-404C-96AE-30F16A482D92}" name="Column14475"/>
    <tableColumn id="14503" xr3:uid="{BAB1BEE1-8D16-4B52-82C3-97E798959269}" name="Column14476"/>
    <tableColumn id="14504" xr3:uid="{0A3E4C02-BD72-479C-9BD2-FB160DF90A70}" name="Column14477"/>
    <tableColumn id="14505" xr3:uid="{42BB2859-E29C-4C64-9A50-B2F5CC06AF7F}" name="Column14478"/>
    <tableColumn id="14506" xr3:uid="{E2F20C31-0C8B-476A-814F-1FA5AC2DB6D5}" name="Column14479"/>
    <tableColumn id="14507" xr3:uid="{BA33E443-9BD5-4BFE-9FBB-6826DA757463}" name="Column14480"/>
    <tableColumn id="14508" xr3:uid="{B1C597C6-2477-4F08-BECA-7A6E2F751ACE}" name="Column14481"/>
    <tableColumn id="14509" xr3:uid="{DC84A49A-66F0-4700-AD1A-640CB16FB095}" name="Column14482"/>
    <tableColumn id="14510" xr3:uid="{091B5D8C-D970-4855-9BCC-601C7FE4D294}" name="Column14483"/>
    <tableColumn id="14511" xr3:uid="{AC36A8D6-93A6-400C-AD2A-A6CDC3B5EAE8}" name="Column14484"/>
    <tableColumn id="14512" xr3:uid="{C84AEE4E-B004-4212-AFD4-8A7F9FB20F38}" name="Column14485"/>
    <tableColumn id="14513" xr3:uid="{C3B22BB6-8DC0-4332-BBAA-E3DBD55C847C}" name="Column14486"/>
    <tableColumn id="14514" xr3:uid="{9EF1029E-9A4C-47A5-9857-56219D9CA86A}" name="Column14487"/>
    <tableColumn id="14515" xr3:uid="{BB2C6527-1304-468E-812D-562B8CA31448}" name="Column14488"/>
    <tableColumn id="14516" xr3:uid="{1DD05895-17C9-41D9-94CC-F65F338BDD77}" name="Column14489"/>
    <tableColumn id="14517" xr3:uid="{59FEE373-62B4-49DB-8773-2921E8AD885B}" name="Column14490"/>
    <tableColumn id="14518" xr3:uid="{197E6949-DD26-4744-AA3D-FF5F5862863F}" name="Column14491"/>
    <tableColumn id="14519" xr3:uid="{9ADD14D9-5017-45BF-A187-6816F570FE1A}" name="Column14492"/>
    <tableColumn id="14520" xr3:uid="{C2B19EB7-EE90-4264-8EE1-71FA2717413F}" name="Column14493"/>
    <tableColumn id="14521" xr3:uid="{262C76FF-E005-41E8-827C-D911AAB41E50}" name="Column14494"/>
    <tableColumn id="14522" xr3:uid="{8559D896-1E26-4682-B029-2D5740E7674A}" name="Column14495"/>
    <tableColumn id="14523" xr3:uid="{DFBD8020-38B3-4912-B2D3-FAADFB328E5B}" name="Column14496"/>
    <tableColumn id="14524" xr3:uid="{900FA6A7-2A84-40C6-9ED8-12C15A017E36}" name="Column14497"/>
    <tableColumn id="14525" xr3:uid="{2DF1DF48-3F9B-4B51-B6A2-EECCEFA8B53D}" name="Column14498"/>
    <tableColumn id="14526" xr3:uid="{2D974B8C-566E-484E-B1C9-20A4ED5A76F6}" name="Column14499"/>
    <tableColumn id="14527" xr3:uid="{0A5317DA-8B71-463F-A81F-50BE90599182}" name="Column14500"/>
    <tableColumn id="14528" xr3:uid="{A1BB474E-1109-4D4A-9B67-64D47E4CFE29}" name="Column14501"/>
    <tableColumn id="14529" xr3:uid="{4AAE46EB-F82C-46ED-ADC0-D25D31B92788}" name="Column14502"/>
    <tableColumn id="14530" xr3:uid="{DB46E6C0-671D-4ABC-B26E-350A255711A3}" name="Column14503"/>
    <tableColumn id="14531" xr3:uid="{8F7DCEDA-E4AB-421A-8234-C226E5CA6F8A}" name="Column14504"/>
    <tableColumn id="14532" xr3:uid="{0516CB68-E67B-4620-A183-67FBAE0188C3}" name="Column14505"/>
    <tableColumn id="14533" xr3:uid="{96F2AAE6-04FE-41BC-8CA3-A5A31972FC6D}" name="Column14506"/>
    <tableColumn id="14534" xr3:uid="{D8BF5D7F-1FFD-48FE-AE69-DA1FFB7945B5}" name="Column14507"/>
    <tableColumn id="14535" xr3:uid="{9D2DC54D-D582-4CA7-BE3A-250B9B8C8CC0}" name="Column14508"/>
    <tableColumn id="14536" xr3:uid="{D24F76DB-AA6D-4067-B429-B55E5F60BDCA}" name="Column14509"/>
    <tableColumn id="14537" xr3:uid="{78707E01-2102-4009-8E71-9276B8945AC7}" name="Column14510"/>
    <tableColumn id="14538" xr3:uid="{DE8F15AD-AC38-44C1-AB7E-FF590DDD76F9}" name="Column14511"/>
    <tableColumn id="14539" xr3:uid="{F2F9B3D1-39BA-4E64-9BCE-70AFA11A6EF7}" name="Column14512"/>
    <tableColumn id="14540" xr3:uid="{1072CE9E-9D78-48E0-8215-C221F1AC6CCB}" name="Column14513"/>
    <tableColumn id="14541" xr3:uid="{1AB0FAAD-BC82-4EE6-BB06-65946440020E}" name="Column14514"/>
    <tableColumn id="14542" xr3:uid="{7940DBA5-312A-4884-84D2-BB74B90A2698}" name="Column14515"/>
    <tableColumn id="14543" xr3:uid="{3E399FC6-BE9C-415A-A4CF-F05E00225768}" name="Column14516"/>
    <tableColumn id="14544" xr3:uid="{F0E919C8-4CE1-48F0-942D-0C166E0BBA86}" name="Column14517"/>
    <tableColumn id="14545" xr3:uid="{0E6CF900-451F-46DB-B69D-25F7C8B59A37}" name="Column14518"/>
    <tableColumn id="14546" xr3:uid="{9256F9B6-6895-4B1A-9CA1-8E39A4AAAB43}" name="Column14519"/>
    <tableColumn id="14547" xr3:uid="{D4AE3D91-D057-4ED5-AE1D-8E0A9A54C9C3}" name="Column14520"/>
    <tableColumn id="14548" xr3:uid="{623E05D3-10B7-4C86-8F88-E3C54BC791D6}" name="Column14521"/>
    <tableColumn id="14549" xr3:uid="{E834A922-103E-4F2F-BDE4-0891BA8E579E}" name="Column14522"/>
    <tableColumn id="14550" xr3:uid="{8EA63BF2-4D78-4EDE-B192-231F1B2AF718}" name="Column14523"/>
    <tableColumn id="14551" xr3:uid="{765766B3-0DC7-4EEB-A886-8194C6FECED8}" name="Column14524"/>
    <tableColumn id="14552" xr3:uid="{E138238D-FFB2-4699-B3CD-5E5C5ED9143D}" name="Column14525"/>
    <tableColumn id="14553" xr3:uid="{80956C15-69BA-470E-A4F4-2A883DF7AD6E}" name="Column14526"/>
    <tableColumn id="14554" xr3:uid="{D2266ACC-DEB6-4AF7-A021-80CE25458B16}" name="Column14527"/>
    <tableColumn id="14555" xr3:uid="{6C8F2FAA-7DE3-4A86-BB49-F44724F8DFC1}" name="Column14528"/>
    <tableColumn id="14556" xr3:uid="{CCE60679-3C5D-4FC5-ACD4-3DEA580F44DF}" name="Column14529"/>
    <tableColumn id="14557" xr3:uid="{99890512-9C3F-4012-8531-A37981EC062B}" name="Column14530"/>
    <tableColumn id="14558" xr3:uid="{6CF64CF0-39DD-4B00-AF16-17AA68BD3C3A}" name="Column14531"/>
    <tableColumn id="14559" xr3:uid="{02204DC0-25B5-464F-9B79-32ED3064EB66}" name="Column14532"/>
    <tableColumn id="14560" xr3:uid="{3182EE4D-1A28-4F65-8F51-3CE1A096FA4F}" name="Column14533"/>
    <tableColumn id="14561" xr3:uid="{D9CAE669-B24C-477F-825D-36530ED40466}" name="Column14534"/>
    <tableColumn id="14562" xr3:uid="{96AA12B8-CED9-4C19-A866-AD4C6F4A80DF}" name="Column14535"/>
    <tableColumn id="14563" xr3:uid="{9303E116-7E20-4409-8837-4CC3B1E1391A}" name="Column14536"/>
    <tableColumn id="14564" xr3:uid="{6E12420A-B363-404D-9EA7-C595F2A39DAD}" name="Column14537"/>
    <tableColumn id="14565" xr3:uid="{1E483AE5-0FA4-4993-9860-42CF94210D56}" name="Column14538"/>
    <tableColumn id="14566" xr3:uid="{EFF21E61-3C7B-4927-B7A6-BF7180E3707E}" name="Column14539"/>
    <tableColumn id="14567" xr3:uid="{8B447441-848D-4F12-BFEC-09DFEAD1E15B}" name="Column14540"/>
    <tableColumn id="14568" xr3:uid="{AFBB2F77-D144-4F7B-B526-E7FC7AD01C01}" name="Column14541"/>
    <tableColumn id="14569" xr3:uid="{88768918-755A-4B3F-ADD1-BA6E3E838234}" name="Column14542"/>
    <tableColumn id="14570" xr3:uid="{E943E1EB-F09D-4FD4-9DB0-6F78E772EBC0}" name="Column14543"/>
    <tableColumn id="14571" xr3:uid="{AFDFABF6-FE19-495A-B8D9-FE72CDFDBB66}" name="Column14544"/>
    <tableColumn id="14572" xr3:uid="{20C969A8-CA3B-4641-86A8-E027AD806A83}" name="Column14545"/>
    <tableColumn id="14573" xr3:uid="{B3EC8085-9F08-422E-B187-B8A0A6F2A91A}" name="Column14546"/>
    <tableColumn id="14574" xr3:uid="{9648A0CC-7106-404B-8EBD-1F7668E1A103}" name="Column14547"/>
    <tableColumn id="14575" xr3:uid="{BA1559D0-71CE-4E23-B826-A9FE1F268D9F}" name="Column14548"/>
    <tableColumn id="14576" xr3:uid="{7F708F29-C6DF-4BFF-9FE1-B73E546EAC6E}" name="Column14549"/>
    <tableColumn id="14577" xr3:uid="{14C82A19-EEA0-4ED0-9B90-3F7BFF6A3B34}" name="Column14550"/>
    <tableColumn id="14578" xr3:uid="{026BB155-0111-415E-92CB-41328768A08B}" name="Column14551"/>
    <tableColumn id="14579" xr3:uid="{BF8C43F7-B8AB-49FB-9FE5-0C65A4EC0460}" name="Column14552"/>
    <tableColumn id="14580" xr3:uid="{59A744C2-D4FA-4B42-92B9-CE34486F2E7D}" name="Column14553"/>
    <tableColumn id="14581" xr3:uid="{652126C6-A559-48E8-BF90-3E8BFBDA52EB}" name="Column14554"/>
    <tableColumn id="14582" xr3:uid="{C5776755-9EEE-44DD-ACA2-75B90CEC1C6D}" name="Column14555"/>
    <tableColumn id="14583" xr3:uid="{A3C38128-9811-450E-AADC-E3BFBFED1DB8}" name="Column14556"/>
    <tableColumn id="14584" xr3:uid="{16A3ECF2-297A-4251-8336-8A0C6DCE0F1D}" name="Column14557"/>
    <tableColumn id="14585" xr3:uid="{C43FD0C7-18D9-472A-BC73-BCAB20C8A3DF}" name="Column14558"/>
    <tableColumn id="14586" xr3:uid="{68D8B563-C141-4183-9D9D-39857E50A457}" name="Column14559"/>
    <tableColumn id="14587" xr3:uid="{5F21B977-D7A6-4339-9C57-CED513E08F6C}" name="Column14560"/>
    <tableColumn id="14588" xr3:uid="{1D8DEA2D-EEBD-4747-81C5-87ED86EA5DF1}" name="Column14561"/>
    <tableColumn id="14589" xr3:uid="{C29D4257-7FD0-4ECE-9384-17BD4484F317}" name="Column14562"/>
    <tableColumn id="14590" xr3:uid="{255AE373-B564-4FAE-9828-34D62EE9EAD0}" name="Column14563"/>
    <tableColumn id="14591" xr3:uid="{4F588120-E08C-4E4E-83F1-14124691FAF8}" name="Column14564"/>
    <tableColumn id="14592" xr3:uid="{DE2A5E95-A871-40D5-8A98-0C95F1160361}" name="Column14565"/>
    <tableColumn id="14593" xr3:uid="{B298210C-2937-4ED7-AABF-2C4752D70EB0}" name="Column14566"/>
    <tableColumn id="14594" xr3:uid="{18F5BF4F-E78D-47C2-97C8-2B895F562A8A}" name="Column14567"/>
    <tableColumn id="14595" xr3:uid="{168566ED-54FA-475A-AD7A-6829CF120BD3}" name="Column14568"/>
    <tableColumn id="14596" xr3:uid="{3C2ACC5F-5B2D-4806-9CB3-E9B8B22B6B02}" name="Column14569"/>
    <tableColumn id="14597" xr3:uid="{6D44771F-7B4E-41FB-91F7-23ED47D5EFD3}" name="Column14570"/>
    <tableColumn id="14598" xr3:uid="{5C6B3373-ABDB-43A2-AD2B-4F4CB7855A20}" name="Column14571"/>
    <tableColumn id="14599" xr3:uid="{B715F71B-FBD4-45E1-85CA-0B171E0B1F75}" name="Column14572"/>
    <tableColumn id="14600" xr3:uid="{8E7BE128-16B2-4B4E-9605-F84F369216FF}" name="Column14573"/>
    <tableColumn id="14601" xr3:uid="{E092EEBE-8472-4F1F-8F8C-0B7958DCEC77}" name="Column14574"/>
    <tableColumn id="14602" xr3:uid="{643BFEE3-C3A7-41C9-AF19-E9262B237C84}" name="Column14575"/>
    <tableColumn id="14603" xr3:uid="{7D38FD8A-7E04-408A-ADEF-974A76A95773}" name="Column14576"/>
    <tableColumn id="14604" xr3:uid="{5ECD5C35-BD49-43FD-98BF-6201691AD165}" name="Column14577"/>
    <tableColumn id="14605" xr3:uid="{A6CF52B0-2179-4F37-AE6B-489320C451C7}" name="Column14578"/>
    <tableColumn id="14606" xr3:uid="{8B7A2875-EA82-4B4A-B006-E3816CE36B94}" name="Column14579"/>
    <tableColumn id="14607" xr3:uid="{9CB513B7-2580-4F85-992D-FC9FB68EA771}" name="Column14580"/>
    <tableColumn id="14608" xr3:uid="{3F451489-D522-4A8D-BA5A-5F880BA9A074}" name="Column14581"/>
    <tableColumn id="14609" xr3:uid="{6AE0A732-879A-41C8-86C3-20B8A089BC30}" name="Column14582"/>
    <tableColumn id="14610" xr3:uid="{3A75FA87-AF25-4FAB-9CC9-90F905538A19}" name="Column14583"/>
    <tableColumn id="14611" xr3:uid="{8905B5C8-709C-45E6-97BB-CD1C0988A778}" name="Column14584"/>
    <tableColumn id="14612" xr3:uid="{A20EB07B-6D02-4BB6-BD42-BE1B9F936FCD}" name="Column14585"/>
    <tableColumn id="14613" xr3:uid="{7D0FBB18-7AB0-4EFA-9CE6-28CB38A073BD}" name="Column14586"/>
    <tableColumn id="14614" xr3:uid="{8C9622D5-08D0-49F5-8F26-9B2D612E3DBD}" name="Column14587"/>
    <tableColumn id="14615" xr3:uid="{3CE7EF16-BE42-4159-BB3E-5EED25C89443}" name="Column14588"/>
    <tableColumn id="14616" xr3:uid="{8759E8B4-3A76-4C9B-8235-D7CE6822A46A}" name="Column14589"/>
    <tableColumn id="14617" xr3:uid="{8BA5A44B-D82E-47EA-A5A0-422D2358CEDF}" name="Column14590"/>
    <tableColumn id="14618" xr3:uid="{75331869-A350-4106-9DDF-8BA33A2E0D5E}" name="Column14591"/>
    <tableColumn id="14619" xr3:uid="{438FCE83-A1AA-4BDA-9601-929451BEF612}" name="Column14592"/>
    <tableColumn id="14620" xr3:uid="{D2A4E248-5DF8-45F3-BEAF-D7DAA2EEAD73}" name="Column14593"/>
    <tableColumn id="14621" xr3:uid="{9D35BE8B-0F9F-4FB3-B866-9B450B5D36E6}" name="Column14594"/>
    <tableColumn id="14622" xr3:uid="{61BA4200-6BE2-4E75-8DF7-1C6E81A3C615}" name="Column14595"/>
    <tableColumn id="14623" xr3:uid="{CB3A3CF0-6C64-4F20-81FF-8645AC6753FD}" name="Column14596"/>
    <tableColumn id="14624" xr3:uid="{ED20F267-4E04-4C15-84C3-D6F3D8EAD4A1}" name="Column14597"/>
    <tableColumn id="14625" xr3:uid="{0F504743-0499-42D3-A8FB-CB6F4D854FAF}" name="Column14598"/>
    <tableColumn id="14626" xr3:uid="{BF517F25-4F74-4A5B-88BB-6CDF91E26704}" name="Column14599"/>
    <tableColumn id="14627" xr3:uid="{904E194B-6863-43E3-8E07-BA0F2890C676}" name="Column14600"/>
    <tableColumn id="14628" xr3:uid="{4ADA7D76-C9A9-4E99-A67B-33E327DB14D0}" name="Column14601"/>
    <tableColumn id="14629" xr3:uid="{CA3712EF-DD8E-45C6-B9CD-66781AB261BC}" name="Column14602"/>
    <tableColumn id="14630" xr3:uid="{FCB50025-1914-4B66-898C-189DAA60B445}" name="Column14603"/>
    <tableColumn id="14631" xr3:uid="{AA4FDD46-026D-4482-A705-36012AF92669}" name="Column14604"/>
    <tableColumn id="14632" xr3:uid="{4C43A6BE-19C0-4C2C-8518-20DE5B4A77B9}" name="Column14605"/>
    <tableColumn id="14633" xr3:uid="{5AD91133-C362-4ED3-BA71-5394DE7BB24C}" name="Column14606"/>
    <tableColumn id="14634" xr3:uid="{64888071-30EE-4601-A368-E021A7C9E1F8}" name="Column14607"/>
    <tableColumn id="14635" xr3:uid="{CD82A6A7-48FD-491E-B22C-F751D4129ADF}" name="Column14608"/>
    <tableColumn id="14636" xr3:uid="{BBE36F43-9549-4556-A6F3-E676BA74B944}" name="Column14609"/>
    <tableColumn id="14637" xr3:uid="{B540BA25-1A46-482E-B34C-B70DA93BE1B6}" name="Column14610"/>
    <tableColumn id="14638" xr3:uid="{9D02894E-52B6-4834-975C-4795AC0A2BCE}" name="Column14611"/>
    <tableColumn id="14639" xr3:uid="{3EB8E0A9-67F9-4E28-8E2A-A751CCB4C159}" name="Column14612"/>
    <tableColumn id="14640" xr3:uid="{7188F60F-6391-43EB-BF65-D9E229E97F5F}" name="Column14613"/>
    <tableColumn id="14641" xr3:uid="{4A4247DF-E780-4F36-AE15-DA7DA6ACB2A3}" name="Column14614"/>
    <tableColumn id="14642" xr3:uid="{9EF7E00B-578F-48D3-A0CD-6615EEA20F4D}" name="Column14615"/>
    <tableColumn id="14643" xr3:uid="{63EFA676-FF6C-4684-A3F0-84DEB574256A}" name="Column14616"/>
    <tableColumn id="14644" xr3:uid="{819A58C7-CCE5-4048-9C9A-CFD22C05D6FD}" name="Column14617"/>
    <tableColumn id="14645" xr3:uid="{3A23198F-63E2-4D83-9FF4-3BC2EAFE73EA}" name="Column14618"/>
    <tableColumn id="14646" xr3:uid="{D37B5DFD-4415-419F-982A-383475EC2D84}" name="Column14619"/>
    <tableColumn id="14647" xr3:uid="{60B581D6-0807-4F37-9298-50A93AD2443D}" name="Column14620"/>
    <tableColumn id="14648" xr3:uid="{3C76AEC9-DAE7-4BEC-AB6C-81B8313C6124}" name="Column14621"/>
    <tableColumn id="14649" xr3:uid="{B2BCBC0C-16AD-4623-A746-1D875CEF63F2}" name="Column14622"/>
    <tableColumn id="14650" xr3:uid="{262DC4B7-FAE1-499B-BE2F-48F332C31754}" name="Column14623"/>
    <tableColumn id="14651" xr3:uid="{ECBE5D39-140C-4F56-8598-5D12A85F991E}" name="Column14624"/>
    <tableColumn id="14652" xr3:uid="{2F018A80-4B92-46A2-9B4E-DE2333A82C6D}" name="Column14625"/>
    <tableColumn id="14653" xr3:uid="{0F10A957-ED6F-4818-8313-BD95D22F53DA}" name="Column14626"/>
    <tableColumn id="14654" xr3:uid="{D9434E68-2C1C-4224-88AE-7F2C5A26199F}" name="Column14627"/>
    <tableColumn id="14655" xr3:uid="{C7AADF07-AABA-4907-A06B-8F5E1FDD697A}" name="Column14628"/>
    <tableColumn id="14656" xr3:uid="{CC296C51-4707-47DD-B75C-613FEC02074F}" name="Column14629"/>
    <tableColumn id="14657" xr3:uid="{7D784B7C-206E-4E7D-BB8A-9BC55389DEF2}" name="Column14630"/>
    <tableColumn id="14658" xr3:uid="{B07E8CD8-41DD-4E36-A7BB-7C7B4BA21E20}" name="Column14631"/>
    <tableColumn id="14659" xr3:uid="{054E1DA0-B6CD-4BEB-A611-963D0E5C11BA}" name="Column14632"/>
    <tableColumn id="14660" xr3:uid="{C350F0EA-CDE7-4D0E-954D-AD1B951E87D2}" name="Column14633"/>
    <tableColumn id="14661" xr3:uid="{10AFF9DD-EE76-4D61-8877-DC71AED696FF}" name="Column14634"/>
    <tableColumn id="14662" xr3:uid="{A5EDF457-DBA6-42A0-B9CE-3F0BEF86FB60}" name="Column14635"/>
    <tableColumn id="14663" xr3:uid="{F7DDA61A-1A6A-4A9A-AFA3-E1D4637933E5}" name="Column14636"/>
    <tableColumn id="14664" xr3:uid="{5DB32EAC-196B-46B6-8C98-06876ED34DAA}" name="Column14637"/>
    <tableColumn id="14665" xr3:uid="{4FC68FB4-F0DF-47F1-98FD-4F844FAF2177}" name="Column14638"/>
    <tableColumn id="14666" xr3:uid="{BD8748B1-4C0B-4DA3-9628-377B9F9DFCAF}" name="Column14639"/>
    <tableColumn id="14667" xr3:uid="{86BC75F0-2419-4016-B1C4-C316844BFBE8}" name="Column14640"/>
    <tableColumn id="14668" xr3:uid="{A3D19E60-6543-4F76-95C7-559A54DFA236}" name="Column14641"/>
    <tableColumn id="14669" xr3:uid="{FE6485AD-CDBC-43B8-B690-864E44A0C653}" name="Column14642"/>
    <tableColumn id="14670" xr3:uid="{F50838BE-26A8-46EF-A994-A29FF1A82DB6}" name="Column14643"/>
    <tableColumn id="14671" xr3:uid="{1C6B2275-43E7-438C-BC17-613076C3961A}" name="Column14644"/>
    <tableColumn id="14672" xr3:uid="{14D06F63-00CC-4565-BF0C-22A53319793B}" name="Column14645"/>
    <tableColumn id="14673" xr3:uid="{4F41D321-91F6-44A1-B5CA-E9B4FF8515F7}" name="Column14646"/>
    <tableColumn id="14674" xr3:uid="{D6F3E117-DDEB-4046-8992-4D5F7CFB7928}" name="Column14647"/>
    <tableColumn id="14675" xr3:uid="{9ACCCA6D-E870-47A7-AFE3-4F054092DD19}" name="Column14648"/>
    <tableColumn id="14676" xr3:uid="{86048423-A7E4-4052-B78C-81E56634D267}" name="Column14649"/>
    <tableColumn id="14677" xr3:uid="{F2ADBFA0-DFFF-47E8-919B-536610FF9C57}" name="Column14650"/>
    <tableColumn id="14678" xr3:uid="{C287CDFF-DCCF-477F-9641-2529E2C41DC7}" name="Column14651"/>
    <tableColumn id="14679" xr3:uid="{46ECD339-FD8E-44B0-903E-2C78A458113E}" name="Column14652"/>
    <tableColumn id="14680" xr3:uid="{7D12D9FE-D8B4-4F3B-8016-71D70F741387}" name="Column14653"/>
    <tableColumn id="14681" xr3:uid="{7DF96ACF-6369-49F5-B251-66DC68B1681D}" name="Column14654"/>
    <tableColumn id="14682" xr3:uid="{52FF8BE4-C04A-47DE-997A-AED9BB038FD9}" name="Column14655"/>
    <tableColumn id="14683" xr3:uid="{4F72500D-3EC0-4275-843E-514B809BFDF0}" name="Column14656"/>
    <tableColumn id="14684" xr3:uid="{791ABBA5-2818-4A9B-B120-9146F7C3DFBB}" name="Column14657"/>
    <tableColumn id="14685" xr3:uid="{59C1915D-7E5B-42FB-8816-1EECD3B23011}" name="Column14658"/>
    <tableColumn id="14686" xr3:uid="{855D166A-5AAA-4022-89B8-4DE4EB562477}" name="Column14659"/>
    <tableColumn id="14687" xr3:uid="{D58BA2C5-E1C5-4A90-89F6-E2F8AE9AB26F}" name="Column14660"/>
    <tableColumn id="14688" xr3:uid="{76D0F38C-6510-43BD-BAE2-7D31A3B354FD}" name="Column14661"/>
    <tableColumn id="14689" xr3:uid="{AE3E72B0-1975-422C-BAC3-6646ACAADB50}" name="Column14662"/>
    <tableColumn id="14690" xr3:uid="{56CC2C5C-1210-4B0D-81BB-9257FCE2A215}" name="Column14663"/>
    <tableColumn id="14691" xr3:uid="{16FCD13C-DD59-4622-9145-8417BA53CEF8}" name="Column14664"/>
    <tableColumn id="14692" xr3:uid="{9B626A99-C28E-444F-89CD-964246F5B40B}" name="Column14665"/>
    <tableColumn id="14693" xr3:uid="{D9561A86-D4B9-4EA5-B264-6B0038D1856E}" name="Column14666"/>
    <tableColumn id="14694" xr3:uid="{A7290CEE-5685-4C85-8C22-03E856B0DE3A}" name="Column14667"/>
    <tableColumn id="14695" xr3:uid="{60B9E4E3-F73F-4DAA-8106-3D9C9F48B518}" name="Column14668"/>
    <tableColumn id="14696" xr3:uid="{D3B89E31-EBD0-45C7-8E9A-CDE6DDE74DFC}" name="Column14669"/>
    <tableColumn id="14697" xr3:uid="{08D1BD93-1E4E-43A4-9503-A2FBB5B850A5}" name="Column14670"/>
    <tableColumn id="14698" xr3:uid="{D2B69285-0507-4E56-A8D2-78FC63405A96}" name="Column14671"/>
    <tableColumn id="14699" xr3:uid="{9A678A3E-4539-4662-8E9A-58EE57B151D6}" name="Column14672"/>
    <tableColumn id="14700" xr3:uid="{AC9D2B6C-56E9-444A-B199-ADEF477AEF57}" name="Column14673"/>
    <tableColumn id="14701" xr3:uid="{ECABCBF5-E83D-4CB9-A8FD-64D4EFB32532}" name="Column14674"/>
    <tableColumn id="14702" xr3:uid="{CFEBC68F-4E40-4C6F-972C-ACFC153457A6}" name="Column14675"/>
    <tableColumn id="14703" xr3:uid="{53A4F2EF-61BF-474A-B149-ADEEA8C9DFDF}" name="Column14676"/>
    <tableColumn id="14704" xr3:uid="{8E87571E-43C0-491C-9B3B-0100CD6415BF}" name="Column14677"/>
    <tableColumn id="14705" xr3:uid="{BABE65BA-8BB6-415E-806A-645D84341B8C}" name="Column14678"/>
    <tableColumn id="14706" xr3:uid="{BA606E7A-771D-46CC-9951-521E45A50B16}" name="Column14679"/>
    <tableColumn id="14707" xr3:uid="{B0168DEA-3CD8-4528-90FB-855371C16257}" name="Column14680"/>
    <tableColumn id="14708" xr3:uid="{0395CBAF-CBEB-420E-B593-FA3859431A9B}" name="Column14681"/>
    <tableColumn id="14709" xr3:uid="{4388468F-0D47-4F74-85CB-786A5E37339A}" name="Column14682"/>
    <tableColumn id="14710" xr3:uid="{7D975CBA-163E-4B57-A798-CB98F3CE9418}" name="Column14683"/>
    <tableColumn id="14711" xr3:uid="{C9BDDCD3-E7F7-4F5E-95FF-087A57AFAD62}" name="Column14684"/>
    <tableColumn id="14712" xr3:uid="{F8885C32-FDF7-47CC-A07D-986A6F255781}" name="Column14685"/>
    <tableColumn id="14713" xr3:uid="{4F84ACF7-1976-449D-91C1-8CF260921900}" name="Column14686"/>
    <tableColumn id="14714" xr3:uid="{19218FAE-3473-4E8E-A492-40A4F7463894}" name="Column14687"/>
    <tableColumn id="14715" xr3:uid="{3873D1D7-1877-48BE-AFAF-A86C62EDBD7C}" name="Column14688"/>
    <tableColumn id="14716" xr3:uid="{CEF1DF28-7A85-4491-AA7B-36E66F812EBF}" name="Column14689"/>
    <tableColumn id="14717" xr3:uid="{9E32D9FC-D8D8-4BA8-866C-458DA5428E5F}" name="Column14690"/>
    <tableColumn id="14718" xr3:uid="{44711E52-B544-44EE-9B8B-E040FF1630D2}" name="Column14691"/>
    <tableColumn id="14719" xr3:uid="{64A2A53C-6D88-40C9-B250-43F0F9F26BD3}" name="Column14692"/>
    <tableColumn id="14720" xr3:uid="{50AE72A7-300E-4EE1-A5FA-E5FAB996DB19}" name="Column14693"/>
    <tableColumn id="14721" xr3:uid="{7C93F88A-8AB5-427D-BE28-F58B63A59FFD}" name="Column14694"/>
    <tableColumn id="14722" xr3:uid="{D58D16A7-1500-4977-ABC7-F81338E1C14A}" name="Column14695"/>
    <tableColumn id="14723" xr3:uid="{E5DCC565-87A9-4BE8-AED0-6A1DE1326CF0}" name="Column14696"/>
    <tableColumn id="14724" xr3:uid="{36ED9738-B30F-46F8-ABE0-F7DABF259E94}" name="Column14697"/>
    <tableColumn id="14725" xr3:uid="{FDB8EB6C-19D5-4D00-AB49-499CFB9B2747}" name="Column14698"/>
    <tableColumn id="14726" xr3:uid="{BE9B9DC3-B661-4050-9A83-DAD963AA1276}" name="Column14699"/>
    <tableColumn id="14727" xr3:uid="{9A75A143-4D9B-4620-8C23-9689465DBB23}" name="Column14700"/>
    <tableColumn id="14728" xr3:uid="{C90CC02C-2079-43BA-83EF-7F03F3759665}" name="Column14701"/>
    <tableColumn id="14729" xr3:uid="{3E8ED5F7-6445-4D79-9DED-D7A7C3C9AA0C}" name="Column14702"/>
    <tableColumn id="14730" xr3:uid="{A30B1891-A6E5-474C-ABCF-D52641AE480C}" name="Column14703"/>
    <tableColumn id="14731" xr3:uid="{03A7F801-6B45-44FC-8E01-9A0620E75D05}" name="Column14704"/>
    <tableColumn id="14732" xr3:uid="{A7FA702C-7749-4DDA-A3E2-C59D6190A9A4}" name="Column14705"/>
    <tableColumn id="14733" xr3:uid="{9868C504-1280-47EA-A836-AA5300E78AA1}" name="Column14706"/>
    <tableColumn id="14734" xr3:uid="{059275B0-A1AD-479D-85C4-DC0B305A22E4}" name="Column14707"/>
    <tableColumn id="14735" xr3:uid="{BD4A8648-012E-4060-BFC7-8B08F17642CA}" name="Column14708"/>
    <tableColumn id="14736" xr3:uid="{FADC6220-A3F2-455D-AF70-8A93730DA6BA}" name="Column14709"/>
    <tableColumn id="14737" xr3:uid="{BA686A3E-798C-4A65-AF1D-8ED88E9D7232}" name="Column14710"/>
    <tableColumn id="14738" xr3:uid="{8BD8D2CD-CE94-4498-928C-6732B1C2ECF2}" name="Column14711"/>
    <tableColumn id="14739" xr3:uid="{BB618917-F2F5-43F7-9959-59F193C274FC}" name="Column14712"/>
    <tableColumn id="14740" xr3:uid="{C578F4E0-70F3-47DA-9BAD-9381DA88A658}" name="Column14713"/>
    <tableColumn id="14741" xr3:uid="{BFBF8E97-9FFA-432A-962A-04308E542FD3}" name="Column14714"/>
    <tableColumn id="14742" xr3:uid="{E565AF11-0EE2-4F01-BC17-F5EFB2A3478D}" name="Column14715"/>
    <tableColumn id="14743" xr3:uid="{A14F63EC-C073-41DE-99ED-6F98AB4268F7}" name="Column14716"/>
    <tableColumn id="14744" xr3:uid="{C8C5B9A7-C0F5-4642-8151-400839368650}" name="Column14717"/>
    <tableColumn id="14745" xr3:uid="{6D390F3D-6B8D-49B9-98C3-908AD6F2E469}" name="Column14718"/>
    <tableColumn id="14746" xr3:uid="{A2F0BB48-164F-4BE5-9585-7C80EEB70F0A}" name="Column14719"/>
    <tableColumn id="14747" xr3:uid="{3D54907C-DA7E-4145-BD0E-5A899DF9B795}" name="Column14720"/>
    <tableColumn id="14748" xr3:uid="{3CB89A08-BFA1-4CA2-8B9D-7EB094AC689E}" name="Column14721"/>
    <tableColumn id="14749" xr3:uid="{D9CAD695-BBC6-4998-9CB5-CAFDF53D3115}" name="Column14722"/>
    <tableColumn id="14750" xr3:uid="{AF21EAFD-92A7-4C3B-ACB8-66AD8F7A34FF}" name="Column14723"/>
    <tableColumn id="14751" xr3:uid="{A079B0C9-984E-41F5-AC7E-112C08CF5F36}" name="Column14724"/>
    <tableColumn id="14752" xr3:uid="{649303DF-0452-4F66-9B4F-114F0A41A853}" name="Column14725"/>
    <tableColumn id="14753" xr3:uid="{3C600822-0D59-4159-8C5A-BE1861D095EB}" name="Column14726"/>
    <tableColumn id="14754" xr3:uid="{9751E232-4D24-4ACC-8DC5-20CEC8F958BD}" name="Column14727"/>
    <tableColumn id="14755" xr3:uid="{C15190A5-67C7-462E-B8CD-E9D83BD04726}" name="Column14728"/>
    <tableColumn id="14756" xr3:uid="{0C861441-BA52-49A5-81CB-4CD1CEFD812D}" name="Column14729"/>
    <tableColumn id="14757" xr3:uid="{15B59F1D-E3DF-4035-83AE-ABC6CDF76BBE}" name="Column14730"/>
    <tableColumn id="14758" xr3:uid="{E433F4AC-21CB-470C-BD99-C24EBD00C217}" name="Column14731"/>
    <tableColumn id="14759" xr3:uid="{60AACA15-E7DF-42A3-AB6C-ED954D7C225D}" name="Column14732"/>
    <tableColumn id="14760" xr3:uid="{D8B81678-59A5-40EA-A260-226151C80C6B}" name="Column14733"/>
    <tableColumn id="14761" xr3:uid="{477AFBEA-074F-4B6C-B109-5891DADE67F1}" name="Column14734"/>
    <tableColumn id="14762" xr3:uid="{96D4EAE5-2FAB-47D4-A02F-FDF49F7A8B87}" name="Column14735"/>
    <tableColumn id="14763" xr3:uid="{81D76882-DAF5-439A-B6F5-784F03CFAD68}" name="Column14736"/>
    <tableColumn id="14764" xr3:uid="{65C146C4-4BDF-47EB-94BB-516604B29BD3}" name="Column14737"/>
    <tableColumn id="14765" xr3:uid="{A50FF178-A222-4224-953B-42955E2806A1}" name="Column14738"/>
    <tableColumn id="14766" xr3:uid="{C3F4949F-4A51-4E17-B08E-B6F6F8B9E4AA}" name="Column14739"/>
    <tableColumn id="14767" xr3:uid="{089265DC-E500-4E5D-B187-F4E330940ABA}" name="Column14740"/>
    <tableColumn id="14768" xr3:uid="{03C6DC0E-A4B2-4111-AE72-A785DF98C376}" name="Column14741"/>
    <tableColumn id="14769" xr3:uid="{26C2F718-29AC-4CAB-85DC-61F6C2E9123E}" name="Column14742"/>
    <tableColumn id="14770" xr3:uid="{D42B972A-3423-49F1-A533-4E696172BFA9}" name="Column14743"/>
    <tableColumn id="14771" xr3:uid="{288348C9-EE91-4DA8-84BB-5DF33F399593}" name="Column14744"/>
    <tableColumn id="14772" xr3:uid="{C2E70B9B-F29D-4E15-92EB-C7BB22A187CC}" name="Column14745"/>
    <tableColumn id="14773" xr3:uid="{35E82E1D-A73E-43A2-9249-BBE712C40CD7}" name="Column14746"/>
    <tableColumn id="14774" xr3:uid="{8ABA3ED7-AA0F-4EE5-B48B-CA991CE9C5A0}" name="Column14747"/>
    <tableColumn id="14775" xr3:uid="{90F2A783-8C8C-496D-9AA6-A3AE877D752F}" name="Column14748"/>
    <tableColumn id="14776" xr3:uid="{A80E8F0A-F954-4D47-8B49-EB68A66C808D}" name="Column14749"/>
    <tableColumn id="14777" xr3:uid="{659A603D-5121-464C-BE6D-059FCF44919A}" name="Column14750"/>
    <tableColumn id="14778" xr3:uid="{FE0B3453-2A4A-4130-B891-1F2013726E03}" name="Column14751"/>
    <tableColumn id="14779" xr3:uid="{8AF532E9-5733-4610-BAA2-BAEDED835EC5}" name="Column14752"/>
    <tableColumn id="14780" xr3:uid="{3E42288B-5D41-4C86-A17E-5C88C6A500FD}" name="Column14753"/>
    <tableColumn id="14781" xr3:uid="{8DC22268-22BD-4EE8-82A4-93BE91524E02}" name="Column14754"/>
    <tableColumn id="14782" xr3:uid="{75C57DD6-6B26-4E84-9BCD-C9760ED46F09}" name="Column14755"/>
    <tableColumn id="14783" xr3:uid="{FC0EAC35-F1C3-452F-9BB2-AACF54C95255}" name="Column14756"/>
    <tableColumn id="14784" xr3:uid="{B1D050C0-9678-42B0-8975-7751012C81B1}" name="Column14757"/>
    <tableColumn id="14785" xr3:uid="{38B2D96E-F83A-4E0A-A82C-330C3500D4FE}" name="Column14758"/>
    <tableColumn id="14786" xr3:uid="{D95066F5-F579-4C08-BAC3-CAE1E524AEC5}" name="Column14759"/>
    <tableColumn id="14787" xr3:uid="{C03475CD-327A-4156-AA08-89FD412E7BBE}" name="Column14760"/>
    <tableColumn id="14788" xr3:uid="{094A7F53-18F4-4C79-B398-96AF5ABDFBF3}" name="Column14761"/>
    <tableColumn id="14789" xr3:uid="{C8DA5DC4-552A-4376-ACAD-1867FE9F1861}" name="Column14762"/>
    <tableColumn id="14790" xr3:uid="{61C0C2FB-1558-4883-A8FE-BB015D7F096E}" name="Column14763"/>
    <tableColumn id="14791" xr3:uid="{3CEA9616-20AE-4F5C-843D-E9D22624CB84}" name="Column14764"/>
    <tableColumn id="14792" xr3:uid="{4B4CB64E-F847-42C0-B272-4B9EB7045F16}" name="Column14765"/>
    <tableColumn id="14793" xr3:uid="{F660F7F9-6E08-469A-B865-F5DEAD271EC7}" name="Column14766"/>
    <tableColumn id="14794" xr3:uid="{9AC1EBEF-145F-42A3-9840-54C34E93675D}" name="Column14767"/>
    <tableColumn id="14795" xr3:uid="{24C8E271-EBA2-44C7-A4BE-D2D02CD22036}" name="Column14768"/>
    <tableColumn id="14796" xr3:uid="{FE4DB8F0-CE9F-48B1-AAC5-D2B07568B151}" name="Column14769"/>
    <tableColumn id="14797" xr3:uid="{18E75101-503D-450E-B820-0297E8C132B2}" name="Column14770"/>
    <tableColumn id="14798" xr3:uid="{01493F19-299E-48B0-A0E2-ABA6DB1BA474}" name="Column14771"/>
    <tableColumn id="14799" xr3:uid="{8B6B5217-B897-4E65-ADC5-A8327C220208}" name="Column14772"/>
    <tableColumn id="14800" xr3:uid="{9E2DFF4C-42DC-4323-8AAD-E7F593B98218}" name="Column14773"/>
    <tableColumn id="14801" xr3:uid="{6D31F974-8969-429C-9B70-285621953DDF}" name="Column14774"/>
    <tableColumn id="14802" xr3:uid="{1957A0D6-57F4-4017-9032-80CEF27172DD}" name="Column14775"/>
    <tableColumn id="14803" xr3:uid="{343CCEE1-F8DE-41E3-AD54-A91E3225C153}" name="Column14776"/>
    <tableColumn id="14804" xr3:uid="{90CD8DE1-EE80-4AB3-BF4D-CF39CCA2AD2F}" name="Column14777"/>
    <tableColumn id="14805" xr3:uid="{9571657B-9FD8-4AB9-B3D4-C9273739AAFD}" name="Column14778"/>
    <tableColumn id="14806" xr3:uid="{CD71779A-FA7D-472D-A857-4E09C7804D2E}" name="Column14779"/>
    <tableColumn id="14807" xr3:uid="{DACDEF13-A4E3-4CA8-8B12-F4F410F115EA}" name="Column14780"/>
    <tableColumn id="14808" xr3:uid="{98BEEEE6-3B4C-4050-8350-A869AF33DD09}" name="Column14781"/>
    <tableColumn id="14809" xr3:uid="{AC84A308-29EF-4F96-924F-C640947B6572}" name="Column14782"/>
    <tableColumn id="14810" xr3:uid="{A170C00B-D0CF-4633-A813-19E68D1B3FD7}" name="Column14783"/>
    <tableColumn id="14811" xr3:uid="{AB3506AB-FC64-4971-BCC4-0CAA1B76230B}" name="Column14784"/>
    <tableColumn id="14812" xr3:uid="{87EBE576-E821-4FCD-B32E-9D5E397513D2}" name="Column14785"/>
    <tableColumn id="14813" xr3:uid="{6435CE44-6B5E-4756-A66F-44C18F90E24B}" name="Column14786"/>
    <tableColumn id="14814" xr3:uid="{5B680EDD-821A-47FB-B423-0A8A77EE4192}" name="Column14787"/>
    <tableColumn id="14815" xr3:uid="{D72E8240-2866-4568-A8D7-7BB959094214}" name="Column14788"/>
    <tableColumn id="14816" xr3:uid="{7F673A77-D0F0-436F-B295-DB9B2B6DA7AC}" name="Column14789"/>
    <tableColumn id="14817" xr3:uid="{165F2A8F-E559-4098-812E-44FA95FFAB80}" name="Column14790"/>
    <tableColumn id="14818" xr3:uid="{3391D87A-7C4B-40FC-9468-EF748FC7F862}" name="Column14791"/>
    <tableColumn id="14819" xr3:uid="{EFD7D0D7-F767-4EDE-92C0-AB9FCD052431}" name="Column14792"/>
    <tableColumn id="14820" xr3:uid="{072DBED2-68EF-4692-8AC2-9CF9FC9DF65F}" name="Column14793"/>
    <tableColumn id="14821" xr3:uid="{8984AFB5-D467-49E9-85E5-DB110A198410}" name="Column14794"/>
    <tableColumn id="14822" xr3:uid="{CFBA0860-CA18-45DE-A79A-E8082BF12A72}" name="Column14795"/>
    <tableColumn id="14823" xr3:uid="{A29C1FD1-381A-4162-BC33-AAB4E8283B7E}" name="Column14796"/>
    <tableColumn id="14824" xr3:uid="{4BA41B16-0D65-4DDD-A46E-00046FFDB268}" name="Column14797"/>
    <tableColumn id="14825" xr3:uid="{33F82A44-75B7-4A18-963B-AE539761F3E2}" name="Column14798"/>
    <tableColumn id="14826" xr3:uid="{98A58838-1BDC-40B6-99DC-A10086390936}" name="Column14799"/>
    <tableColumn id="14827" xr3:uid="{191A21E1-E3D5-4E63-A8C5-1BC5ECFF734F}" name="Column14800"/>
    <tableColumn id="14828" xr3:uid="{D2768216-56C0-40E0-A1B0-1752C2B2764C}" name="Column14801"/>
    <tableColumn id="14829" xr3:uid="{59B45B59-B2BF-4780-A2B0-107C7F252276}" name="Column14802"/>
    <tableColumn id="14830" xr3:uid="{3CBA6E9B-18DF-4876-BE40-6325C2A77BBD}" name="Column14803"/>
    <tableColumn id="14831" xr3:uid="{EB84B769-7FD5-4DA3-8317-EF9F38F5415B}" name="Column14804"/>
    <tableColumn id="14832" xr3:uid="{99B5630B-B871-4B27-BA93-3B9B2D4E12AC}" name="Column14805"/>
    <tableColumn id="14833" xr3:uid="{E484CC66-D27B-4433-9284-ADF76674A5AC}" name="Column14806"/>
    <tableColumn id="14834" xr3:uid="{7517872D-AEAD-4DDA-BA6E-C21E5BCD40BB}" name="Column14807"/>
    <tableColumn id="14835" xr3:uid="{B7325E7D-9157-4A92-90DE-3171E2D07F0A}" name="Column14808"/>
    <tableColumn id="14836" xr3:uid="{5A3990D2-D854-483E-8F0C-0E1493821908}" name="Column14809"/>
    <tableColumn id="14837" xr3:uid="{4F5310C2-C540-4BF8-A5ED-8678A656144D}" name="Column14810"/>
    <tableColumn id="14838" xr3:uid="{E35647ED-F99B-405B-A871-074ADEE85240}" name="Column14811"/>
    <tableColumn id="14839" xr3:uid="{4FCF7B9B-84F6-4751-8AD0-82A520F24031}" name="Column14812"/>
    <tableColumn id="14840" xr3:uid="{834010F1-0C28-449A-8EA9-7041BFDEED06}" name="Column14813"/>
    <tableColumn id="14841" xr3:uid="{809F4C2F-A07B-46F8-B344-E745B2442783}" name="Column14814"/>
    <tableColumn id="14842" xr3:uid="{23AF889C-49A0-41E5-B3C9-87EA96CA5BEF}" name="Column14815"/>
    <tableColumn id="14843" xr3:uid="{28977EFC-E5D2-4A29-B121-FA1FDE527838}" name="Column14816"/>
    <tableColumn id="14844" xr3:uid="{A0C24A57-EACA-4A0B-8BE4-9DE96CBA0016}" name="Column14817"/>
    <tableColumn id="14845" xr3:uid="{F396960C-7C05-4B65-B2E8-3BE929D4A435}" name="Column14818"/>
    <tableColumn id="14846" xr3:uid="{29040F86-B533-4AFA-AFE6-CF7EF788D672}" name="Column14819"/>
    <tableColumn id="14847" xr3:uid="{DC253D93-32CB-42A2-9574-9E8150083F79}" name="Column14820"/>
    <tableColumn id="14848" xr3:uid="{AB2FEF3D-613F-4AF3-BF10-1C25C5815E3D}" name="Column14821"/>
    <tableColumn id="14849" xr3:uid="{85876285-BD1D-4AF2-AD65-64F037598B50}" name="Column14822"/>
    <tableColumn id="14850" xr3:uid="{65B9CA2C-2D2A-4E13-9A79-5A885DA9CE11}" name="Column14823"/>
    <tableColumn id="14851" xr3:uid="{F86F5DB2-02E4-4891-A24B-CDA7767C0C80}" name="Column14824"/>
    <tableColumn id="14852" xr3:uid="{9F3193C0-B5ED-4C2C-9D24-54326ED6AD48}" name="Column14825"/>
    <tableColumn id="14853" xr3:uid="{E5303CB8-C8F0-4B9F-B814-D2CFE0E00B33}" name="Column14826"/>
    <tableColumn id="14854" xr3:uid="{B78830EE-8B8D-4F62-884E-B9A9A39C45B2}" name="Column14827"/>
    <tableColumn id="14855" xr3:uid="{39B757F5-8D1A-4298-BBB2-0AEF7641DB8E}" name="Column14828"/>
    <tableColumn id="14856" xr3:uid="{7F123825-4949-4CD4-BDE3-53A573296262}" name="Column14829"/>
    <tableColumn id="14857" xr3:uid="{D3AD6A31-CDD4-4560-8EE5-6D223096ED62}" name="Column14830"/>
    <tableColumn id="14858" xr3:uid="{6F968179-900D-47B5-8017-F8357252D81F}" name="Column14831"/>
    <tableColumn id="14859" xr3:uid="{8316C48B-93A8-44C2-B243-FD5897A7D870}" name="Column14832"/>
    <tableColumn id="14860" xr3:uid="{5311C6A6-3B5F-4E03-8318-056C4E7320BA}" name="Column14833"/>
    <tableColumn id="14861" xr3:uid="{FFB7E8E6-C4A0-43AC-B48B-3DA18C6AF76C}" name="Column14834"/>
    <tableColumn id="14862" xr3:uid="{1790AED6-F96A-4853-993E-BC2A0C87596A}" name="Column14835"/>
    <tableColumn id="14863" xr3:uid="{797E50A2-40CE-4232-AED2-CB68F6066428}" name="Column14836"/>
    <tableColumn id="14864" xr3:uid="{969EE5CB-0C5B-4343-899D-43F14484C264}" name="Column14837"/>
    <tableColumn id="14865" xr3:uid="{A25C5A7C-9DA0-4FF7-9471-FB1B9D6402C2}" name="Column14838"/>
    <tableColumn id="14866" xr3:uid="{60D065A2-5079-4B1C-84AB-EB3410BDA6BD}" name="Column14839"/>
    <tableColumn id="14867" xr3:uid="{22D8E171-A466-48F5-89DC-4272CC2B831F}" name="Column14840"/>
    <tableColumn id="14868" xr3:uid="{D3ABBD56-48A3-4430-AB11-CA0A93A500C4}" name="Column14841"/>
    <tableColumn id="14869" xr3:uid="{57861439-3FE2-45FD-8D1D-258E52CD6DD4}" name="Column14842"/>
    <tableColumn id="14870" xr3:uid="{405D6DCF-D0EF-4CDE-8D80-96CD0E5039E3}" name="Column14843"/>
    <tableColumn id="14871" xr3:uid="{D9AFAB2B-1C80-4901-9F5A-639F7546E3D9}" name="Column14844"/>
    <tableColumn id="14872" xr3:uid="{3A8C21B0-1788-4A36-8EDA-E38F10D3843F}" name="Column14845"/>
    <tableColumn id="14873" xr3:uid="{BE494642-E734-4547-8ADA-92A0D97E585B}" name="Column14846"/>
    <tableColumn id="14874" xr3:uid="{11F2A688-6939-492D-9EFD-CBEF87E97FB0}" name="Column14847"/>
    <tableColumn id="14875" xr3:uid="{73DCFECF-0900-4103-AF88-6FD8C2CEBF48}" name="Column14848"/>
    <tableColumn id="14876" xr3:uid="{DAC1DD1A-DBD8-45B7-8A19-EB9D46FA23A5}" name="Column14849"/>
    <tableColumn id="14877" xr3:uid="{7FF17300-F4AB-4AD4-BA71-0A61CD5B042A}" name="Column14850"/>
    <tableColumn id="14878" xr3:uid="{1F37DA38-E810-4469-865A-0C36C47960FB}" name="Column14851"/>
    <tableColumn id="14879" xr3:uid="{4DB7475A-0394-4D56-A8FA-B34D62A0D117}" name="Column14852"/>
    <tableColumn id="14880" xr3:uid="{561F383B-0BE9-4B55-9370-DAAAB9341E7B}" name="Column14853"/>
    <tableColumn id="14881" xr3:uid="{A1439967-CD8E-485C-9C2A-0840814774BE}" name="Column14854"/>
    <tableColumn id="14882" xr3:uid="{BC69C711-6BFB-4206-8894-7FCB400998A1}" name="Column14855"/>
    <tableColumn id="14883" xr3:uid="{E5AB0E88-3A93-42C2-A6FD-DA14D71D274D}" name="Column14856"/>
    <tableColumn id="14884" xr3:uid="{7F3B4858-D09C-4913-B29C-04431273E2D3}" name="Column14857"/>
    <tableColumn id="14885" xr3:uid="{DAEB1119-7DC1-4C23-ADCC-E75FA2BEF36A}" name="Column14858"/>
    <tableColumn id="14886" xr3:uid="{343BB08C-B389-498F-BCB1-42F5D3EF8D2D}" name="Column14859"/>
    <tableColumn id="14887" xr3:uid="{7E160E0E-C38F-466B-BCEA-4FC04958A41F}" name="Column14860"/>
    <tableColumn id="14888" xr3:uid="{D5FC8424-F2CD-4160-B1C7-D85311B51D3E}" name="Column14861"/>
    <tableColumn id="14889" xr3:uid="{E5C86571-6955-4F9F-96FF-178EA5EC3032}" name="Column14862"/>
    <tableColumn id="14890" xr3:uid="{C23AA205-33C4-40FE-B107-8502BFDB4BC1}" name="Column14863"/>
    <tableColumn id="14891" xr3:uid="{00512AE0-A2D1-4466-9447-3CEF66BADDE8}" name="Column14864"/>
    <tableColumn id="14892" xr3:uid="{C7B29FC6-B91A-4AB3-AD47-F3508366DE48}" name="Column14865"/>
    <tableColumn id="14893" xr3:uid="{30A673D1-F26C-42B2-AD0A-61CD94947058}" name="Column14866"/>
    <tableColumn id="14894" xr3:uid="{3B5C2E0C-07E1-44C3-A8C0-4B9C4570DAB2}" name="Column14867"/>
    <tableColumn id="14895" xr3:uid="{F902D816-C130-4239-BE0B-731C54C8F12E}" name="Column14868"/>
    <tableColumn id="14896" xr3:uid="{ECB8D188-0D64-420B-9E0B-94DAC35F0A56}" name="Column14869"/>
    <tableColumn id="14897" xr3:uid="{2F13E70B-EE28-4CC6-BDB0-CCB9331E82C6}" name="Column14870"/>
    <tableColumn id="14898" xr3:uid="{AD93026A-1880-4851-B607-C390B19C28E1}" name="Column14871"/>
    <tableColumn id="14899" xr3:uid="{DAD5DBE4-533F-4F2D-A3FD-DAC01B5F3C55}" name="Column14872"/>
    <tableColumn id="14900" xr3:uid="{A02C30A5-8139-432C-BB50-67B50C246B6B}" name="Column14873"/>
    <tableColumn id="14901" xr3:uid="{B3ED06DC-4B62-4043-B412-A69775876716}" name="Column14874"/>
    <tableColumn id="14902" xr3:uid="{EBC5555E-ED60-4365-B02E-E9E875171F8E}" name="Column14875"/>
    <tableColumn id="14903" xr3:uid="{5B0D2D77-85B0-42F8-9A3A-961FC705D61F}" name="Column14876"/>
    <tableColumn id="14904" xr3:uid="{8F13737B-A0BD-451B-98DF-3DF07B154B78}" name="Column14877"/>
    <tableColumn id="14905" xr3:uid="{B268ADC6-F178-4F39-8269-C0271568729B}" name="Column14878"/>
    <tableColumn id="14906" xr3:uid="{E12667A6-5BF4-4046-A231-CF4377A6F392}" name="Column14879"/>
    <tableColumn id="14907" xr3:uid="{B7B6C2AF-8EF2-4491-A173-7EDB7B3DD9FB}" name="Column14880"/>
    <tableColumn id="14908" xr3:uid="{50685770-8F4A-4EFD-A3CC-9295B41D9884}" name="Column14881"/>
    <tableColumn id="14909" xr3:uid="{9D8DF513-A6B6-482A-BB90-536265C48758}" name="Column14882"/>
    <tableColumn id="14910" xr3:uid="{FFEEE68E-7551-4BAF-A198-F7604FBCA2B6}" name="Column14883"/>
    <tableColumn id="14911" xr3:uid="{15D35B8E-7719-420C-8D71-E9957B15FCB3}" name="Column14884"/>
    <tableColumn id="14912" xr3:uid="{78523D5F-18E7-4FFE-8B63-53D02FFB0A77}" name="Column14885"/>
    <tableColumn id="14913" xr3:uid="{B784A469-F35A-4F97-A427-A7CE324CCD5E}" name="Column14886"/>
    <tableColumn id="14914" xr3:uid="{EBF90438-AD33-4A84-8DAC-80E870E8F49B}" name="Column14887"/>
    <tableColumn id="14915" xr3:uid="{D183CD3F-281A-46CA-BA64-FB19F8F100DF}" name="Column14888"/>
    <tableColumn id="14916" xr3:uid="{BBB820FF-D65A-48D9-B7CD-31CF8605BC72}" name="Column14889"/>
    <tableColumn id="14917" xr3:uid="{B8131C3C-7653-4538-8266-9D3CE5F6A3D5}" name="Column14890"/>
    <tableColumn id="14918" xr3:uid="{A68DE0E2-5CA4-418A-B3B7-E22CB3E578A4}" name="Column14891"/>
    <tableColumn id="14919" xr3:uid="{59831A4D-035F-4D9A-87C6-C476B627ECF9}" name="Column14892"/>
    <tableColumn id="14920" xr3:uid="{AB4D9278-AEC4-48DF-8A9B-51DC635D9A83}" name="Column14893"/>
    <tableColumn id="14921" xr3:uid="{352FE746-BFDE-4445-8086-578FAFF12286}" name="Column14894"/>
    <tableColumn id="14922" xr3:uid="{E90DDBBA-97E5-4FD7-9266-438A63FD87CE}" name="Column14895"/>
    <tableColumn id="14923" xr3:uid="{3D14C79A-CF25-4999-ADB0-D4308B4B73AC}" name="Column14896"/>
    <tableColumn id="14924" xr3:uid="{45118C75-7D44-45E9-9B79-5DF864201F04}" name="Column14897"/>
    <tableColumn id="14925" xr3:uid="{8F53D0CF-45E6-42AE-ABB5-A889EE49F77C}" name="Column14898"/>
    <tableColumn id="14926" xr3:uid="{68707CCC-00D6-49BF-B28F-750D3D1A29D7}" name="Column14899"/>
    <tableColumn id="14927" xr3:uid="{0E8F36BE-1239-4E5A-B57B-013AD66C8DCD}" name="Column14900"/>
    <tableColumn id="14928" xr3:uid="{8728D2B2-F0CC-457D-841A-F515D226AA3D}" name="Column14901"/>
    <tableColumn id="14929" xr3:uid="{D35BB91F-EAE3-4E83-933C-7047FC0C4FD6}" name="Column14902"/>
    <tableColumn id="14930" xr3:uid="{71B6E462-034F-4C4B-9C8C-3A87E5B110FA}" name="Column14903"/>
    <tableColumn id="14931" xr3:uid="{48D18377-7687-4192-98F4-26A4A2A24722}" name="Column14904"/>
    <tableColumn id="14932" xr3:uid="{158390C9-2CF1-4E5F-92F5-4BC9AAF6E692}" name="Column14905"/>
    <tableColumn id="14933" xr3:uid="{EB8BBA7A-3862-4664-AC38-2EBBC4911239}" name="Column14906"/>
    <tableColumn id="14934" xr3:uid="{93A51373-735B-48EF-BCFA-4DCF32335E58}" name="Column14907"/>
    <tableColumn id="14935" xr3:uid="{36EC12C9-B1FA-408F-AFEB-E3EE0F807AA9}" name="Column14908"/>
    <tableColumn id="14936" xr3:uid="{EB534E15-6616-466A-9D3C-9D8C92EA7162}" name="Column14909"/>
    <tableColumn id="14937" xr3:uid="{07351C98-9706-412B-90D8-4FF4EE5E9DE0}" name="Column14910"/>
    <tableColumn id="14938" xr3:uid="{2F29E9C5-E106-4FD8-B748-5C02F0EFDD24}" name="Column14911"/>
    <tableColumn id="14939" xr3:uid="{71C26F71-0C66-4640-8C65-F2F6BFDBC8AA}" name="Column14912"/>
    <tableColumn id="14940" xr3:uid="{03BC08C1-3628-4F5B-85F8-061DB254AA9C}" name="Column14913"/>
    <tableColumn id="14941" xr3:uid="{42092076-D141-44CE-A421-74F0E246F930}" name="Column14914"/>
    <tableColumn id="14942" xr3:uid="{F499DE26-2B7B-420B-AC79-9B0E51F870C5}" name="Column14915"/>
    <tableColumn id="14943" xr3:uid="{8A260457-8D2E-450D-9482-295E928BAB8E}" name="Column14916"/>
    <tableColumn id="14944" xr3:uid="{EFED143B-A018-4A0A-A628-AB09AEF38F92}" name="Column14917"/>
    <tableColumn id="14945" xr3:uid="{C827D1D7-E50C-4486-A195-0D5EA02B9B26}" name="Column14918"/>
    <tableColumn id="14946" xr3:uid="{174B2037-E72C-42E6-A337-5680E32D76E8}" name="Column14919"/>
    <tableColumn id="14947" xr3:uid="{493D6235-8DFB-44B1-8DBF-C60870E220A5}" name="Column14920"/>
    <tableColumn id="14948" xr3:uid="{39D6F923-BED9-49C3-A39E-3577FDED9549}" name="Column14921"/>
    <tableColumn id="14949" xr3:uid="{8D0CE14C-C203-4B12-A249-9D89982F5E43}" name="Column14922"/>
    <tableColumn id="14950" xr3:uid="{E9035CB4-CB7B-463A-8A90-D6A8007B999C}" name="Column14923"/>
    <tableColumn id="14951" xr3:uid="{006E00F2-EBDE-4413-9A7E-D17BE8E6ED13}" name="Column14924"/>
    <tableColumn id="14952" xr3:uid="{89774F4F-7AFA-4579-9FC6-184A737459FA}" name="Column14925"/>
    <tableColumn id="14953" xr3:uid="{865AC03B-F37F-4813-BB28-3342DE932990}" name="Column14926"/>
    <tableColumn id="14954" xr3:uid="{D1BF3981-6C47-4999-8036-A6A7690540DC}" name="Column14927"/>
    <tableColumn id="14955" xr3:uid="{0B439E5F-6397-456F-926E-A2A547E278B1}" name="Column14928"/>
    <tableColumn id="14956" xr3:uid="{E631926D-7DB0-49AB-B866-35076E6D78E9}" name="Column14929"/>
    <tableColumn id="14957" xr3:uid="{262D8F3E-040F-4C45-BCAC-2B3CD5869991}" name="Column14930"/>
    <tableColumn id="14958" xr3:uid="{62099786-5752-45FC-AFCA-3C5BC88FC48C}" name="Column14931"/>
    <tableColumn id="14959" xr3:uid="{D056109F-3044-46E5-8279-09240D555EEB}" name="Column14932"/>
    <tableColumn id="14960" xr3:uid="{BA217B8C-DA9D-4C20-8D6F-0BA3584E1172}" name="Column14933"/>
    <tableColumn id="14961" xr3:uid="{C9BF39B8-CB6D-4FB2-B4E4-37230CC7F311}" name="Column14934"/>
    <tableColumn id="14962" xr3:uid="{F3DBE92F-9F32-467B-85A7-8E73D732D79A}" name="Column14935"/>
    <tableColumn id="14963" xr3:uid="{D7B309CC-5814-4494-A0F8-C4491C4B864C}" name="Column14936"/>
    <tableColumn id="14964" xr3:uid="{30C9FCDA-B330-44FA-98DC-99B5090B11FF}" name="Column14937"/>
    <tableColumn id="14965" xr3:uid="{A585C658-BF71-4A30-9A9A-279CE4ECAB59}" name="Column14938"/>
    <tableColumn id="14966" xr3:uid="{200C5C9D-9990-4343-AE48-15A4FF77902A}" name="Column14939"/>
    <tableColumn id="14967" xr3:uid="{EEA7A74D-1A41-49C8-B0D4-8AD61E689E80}" name="Column14940"/>
    <tableColumn id="14968" xr3:uid="{10E2EBAE-9337-4D68-99AB-99417E0008B0}" name="Column14941"/>
    <tableColumn id="14969" xr3:uid="{514B8866-EF28-4A1D-9D0D-534E7C4AEF37}" name="Column14942"/>
    <tableColumn id="14970" xr3:uid="{4D81BFC3-D809-4938-ACD4-5ADF7B43DA92}" name="Column14943"/>
    <tableColumn id="14971" xr3:uid="{AC0C0C68-69D4-4BA6-BAFE-E769A381972A}" name="Column14944"/>
    <tableColumn id="14972" xr3:uid="{CA05C04D-7FEB-4D69-A7C1-7F88DC653A7B}" name="Column14945"/>
    <tableColumn id="14973" xr3:uid="{84F72CC9-B3BF-4311-ADF2-AF2A0CCC5290}" name="Column14946"/>
    <tableColumn id="14974" xr3:uid="{D710A4E1-E66B-49CC-9D95-17B03933601D}" name="Column14947"/>
    <tableColumn id="14975" xr3:uid="{B4B13961-0A80-4138-A035-10B76E951DB5}" name="Column14948"/>
    <tableColumn id="14976" xr3:uid="{0305CCF6-7A95-46E6-A2B7-C60EDA65DDD1}" name="Column14949"/>
    <tableColumn id="14977" xr3:uid="{27E25EE6-37EF-4282-9610-38FF1505B7E7}" name="Column14950"/>
    <tableColumn id="14978" xr3:uid="{F2551A7E-CC9D-45DB-9935-5E87DB040094}" name="Column14951"/>
    <tableColumn id="14979" xr3:uid="{0DEDBC52-915F-43E5-9707-473B99300DF0}" name="Column14952"/>
    <tableColumn id="14980" xr3:uid="{668D9F65-1E04-4271-8C9A-3594CDC1BE81}" name="Column14953"/>
    <tableColumn id="14981" xr3:uid="{2E7543D1-A66C-4FB5-BE01-CDE0AD2278C9}" name="Column14954"/>
    <tableColumn id="14982" xr3:uid="{389BA35A-8420-4DA7-B363-17D133730410}" name="Column14955"/>
    <tableColumn id="14983" xr3:uid="{8B4AFF17-7570-4C59-AFA0-83907ADEA86D}" name="Column14956"/>
    <tableColumn id="14984" xr3:uid="{66ECD83E-861F-4AB6-9FA6-97FC07D5E66E}" name="Column14957"/>
    <tableColumn id="14985" xr3:uid="{D692F40C-C071-43CB-B866-3FD4015D6B98}" name="Column14958"/>
    <tableColumn id="14986" xr3:uid="{232B1555-35DB-436C-B95A-DB57B0A415F2}" name="Column14959"/>
    <tableColumn id="14987" xr3:uid="{1CFE1F53-C354-4187-B3E1-8E92008EF262}" name="Column14960"/>
    <tableColumn id="14988" xr3:uid="{5C03BA97-A69D-4A01-9E7E-A0A83E919CA7}" name="Column14961"/>
    <tableColumn id="14989" xr3:uid="{97FE1F44-3165-4147-9C07-71F7B0631399}" name="Column14962"/>
    <tableColumn id="14990" xr3:uid="{B082673F-75A0-4E62-A502-31DC9D76EA47}" name="Column14963"/>
    <tableColumn id="14991" xr3:uid="{3CFDA3FA-1D14-4BF4-978B-D0372C429BCA}" name="Column14964"/>
    <tableColumn id="14992" xr3:uid="{6CE5BB4B-6747-4460-A414-6E7E2BD90A1D}" name="Column14965"/>
    <tableColumn id="14993" xr3:uid="{230AC797-24EE-4D4F-8CA5-DCE5D6CE6C67}" name="Column14966"/>
    <tableColumn id="14994" xr3:uid="{1257F7EB-563D-4712-848A-664594DB2B15}" name="Column14967"/>
    <tableColumn id="14995" xr3:uid="{9D33B6A9-31C7-4DB9-8C4A-E9C18CDFAC26}" name="Column14968"/>
    <tableColumn id="14996" xr3:uid="{4779E0CE-916D-4911-A741-2D84B9907740}" name="Column14969"/>
    <tableColumn id="14997" xr3:uid="{620BA5CB-9CA0-42CB-B1F0-3BFC0920CCFB}" name="Column14970"/>
    <tableColumn id="14998" xr3:uid="{2712878F-C360-4CB0-8B61-94264DF1028E}" name="Column14971"/>
    <tableColumn id="14999" xr3:uid="{EEBA520E-7715-45EB-AF5B-600E5E687B17}" name="Column14972"/>
    <tableColumn id="15000" xr3:uid="{B110C56A-F1F6-4641-BCB3-182999D2A879}" name="Column14973"/>
    <tableColumn id="15001" xr3:uid="{B75CEC88-78A7-4919-B7E2-DB5D5F04B07A}" name="Column14974"/>
    <tableColumn id="15002" xr3:uid="{789D8896-F0D1-4855-91CC-E54CBCA59998}" name="Column14975"/>
    <tableColumn id="15003" xr3:uid="{7ECD05B2-8B01-4B1F-B07C-8D6B9062BE70}" name="Column14976"/>
    <tableColumn id="15004" xr3:uid="{D3C1F489-14A6-4F0D-8412-F5AAE40E4A8C}" name="Column14977"/>
    <tableColumn id="15005" xr3:uid="{7DC715D3-1B6D-4520-8EB9-6695B317E7D8}" name="Column14978"/>
    <tableColumn id="15006" xr3:uid="{E04599CD-4943-4DCF-AC60-C5633AFEDC5A}" name="Column14979"/>
    <tableColumn id="15007" xr3:uid="{9D4A7BEA-2E8E-4B78-8C3C-FD0566261DA8}" name="Column14980"/>
    <tableColumn id="15008" xr3:uid="{919CB37C-C93F-4B06-A9B6-196963E6AD6D}" name="Column14981"/>
    <tableColumn id="15009" xr3:uid="{EEA3A948-B039-45BA-9069-6A6A0B9B5D40}" name="Column14982"/>
    <tableColumn id="15010" xr3:uid="{BD3F6449-D3D3-46F4-8850-F1F4C9101010}" name="Column14983"/>
    <tableColumn id="15011" xr3:uid="{2A095717-6450-4DA6-9977-039D875B7B56}" name="Column14984"/>
    <tableColumn id="15012" xr3:uid="{CD29DC57-7FBB-48B3-A957-FF697BEF565C}" name="Column14985"/>
    <tableColumn id="15013" xr3:uid="{76ADE775-1BCD-4759-A190-27955C2FFBEC}" name="Column14986"/>
    <tableColumn id="15014" xr3:uid="{B8767DA6-E690-4E76-BF5C-79C38AA90AD3}" name="Column14987"/>
    <tableColumn id="15015" xr3:uid="{A9914ADE-BF25-4F66-82C5-26AEA48F369C}" name="Column14988"/>
    <tableColumn id="15016" xr3:uid="{F84A2DC3-2095-4AD3-9BBA-A5D6336A4DD1}" name="Column14989"/>
    <tableColumn id="15017" xr3:uid="{2B80D5F5-6F1B-4685-AE7B-3CABC80F4978}" name="Column14990"/>
    <tableColumn id="15018" xr3:uid="{4DA7FC86-C7FA-47CD-9578-877FB32CBF4F}" name="Column14991"/>
    <tableColumn id="15019" xr3:uid="{396AAC8C-3C99-4313-944F-09C582E4CABE}" name="Column14992"/>
    <tableColumn id="15020" xr3:uid="{E2E347B3-57C4-4D8E-B321-D19F7E32CC30}" name="Column14993"/>
    <tableColumn id="15021" xr3:uid="{DB550137-3C6E-4ABE-932B-7EC6C489B071}" name="Column14994"/>
    <tableColumn id="15022" xr3:uid="{DF555691-8169-41C7-A682-6FB8DB795D53}" name="Column14995"/>
    <tableColumn id="15023" xr3:uid="{5D30B8FE-6B28-43CE-B762-776FB5D1AC45}" name="Column14996"/>
    <tableColumn id="15024" xr3:uid="{7039B42E-A75B-4ADC-BCCF-CE16B89B72EF}" name="Column14997"/>
    <tableColumn id="15025" xr3:uid="{927A3BB8-B154-4283-AEA5-4B03D0A732A9}" name="Column14998"/>
    <tableColumn id="15026" xr3:uid="{CD9FCEE7-C8C6-42B9-9BDD-4EBEE78A7694}" name="Column14999"/>
    <tableColumn id="15027" xr3:uid="{EF5E8380-98AA-43DB-8A07-44E563F1CCC3}" name="Column15000"/>
    <tableColumn id="15028" xr3:uid="{A08B5BA5-032D-43D8-A4FB-9C7E7E8355B3}" name="Column15001"/>
    <tableColumn id="15029" xr3:uid="{8CBF07D9-18CE-4C22-950D-754189962E57}" name="Column15002"/>
    <tableColumn id="15030" xr3:uid="{1DA8E1AB-8975-4477-A6D9-1CC7F83CAC36}" name="Column15003"/>
    <tableColumn id="15031" xr3:uid="{324D5D5A-CFBC-43CE-ADF6-2B7E910F4557}" name="Column15004"/>
    <tableColumn id="15032" xr3:uid="{BDB666ED-A0E3-4EDA-B573-9503A8D25709}" name="Column15005"/>
    <tableColumn id="15033" xr3:uid="{2E1D438D-932C-44BA-BF74-082CA5364934}" name="Column15006"/>
    <tableColumn id="15034" xr3:uid="{F04E9659-776A-4233-B84B-A9E4457B2C73}" name="Column15007"/>
    <tableColumn id="15035" xr3:uid="{3183D351-B7C9-47B3-AFEA-A0AABBE81191}" name="Column15008"/>
    <tableColumn id="15036" xr3:uid="{F743F925-D03C-4C4C-96CC-462695ED7232}" name="Column15009"/>
    <tableColumn id="15037" xr3:uid="{A48C3A3C-D0CD-4123-840B-D83888EABE50}" name="Column15010"/>
    <tableColumn id="15038" xr3:uid="{A6C55F07-7791-4DED-BA2C-96E68AD36375}" name="Column15011"/>
    <tableColumn id="15039" xr3:uid="{BA4FA2C9-E02C-475A-8CCD-6C64D983B90C}" name="Column15012"/>
    <tableColumn id="15040" xr3:uid="{6CA2AF11-75C7-43E2-B387-CCC63DD2D33C}" name="Column15013"/>
    <tableColumn id="15041" xr3:uid="{AFC4D4C4-76FD-46DA-8678-53BB30CEACEB}" name="Column15014"/>
    <tableColumn id="15042" xr3:uid="{DBC0E7E2-8234-4B15-953C-A56B0F519CCE}" name="Column15015"/>
    <tableColumn id="15043" xr3:uid="{E157DDEC-0EA9-4F80-A0C5-E2AEAA036827}" name="Column15016"/>
    <tableColumn id="15044" xr3:uid="{0D0DD045-5420-41CB-BCD0-072027CB718E}" name="Column15017"/>
    <tableColumn id="15045" xr3:uid="{BB00E81A-B46C-456D-8F80-C100CCD4A4D9}" name="Column15018"/>
    <tableColumn id="15046" xr3:uid="{38522146-FCF1-4F82-98E9-7997F2E34010}" name="Column15019"/>
    <tableColumn id="15047" xr3:uid="{39C8755A-181F-4273-BD68-FE2EE776ECFE}" name="Column15020"/>
    <tableColumn id="15048" xr3:uid="{71DABB14-889B-4B08-972D-FBCAA49BD4B7}" name="Column15021"/>
    <tableColumn id="15049" xr3:uid="{240977D1-2985-4ECD-8709-BC8E787C073F}" name="Column15022"/>
    <tableColumn id="15050" xr3:uid="{AE87AFB2-D61C-4043-8E76-4D25CF9E2E7F}" name="Column15023"/>
    <tableColumn id="15051" xr3:uid="{6A352D96-16DA-4E93-A017-F889054A9F2C}" name="Column15024"/>
    <tableColumn id="15052" xr3:uid="{A9AB738D-8818-43CD-8BFC-53CED4542CC8}" name="Column15025"/>
    <tableColumn id="15053" xr3:uid="{39E7BE37-24B5-4A3D-A325-C30BD5BECFAE}" name="Column15026"/>
    <tableColumn id="15054" xr3:uid="{CD1F9618-05C1-4963-8A93-3652C172C838}" name="Column15027"/>
    <tableColumn id="15055" xr3:uid="{5D44A1B7-34BA-4989-9000-E6A942EDF9E7}" name="Column15028"/>
    <tableColumn id="15056" xr3:uid="{52427BD3-7792-4401-B09E-4252F9FBECBD}" name="Column15029"/>
    <tableColumn id="15057" xr3:uid="{93F90E90-90DB-4B26-8715-2A55F3993122}" name="Column15030"/>
    <tableColumn id="15058" xr3:uid="{425C0319-18CE-4CB3-92E6-FE7FE452CAC8}" name="Column15031"/>
    <tableColumn id="15059" xr3:uid="{23A2D0E5-D41D-4866-88D5-FFC5B761821B}" name="Column15032"/>
    <tableColumn id="15060" xr3:uid="{A25D6092-64BC-4532-A7AC-5DC151B8B4CB}" name="Column15033"/>
    <tableColumn id="15061" xr3:uid="{C8FBDACC-493E-45EC-9F5E-088F3A03A09F}" name="Column15034"/>
    <tableColumn id="15062" xr3:uid="{A0E83EC8-948A-4BFB-BC70-C77CC855B556}" name="Column15035"/>
    <tableColumn id="15063" xr3:uid="{1C973EC8-4D1F-4D45-A6D4-1E438CDB521B}" name="Column15036"/>
    <tableColumn id="15064" xr3:uid="{03EB1B85-7521-42E2-9EEE-9C5120DED1C0}" name="Column15037"/>
    <tableColumn id="15065" xr3:uid="{9DDA2FC4-CB4F-4EFF-96F3-02C96CD3729C}" name="Column15038"/>
    <tableColumn id="15066" xr3:uid="{23C5475B-4B8F-4C6A-BBC0-D270F488D475}" name="Column15039"/>
    <tableColumn id="15067" xr3:uid="{E10F881A-B4DF-4FCF-AD80-27043B474CB8}" name="Column15040"/>
    <tableColumn id="15068" xr3:uid="{2CD12E23-E841-48A6-A23F-789F6C9C9484}" name="Column15041"/>
    <tableColumn id="15069" xr3:uid="{4CB8B545-0E01-4848-AD70-DD43A9DF8E5D}" name="Column15042"/>
    <tableColumn id="15070" xr3:uid="{267E9776-B74B-40EC-87E4-369E58B75AFB}" name="Column15043"/>
    <tableColumn id="15071" xr3:uid="{DCD32C7B-1F2B-464D-9327-F58670843232}" name="Column15044"/>
    <tableColumn id="15072" xr3:uid="{712F08C9-3501-4104-B0AF-8B3E34C181A0}" name="Column15045"/>
    <tableColumn id="15073" xr3:uid="{03028379-DCA5-4A46-A6A6-5761379C8D05}" name="Column15046"/>
    <tableColumn id="15074" xr3:uid="{FF705D0B-A55B-4ECD-8172-2BE477B3FADC}" name="Column15047"/>
    <tableColumn id="15075" xr3:uid="{E0F86986-23BF-4322-92F8-4B67C63A6E08}" name="Column15048"/>
    <tableColumn id="15076" xr3:uid="{3B7AC46D-8A0E-4346-92BF-426F37D0F5DC}" name="Column15049"/>
    <tableColumn id="15077" xr3:uid="{4818E153-CE73-4BFB-9635-77968E3D4958}" name="Column15050"/>
    <tableColumn id="15078" xr3:uid="{0AAD16A9-EA5A-4323-B300-18EA037378B6}" name="Column15051"/>
    <tableColumn id="15079" xr3:uid="{F5EE7812-C9F6-4833-9623-8A8BAA4D698A}" name="Column15052"/>
    <tableColumn id="15080" xr3:uid="{FE5DDB0A-4CDB-466F-8404-73B59B8B8480}" name="Column15053"/>
    <tableColumn id="15081" xr3:uid="{C3C170B0-68AC-48A8-9299-BAC0A46D94A6}" name="Column15054"/>
    <tableColumn id="15082" xr3:uid="{135581AC-25AE-4A63-B991-C5918C3395E9}" name="Column15055"/>
    <tableColumn id="15083" xr3:uid="{4D5EE11A-945C-4445-9013-807C47E6CF7A}" name="Column15056"/>
    <tableColumn id="15084" xr3:uid="{FB725C6D-F9D0-40E3-A9CC-F70F37E1857F}" name="Column15057"/>
    <tableColumn id="15085" xr3:uid="{D69FE84E-7C8B-4178-8369-F401945F78FA}" name="Column15058"/>
    <tableColumn id="15086" xr3:uid="{F7261644-4B4C-4EC7-BB54-71B3FD38FBCD}" name="Column15059"/>
    <tableColumn id="15087" xr3:uid="{D72255DD-28C3-4736-B722-5B9F0D5B9D22}" name="Column15060"/>
    <tableColumn id="15088" xr3:uid="{572B1589-7FD4-41E0-903F-781CC5B9D832}" name="Column15061"/>
    <tableColumn id="15089" xr3:uid="{29EE1DA9-B1DA-431A-A3D8-2ECDA024CB8E}" name="Column15062"/>
    <tableColumn id="15090" xr3:uid="{3BD61481-8BBD-48B1-B423-E9BE66171E9F}" name="Column15063"/>
    <tableColumn id="15091" xr3:uid="{73841D8C-EBA2-4239-AC0A-85EE4EA7D509}" name="Column15064"/>
    <tableColumn id="15092" xr3:uid="{FCA1ABDE-D910-4721-9AE6-59D5959E354F}" name="Column15065"/>
    <tableColumn id="15093" xr3:uid="{31867843-46D4-4287-92EB-2082446B3D60}" name="Column15066"/>
    <tableColumn id="15094" xr3:uid="{C343BCE0-FEAF-4468-A121-104B943ABDF5}" name="Column15067"/>
    <tableColumn id="15095" xr3:uid="{022F4FE5-5DB9-4C1F-8850-9A0E5FC9B2CF}" name="Column15068"/>
    <tableColumn id="15096" xr3:uid="{2F05020F-FDB0-4F90-9961-7963E82B1D4C}" name="Column15069"/>
    <tableColumn id="15097" xr3:uid="{E79733A6-DC04-4828-8C5D-5B712972470D}" name="Column15070"/>
    <tableColumn id="15098" xr3:uid="{E20BF22B-C88D-49ED-9F58-2FCE089026DD}" name="Column15071"/>
    <tableColumn id="15099" xr3:uid="{C33B645E-4A23-4408-B681-A004282D0B26}" name="Column15072"/>
    <tableColumn id="15100" xr3:uid="{1D348183-3508-41C2-86CB-7DECA1E72E2D}" name="Column15073"/>
    <tableColumn id="15101" xr3:uid="{820A0632-3186-40A5-A47B-AEAC9D559673}" name="Column15074"/>
    <tableColumn id="15102" xr3:uid="{A5AAA232-C325-41ED-9247-3D03C9BDCE1E}" name="Column15075"/>
    <tableColumn id="15103" xr3:uid="{4EAF090B-F329-4245-8E15-E9326CD82970}" name="Column15076"/>
    <tableColumn id="15104" xr3:uid="{F81FB025-35A9-4309-9750-0835B3682578}" name="Column15077"/>
    <tableColumn id="15105" xr3:uid="{0C8379B4-2FAA-4634-9670-29A5AA7EF1F5}" name="Column15078"/>
    <tableColumn id="15106" xr3:uid="{FA345956-AC57-48A9-92D1-8A9CE2E52120}" name="Column15079"/>
    <tableColumn id="15107" xr3:uid="{51668991-081D-468C-82C4-935EFED871E5}" name="Column15080"/>
    <tableColumn id="15108" xr3:uid="{AA31FD6D-2C10-496B-A3E7-3220B27C3091}" name="Column15081"/>
    <tableColumn id="15109" xr3:uid="{6FB42865-E07C-4203-8264-A205A99FBE84}" name="Column15082"/>
    <tableColumn id="15110" xr3:uid="{C2904466-140A-40E9-826F-0BD6FFA5E11F}" name="Column15083"/>
    <tableColumn id="15111" xr3:uid="{D0295E4E-CB91-40F2-AF5A-F3A866806945}" name="Column15084"/>
    <tableColumn id="15112" xr3:uid="{6A07BC2A-1993-455D-B8C2-B16AAFE12C69}" name="Column15085"/>
    <tableColumn id="15113" xr3:uid="{7FFCB15A-9131-49C8-A897-D711DB8266BD}" name="Column15086"/>
    <tableColumn id="15114" xr3:uid="{492DA455-91FB-4A78-B101-8F433A5A1574}" name="Column15087"/>
    <tableColumn id="15115" xr3:uid="{7C8D49A0-4744-43EB-AA3E-114497B2EC36}" name="Column15088"/>
    <tableColumn id="15116" xr3:uid="{0B03DF20-F205-4D5A-B0C3-C5144E580BBD}" name="Column15089"/>
    <tableColumn id="15117" xr3:uid="{BF24678F-7A4F-470A-A800-D200E0E0D75E}" name="Column15090"/>
    <tableColumn id="15118" xr3:uid="{585179FD-06A0-46BD-8397-D9C44B5C3BEA}" name="Column15091"/>
    <tableColumn id="15119" xr3:uid="{40DE27BB-83A1-43FF-BD72-04692CEF772A}" name="Column15092"/>
    <tableColumn id="15120" xr3:uid="{2B87B78A-00B5-47C0-880E-FD3D0C431A88}" name="Column15093"/>
    <tableColumn id="15121" xr3:uid="{A3D7BC1B-1D9A-47F1-948D-FABA4A073A66}" name="Column15094"/>
    <tableColumn id="15122" xr3:uid="{8F3726B3-EDB7-4FA6-8F89-E037EAB59D18}" name="Column15095"/>
    <tableColumn id="15123" xr3:uid="{17E083D5-3559-4A17-893B-FE86B00CD67D}" name="Column15096"/>
    <tableColumn id="15124" xr3:uid="{691042E9-3FC0-4F54-8DF2-358BA12B0577}" name="Column15097"/>
    <tableColumn id="15125" xr3:uid="{E375570F-B62A-4950-BD52-A6DBAD697CAD}" name="Column15098"/>
    <tableColumn id="15126" xr3:uid="{8C15BE4A-55BF-4809-BCEF-E145D6C5CF5D}" name="Column15099"/>
    <tableColumn id="15127" xr3:uid="{9D371BCA-1207-4B16-93C1-52EB6A194208}" name="Column15100"/>
    <tableColumn id="15128" xr3:uid="{A37A726A-643A-4C10-B218-9B56F7DB138E}" name="Column15101"/>
    <tableColumn id="15129" xr3:uid="{B88B4ADD-A45B-4DFF-ABC4-B07CAFA0D779}" name="Column15102"/>
    <tableColumn id="15130" xr3:uid="{FCF17FEB-5773-4C1A-8DC1-5FA0AB4A8610}" name="Column15103"/>
    <tableColumn id="15131" xr3:uid="{74F28251-DA2E-4007-823A-AA5D51A53E73}" name="Column15104"/>
    <tableColumn id="15132" xr3:uid="{5CD416F4-AE9A-4B7A-8C3E-7E99810E3E00}" name="Column15105"/>
    <tableColumn id="15133" xr3:uid="{A7103289-5578-46F4-A843-994F268417F4}" name="Column15106"/>
    <tableColumn id="15134" xr3:uid="{DA82A0EB-8C0F-495F-8E68-8658B1F87FE9}" name="Column15107"/>
    <tableColumn id="15135" xr3:uid="{764E3FB0-376D-4B5F-AD83-5EB169FEA15B}" name="Column15108"/>
    <tableColumn id="15136" xr3:uid="{C007812C-5F7B-4EF9-AC1F-484BD44FD794}" name="Column15109"/>
    <tableColumn id="15137" xr3:uid="{1A26F74B-E24E-41D3-B517-628C679AC268}" name="Column15110"/>
    <tableColumn id="15138" xr3:uid="{DFA554D2-6BA7-4B03-AF9D-ECEB07E22EB4}" name="Column15111"/>
    <tableColumn id="15139" xr3:uid="{EE6D7A09-0F01-4CB3-8292-A2E41854AE5D}" name="Column15112"/>
    <tableColumn id="15140" xr3:uid="{D5A5DD04-7D8E-4124-ABAB-8810ED58BDEC}" name="Column15113"/>
    <tableColumn id="15141" xr3:uid="{5B0ABDB1-F6D8-41E6-986E-75356A61A81E}" name="Column15114"/>
    <tableColumn id="15142" xr3:uid="{CD9F9067-30E5-4E4D-9C51-4C9594DAF99F}" name="Column15115"/>
    <tableColumn id="15143" xr3:uid="{E1B732ED-A6EB-42A3-B05D-AC09A6D3B8BD}" name="Column15116"/>
    <tableColumn id="15144" xr3:uid="{51E9F680-21CD-4AF9-B4D1-48E116340DDB}" name="Column15117"/>
    <tableColumn id="15145" xr3:uid="{C0BD12A8-6E9D-4DDE-917F-C54A0FD74F85}" name="Column15118"/>
    <tableColumn id="15146" xr3:uid="{606FA991-FB4B-496F-9F6A-873E295F228C}" name="Column15119"/>
    <tableColumn id="15147" xr3:uid="{F64FB7CC-CB77-46D9-BA2C-5572D4410464}" name="Column15120"/>
    <tableColumn id="15148" xr3:uid="{DF64949B-1D7D-46B1-9232-EACC5B628EE9}" name="Column15121"/>
    <tableColumn id="15149" xr3:uid="{D7DDFC7B-F39D-4B86-8B9B-5D370EF2B301}" name="Column15122"/>
    <tableColumn id="15150" xr3:uid="{C863A4DE-8190-4F9A-B362-7FC9488A3C9F}" name="Column15123"/>
    <tableColumn id="15151" xr3:uid="{1E6B1849-2A91-4D30-B67C-B77C2078C10E}" name="Column15124"/>
    <tableColumn id="15152" xr3:uid="{A19FDEEC-B46C-4B22-B606-AAE2FB6E44E8}" name="Column15125"/>
    <tableColumn id="15153" xr3:uid="{DEAD1331-177A-4A97-A673-6435E54281DE}" name="Column15126"/>
    <tableColumn id="15154" xr3:uid="{9CBEA77E-9EC7-40A8-A4A3-40C051D90698}" name="Column15127"/>
    <tableColumn id="15155" xr3:uid="{8BE41650-7D78-4C40-A56F-C816A9426A3E}" name="Column15128"/>
    <tableColumn id="15156" xr3:uid="{24DA9A40-0E9A-485E-9135-F2697BF31BA4}" name="Column15129"/>
    <tableColumn id="15157" xr3:uid="{C932DC4B-B04D-45BB-9C02-99B28C5B90E8}" name="Column15130"/>
    <tableColumn id="15158" xr3:uid="{6EDB97DA-E9ED-4A8E-BDFD-0920983161C6}" name="Column15131"/>
    <tableColumn id="15159" xr3:uid="{866B29F4-6B8C-4240-8473-6D0537C7B220}" name="Column15132"/>
    <tableColumn id="15160" xr3:uid="{E6652ACC-30AE-411D-8BE9-DAFD8E56220F}" name="Column15133"/>
    <tableColumn id="15161" xr3:uid="{5A66AC0D-AA17-448C-B41F-6969FCDE4759}" name="Column15134"/>
    <tableColumn id="15162" xr3:uid="{58269DF8-85EF-4423-A525-49DF47C08EA9}" name="Column15135"/>
    <tableColumn id="15163" xr3:uid="{59C47733-6A98-4C2F-95A9-43EC96BACC14}" name="Column15136"/>
    <tableColumn id="15164" xr3:uid="{2022237A-3DB8-4770-BA36-DFC817BE740E}" name="Column15137"/>
    <tableColumn id="15165" xr3:uid="{1AC6A9F5-99DE-4BCA-ACE5-283BBF9D7F41}" name="Column15138"/>
    <tableColumn id="15166" xr3:uid="{6B3C7077-FFB1-457C-BEC1-37570DEA4531}" name="Column15139"/>
    <tableColumn id="15167" xr3:uid="{F6212F3B-6041-4BED-AD75-DF13C82F6F10}" name="Column15140"/>
    <tableColumn id="15168" xr3:uid="{461B7742-FD67-49C2-891D-4D40B89157BC}" name="Column15141"/>
    <tableColumn id="15169" xr3:uid="{4DED194D-FB27-4DC1-9C68-3C3A9E26D888}" name="Column15142"/>
    <tableColumn id="15170" xr3:uid="{757996CF-7F78-4BAF-B13C-67AE85D579D6}" name="Column15143"/>
    <tableColumn id="15171" xr3:uid="{9801801D-16B7-45B4-ADD4-D28D22D62AFE}" name="Column15144"/>
    <tableColumn id="15172" xr3:uid="{9ACA0DB7-6B1D-451B-B6FF-A8B1BFF4D7AD}" name="Column15145"/>
    <tableColumn id="15173" xr3:uid="{8AFAFB29-F53F-4AEE-BD9B-B9AC8C78F5FF}" name="Column15146"/>
    <tableColumn id="15174" xr3:uid="{6B894AFB-C319-47BA-A54B-A1CBCF034398}" name="Column15147"/>
    <tableColumn id="15175" xr3:uid="{4E4D4B3F-4685-4336-8C2B-93CB51F8A74A}" name="Column15148"/>
    <tableColumn id="15176" xr3:uid="{45005B12-3C89-488D-870F-FD838FE9923F}" name="Column15149"/>
    <tableColumn id="15177" xr3:uid="{6875C779-6A8F-467A-9A7F-228BAA146B1B}" name="Column15150"/>
    <tableColumn id="15178" xr3:uid="{5F2A7BAC-14D8-45DB-80E5-77CF950ADEFF}" name="Column15151"/>
    <tableColumn id="15179" xr3:uid="{5956F7AA-7535-4D7E-A252-85A83FD128B4}" name="Column15152"/>
    <tableColumn id="15180" xr3:uid="{B0ED189D-F921-4734-95AA-8A7B91ABB1FD}" name="Column15153"/>
    <tableColumn id="15181" xr3:uid="{79AA1722-8885-4B90-AA4B-EE24D6844B71}" name="Column15154"/>
    <tableColumn id="15182" xr3:uid="{6557B9C4-9E95-41AD-B827-CFA3CBFBBD04}" name="Column15155"/>
    <tableColumn id="15183" xr3:uid="{8BF3FCC0-8A2C-4BD0-A78E-655A0D9E9255}" name="Column15156"/>
    <tableColumn id="15184" xr3:uid="{3A3B75F2-C503-43A9-915E-FC65F6637AAB}" name="Column15157"/>
    <tableColumn id="15185" xr3:uid="{CA7F7C43-A92D-4C4E-9AE4-C0830E20AFE0}" name="Column15158"/>
    <tableColumn id="15186" xr3:uid="{94493330-E121-477C-8B6D-A1660137E291}" name="Column15159"/>
    <tableColumn id="15187" xr3:uid="{5D58002E-C00A-4A86-A9D7-51A6AC4FA532}" name="Column15160"/>
    <tableColumn id="15188" xr3:uid="{1D6F06A7-9EC6-4B17-A961-B7F194F721AD}" name="Column15161"/>
    <tableColumn id="15189" xr3:uid="{0B20636A-EDC6-4F97-AAC6-D7C74B5F1BDD}" name="Column15162"/>
    <tableColumn id="15190" xr3:uid="{9CB10849-9782-4899-9EDC-F17D637E3F81}" name="Column15163"/>
    <tableColumn id="15191" xr3:uid="{D352FA28-339D-4297-BF0D-5EAEAA82EBBF}" name="Column15164"/>
    <tableColumn id="15192" xr3:uid="{88CE4CCF-11B8-406F-A0CF-AC00C1B0B7A2}" name="Column15165"/>
    <tableColumn id="15193" xr3:uid="{6B74B71D-C899-480A-AAD4-CA9C9A5EBCF5}" name="Column15166"/>
    <tableColumn id="15194" xr3:uid="{3018B021-89C6-4ECB-9E50-2E9B37555C0A}" name="Column15167"/>
    <tableColumn id="15195" xr3:uid="{43255DFA-2AD9-49C3-B991-A99B3AF94899}" name="Column15168"/>
    <tableColumn id="15196" xr3:uid="{B06ED976-FF28-4F53-8F43-BD3A5EC61F9D}" name="Column15169"/>
    <tableColumn id="15197" xr3:uid="{97FE5FCE-5731-48E4-9B9D-43307D504EEB}" name="Column15170"/>
    <tableColumn id="15198" xr3:uid="{14EB4936-48F8-4B38-9B13-4AADF52170DD}" name="Column15171"/>
    <tableColumn id="15199" xr3:uid="{CBA5C22A-ECBA-439E-9707-14D8EEAC1B46}" name="Column15172"/>
    <tableColumn id="15200" xr3:uid="{AE8A5371-2B32-43A1-96D7-D92D4222705F}" name="Column15173"/>
    <tableColumn id="15201" xr3:uid="{0F7FDE83-AF15-44C6-BD68-CF27885359C6}" name="Column15174"/>
    <tableColumn id="15202" xr3:uid="{931C8E49-6E1A-4E89-9D0E-8DA080787A4F}" name="Column15175"/>
    <tableColumn id="15203" xr3:uid="{5BAC8CC1-3EBF-43B1-AA9C-AFC4D7597E94}" name="Column15176"/>
    <tableColumn id="15204" xr3:uid="{4E6F993D-DA16-4101-BD9B-F6BC888C511B}" name="Column15177"/>
    <tableColumn id="15205" xr3:uid="{F8EC5376-6E9A-4491-852B-1C3104538524}" name="Column15178"/>
    <tableColumn id="15206" xr3:uid="{CE614525-7B03-4545-A3C4-53FBD485A406}" name="Column15179"/>
    <tableColumn id="15207" xr3:uid="{477A6202-BBE5-427D-800D-11B3BA15C034}" name="Column15180"/>
    <tableColumn id="15208" xr3:uid="{1E014CCB-F8EA-43EA-AFB8-1F942994F509}" name="Column15181"/>
    <tableColumn id="15209" xr3:uid="{087CF085-237D-4543-946D-32C2384DA2E6}" name="Column15182"/>
    <tableColumn id="15210" xr3:uid="{2F0FC329-A0F8-4CB0-89A4-43FC1EA6CE5F}" name="Column15183"/>
    <tableColumn id="15211" xr3:uid="{365FB611-B5FA-498A-9C5F-37878D8A6F0A}" name="Column15184"/>
    <tableColumn id="15212" xr3:uid="{E08CD378-FDBC-4DD2-9BA0-CC36406F0629}" name="Column15185"/>
    <tableColumn id="15213" xr3:uid="{54630AEE-E2FB-41B3-9CEF-EFFA66755A08}" name="Column15186"/>
    <tableColumn id="15214" xr3:uid="{8CDD931E-3D67-45CC-A920-F27C5456A3D2}" name="Column15187"/>
    <tableColumn id="15215" xr3:uid="{69924A22-D971-4347-9A96-879F1D1B179B}" name="Column15188"/>
    <tableColumn id="15216" xr3:uid="{F27F2985-47BB-4F36-ACD1-1FC67A23DF23}" name="Column15189"/>
    <tableColumn id="15217" xr3:uid="{4E45EDA5-2A7C-45B4-A9B2-7DADD6936BA4}" name="Column15190"/>
    <tableColumn id="15218" xr3:uid="{353938CD-CBD4-41D8-970D-2B4C7460673C}" name="Column15191"/>
    <tableColumn id="15219" xr3:uid="{939C992E-3773-45BC-989B-7DB5E5D048CF}" name="Column15192"/>
    <tableColumn id="15220" xr3:uid="{57E12AEC-09D2-4E28-82D4-F796E7435F12}" name="Column15193"/>
    <tableColumn id="15221" xr3:uid="{A3FF0CA6-7FC6-407E-9531-FB79CA4E2EBD}" name="Column15194"/>
    <tableColumn id="15222" xr3:uid="{3FEB80A6-C448-4DDE-AE78-329C9EA203B8}" name="Column15195"/>
    <tableColumn id="15223" xr3:uid="{7E5A263C-DBCE-4B0A-92F4-B15AE5BF188B}" name="Column15196"/>
    <tableColumn id="15224" xr3:uid="{B7900EB1-EB9F-4ACE-845D-8AE20956696D}" name="Column15197"/>
    <tableColumn id="15225" xr3:uid="{AB4551A0-64A6-419D-B64B-F9E3A53F6862}" name="Column15198"/>
    <tableColumn id="15226" xr3:uid="{B5DA9F1E-B0BE-4F6A-B0E6-5F4B6CC5E56B}" name="Column15199"/>
    <tableColumn id="15227" xr3:uid="{6EAFD6CF-B473-481F-92D3-C4297D921D56}" name="Column15200"/>
    <tableColumn id="15228" xr3:uid="{55175CFD-506E-447A-9448-AD8D32D9A59B}" name="Column15201"/>
    <tableColumn id="15229" xr3:uid="{3262A5A3-B171-4EE9-90C3-276C0A48B097}" name="Column15202"/>
    <tableColumn id="15230" xr3:uid="{71B2FC55-7C81-47A9-B6AD-BD09D106E723}" name="Column15203"/>
    <tableColumn id="15231" xr3:uid="{0F09CF3F-E910-41FE-BA48-490CFC2525FC}" name="Column15204"/>
    <tableColumn id="15232" xr3:uid="{D6B75136-CCCE-4A31-942E-B97752D2DEA9}" name="Column15205"/>
    <tableColumn id="15233" xr3:uid="{42F173CC-C31A-4681-AECA-E9CA3D3B2598}" name="Column15206"/>
    <tableColumn id="15234" xr3:uid="{8B5F91D7-FF64-4D99-BE69-263A32C47791}" name="Column15207"/>
    <tableColumn id="15235" xr3:uid="{C84F1506-285C-4ACB-8F32-4CA9D4C14076}" name="Column15208"/>
    <tableColumn id="15236" xr3:uid="{956149BB-0166-4B5D-9FCC-B16174E69F90}" name="Column15209"/>
    <tableColumn id="15237" xr3:uid="{DB61B896-C872-49A7-A587-A4B7E1ADEA76}" name="Column15210"/>
    <tableColumn id="15238" xr3:uid="{BF344ABC-4AA3-4130-AF4C-F8ED0D48A05F}" name="Column15211"/>
    <tableColumn id="15239" xr3:uid="{62667CB0-69F1-4131-BB50-7E4B837DF346}" name="Column15212"/>
    <tableColumn id="15240" xr3:uid="{BA0715DD-7F24-44DB-ABA7-8E21CD9F9DDE}" name="Column15213"/>
    <tableColumn id="15241" xr3:uid="{00A73715-E963-4D38-A6A8-9B4F3A7440D1}" name="Column15214"/>
    <tableColumn id="15242" xr3:uid="{245D18EE-82A7-4EE1-9763-8F85167BAE7E}" name="Column15215"/>
    <tableColumn id="15243" xr3:uid="{B5C22AFB-8C91-4B27-873C-E6B3324CDE55}" name="Column15216"/>
    <tableColumn id="15244" xr3:uid="{91C88B65-DF53-4BC0-886B-DE7BB2E1C34D}" name="Column15217"/>
    <tableColumn id="15245" xr3:uid="{E722EFA5-F4FE-4301-8636-97B076BF08FE}" name="Column15218"/>
    <tableColumn id="15246" xr3:uid="{255BFAA5-174A-4750-89B0-5D8E5B70C3FE}" name="Column15219"/>
    <tableColumn id="15247" xr3:uid="{5B1BB6C2-7128-42B7-B23A-27E7C329146D}" name="Column15220"/>
    <tableColumn id="15248" xr3:uid="{95810962-F821-43DD-A5F5-93710ABEC516}" name="Column15221"/>
    <tableColumn id="15249" xr3:uid="{CDA530F2-E3F3-4A20-9DCE-C4DE61ED5658}" name="Column15222"/>
    <tableColumn id="15250" xr3:uid="{6086C3DF-63AE-4180-8B24-7AA6495E1766}" name="Column15223"/>
    <tableColumn id="15251" xr3:uid="{F92C6195-F7A2-46F3-8B3D-20D7281AEF2C}" name="Column15224"/>
    <tableColumn id="15252" xr3:uid="{E00D9326-4FD7-45AB-9AF2-26BD52A3859C}" name="Column15225"/>
    <tableColumn id="15253" xr3:uid="{37232B06-1480-4341-B280-25366B2E9F89}" name="Column15226"/>
    <tableColumn id="15254" xr3:uid="{6E4ADE63-DEC1-4AAB-B92C-967B7DDCFDDC}" name="Column15227"/>
    <tableColumn id="15255" xr3:uid="{DDB6A4C8-83B0-4F49-B7DB-FD2C3DA64FA3}" name="Column15228"/>
    <tableColumn id="15256" xr3:uid="{7705641A-144A-4531-8FC9-044C7F1B11F9}" name="Column15229"/>
    <tableColumn id="15257" xr3:uid="{1C2120BB-1325-428F-891F-777FD620C520}" name="Column15230"/>
    <tableColumn id="15258" xr3:uid="{E0252AC9-2F7A-4842-89E8-9F91AEE5D0DE}" name="Column15231"/>
    <tableColumn id="15259" xr3:uid="{E3387ABA-4621-41AB-AA79-9EC9CCF81324}" name="Column15232"/>
    <tableColumn id="15260" xr3:uid="{24D0F368-9CFB-462D-ADFA-DD0F2DAABC96}" name="Column15233"/>
    <tableColumn id="15261" xr3:uid="{8F0685B4-CE88-43DF-8816-B02997EE95C7}" name="Column15234"/>
    <tableColumn id="15262" xr3:uid="{B0B8EDAC-F94E-478A-983F-ECD242C75C41}" name="Column15235"/>
    <tableColumn id="15263" xr3:uid="{E4A2B930-C0A6-49C0-B7E8-8FC81AC76F31}" name="Column15236"/>
    <tableColumn id="15264" xr3:uid="{5439FA0B-F1A8-4FD9-8B18-862C6FEBACE8}" name="Column15237"/>
    <tableColumn id="15265" xr3:uid="{2C602B5A-49E2-4DA7-BBF4-BE38E91E54E3}" name="Column15238"/>
    <tableColumn id="15266" xr3:uid="{A7056601-7083-4223-8B7A-7454E69F18C9}" name="Column15239"/>
    <tableColumn id="15267" xr3:uid="{B85BDFF0-6999-4377-93DF-F50F62479587}" name="Column15240"/>
    <tableColumn id="15268" xr3:uid="{BD066353-FAA5-4001-A519-B4326775F681}" name="Column15241"/>
    <tableColumn id="15269" xr3:uid="{3DFF02A4-E905-43BC-ABE0-8E7C762EDC2A}" name="Column15242"/>
    <tableColumn id="15270" xr3:uid="{FB403FD3-5E09-4BD6-AFC1-4ABABD4D69A8}" name="Column15243"/>
    <tableColumn id="15271" xr3:uid="{D03BCF03-8834-4E2E-8811-F30CE9F959B1}" name="Column15244"/>
    <tableColumn id="15272" xr3:uid="{A6D80981-3D8A-407B-A04B-3DC3AE09362E}" name="Column15245"/>
    <tableColumn id="15273" xr3:uid="{55FD4855-581E-4EA9-9A59-8906EDE66B72}" name="Column15246"/>
    <tableColumn id="15274" xr3:uid="{15B22BB7-712A-4B4E-B9A4-41E61C545283}" name="Column15247"/>
    <tableColumn id="15275" xr3:uid="{E9F89A3E-474B-4579-9D76-BBFE22B6CE1F}" name="Column15248"/>
    <tableColumn id="15276" xr3:uid="{88A3B16D-DEB9-4F2C-8629-9249237F67D8}" name="Column15249"/>
    <tableColumn id="15277" xr3:uid="{369E222E-2479-4B1A-8532-ABD0BEDEBBE0}" name="Column15250"/>
    <tableColumn id="15278" xr3:uid="{799E2607-D989-49B6-9B20-7FFEA731316F}" name="Column15251"/>
    <tableColumn id="15279" xr3:uid="{D3E5800E-7F86-4813-AA66-00B0511B64ED}" name="Column15252"/>
    <tableColumn id="15280" xr3:uid="{11CD2E6F-4A58-4C28-845F-1E02539BC829}" name="Column15253"/>
    <tableColumn id="15281" xr3:uid="{DFD2A3E2-C5FD-4C5C-B75C-36402DCE58F3}" name="Column15254"/>
    <tableColumn id="15282" xr3:uid="{D0007E8B-4754-4D7B-8B78-3186B98F4D97}" name="Column15255"/>
    <tableColumn id="15283" xr3:uid="{F1B0089A-2F20-4D41-AF3A-62D17AFFFB61}" name="Column15256"/>
    <tableColumn id="15284" xr3:uid="{C6161DE9-AB7C-4D74-A83B-F18F824B5C62}" name="Column15257"/>
    <tableColumn id="15285" xr3:uid="{466BCA18-B0C6-49F6-B001-D196F7E11E9A}" name="Column15258"/>
    <tableColumn id="15286" xr3:uid="{7287F203-5BCA-4EF6-8848-F5887889EE43}" name="Column15259"/>
    <tableColumn id="15287" xr3:uid="{8F3CE243-5870-4279-ADEE-365FC1760A3B}" name="Column15260"/>
    <tableColumn id="15288" xr3:uid="{A3377953-562E-43C8-91A0-0C4DCC8EF040}" name="Column15261"/>
    <tableColumn id="15289" xr3:uid="{953D21D2-42BE-4394-9212-54142A4D2D3D}" name="Column15262"/>
    <tableColumn id="15290" xr3:uid="{5C54A9B9-E683-4F59-89F8-572117297165}" name="Column15263"/>
    <tableColumn id="15291" xr3:uid="{D70562E3-6037-4399-92D7-D9F73B5226BC}" name="Column15264"/>
    <tableColumn id="15292" xr3:uid="{3FAD18DE-E430-4899-9B8D-9682CC4DDAE5}" name="Column15265"/>
    <tableColumn id="15293" xr3:uid="{BA47CAEF-522A-403F-98D8-FAF3B51E2782}" name="Column15266"/>
    <tableColumn id="15294" xr3:uid="{1E40F859-870E-43D6-B862-0129C2E4AE88}" name="Column15267"/>
    <tableColumn id="15295" xr3:uid="{00E9362D-CBC9-4BA4-A6B1-5B855C4AE72B}" name="Column15268"/>
    <tableColumn id="15296" xr3:uid="{7B0934B0-DFB7-4D23-BF61-EA33C9090FC6}" name="Column15269"/>
    <tableColumn id="15297" xr3:uid="{F300594D-4665-4D98-8717-69179A08D7C2}" name="Column15270"/>
    <tableColumn id="15298" xr3:uid="{A3805F8F-FD2F-4723-A1B4-CCCF28E87F87}" name="Column15271"/>
    <tableColumn id="15299" xr3:uid="{9CC0121A-E232-407B-AEAA-50A4133BFFBD}" name="Column15272"/>
    <tableColumn id="15300" xr3:uid="{8F195CE4-06EF-4105-A3A8-943614E3FE93}" name="Column15273"/>
    <tableColumn id="15301" xr3:uid="{412906CD-99F8-4219-BB20-9AA9B2D1A5B7}" name="Column15274"/>
    <tableColumn id="15302" xr3:uid="{41444194-A1B4-4BE3-B657-36D7EA3348D8}" name="Column15275"/>
    <tableColumn id="15303" xr3:uid="{DDEF354A-704A-417E-9DD3-C5FBF6569178}" name="Column15276"/>
    <tableColumn id="15304" xr3:uid="{EA9BDB3A-97A4-4015-A5C8-DAC717898421}" name="Column15277"/>
    <tableColumn id="15305" xr3:uid="{4745A811-AF80-4DEA-BF24-7EB7ACD8514B}" name="Column15278"/>
    <tableColumn id="15306" xr3:uid="{0C379521-9134-4FE3-8FCC-08527C019A31}" name="Column15279"/>
    <tableColumn id="15307" xr3:uid="{11C7FE03-0810-49CA-80E7-128564B38183}" name="Column15280"/>
    <tableColumn id="15308" xr3:uid="{9F81F09F-D430-423E-986A-40172FAA1EC1}" name="Column15281"/>
    <tableColumn id="15309" xr3:uid="{1819DE4F-EFB4-48C4-938C-1626C29CA3DA}" name="Column15282"/>
    <tableColumn id="15310" xr3:uid="{7C06956C-3420-4033-A818-F511EC41EBC6}" name="Column15283"/>
    <tableColumn id="15311" xr3:uid="{52C744B6-75E7-4ADF-B34A-E6946E486FE6}" name="Column15284"/>
    <tableColumn id="15312" xr3:uid="{2D9A60B9-65B0-4A5D-B6CD-439D7B2D7756}" name="Column15285"/>
    <tableColumn id="15313" xr3:uid="{0C123AE4-52A8-4395-8109-848590FF5C90}" name="Column15286"/>
    <tableColumn id="15314" xr3:uid="{04CABAAD-875C-4D33-8EAC-E0F206B711F7}" name="Column15287"/>
    <tableColumn id="15315" xr3:uid="{97ACAC21-3E9E-46CF-A504-BB95B5BCCAD1}" name="Column15288"/>
    <tableColumn id="15316" xr3:uid="{097BEC89-2293-4D40-AF33-57961347E4C7}" name="Column15289"/>
    <tableColumn id="15317" xr3:uid="{F3AF6A73-AE26-400F-ACBE-353FB2CF3B9B}" name="Column15290"/>
    <tableColumn id="15318" xr3:uid="{A23EDC7B-F8B4-484E-B267-31046699AE2B}" name="Column15291"/>
    <tableColumn id="15319" xr3:uid="{981B6CFA-975D-41FB-86DE-E9C737EBD6AF}" name="Column15292"/>
    <tableColumn id="15320" xr3:uid="{8EA3199B-7F5B-4F30-85D3-EECB6B99A22B}" name="Column15293"/>
    <tableColumn id="15321" xr3:uid="{4BF47B94-F36C-47D7-8EA7-83D505E5B578}" name="Column15294"/>
    <tableColumn id="15322" xr3:uid="{870E260F-9C20-4806-86B2-BEFBE0E9F3DD}" name="Column15295"/>
    <tableColumn id="15323" xr3:uid="{AEF3A8D2-8E06-4819-A967-7F11B55BA296}" name="Column15296"/>
    <tableColumn id="15324" xr3:uid="{83F87F0E-32B3-4CD0-824C-305DD49470DD}" name="Column15297"/>
    <tableColumn id="15325" xr3:uid="{EC95906B-E50E-4085-A1EA-355542433066}" name="Column15298"/>
    <tableColumn id="15326" xr3:uid="{53C6DD1E-62B7-4239-9466-4BED6F53F60B}" name="Column15299"/>
    <tableColumn id="15327" xr3:uid="{2AF5353B-43D5-4057-93A4-69DDC08DE2C7}" name="Column15300"/>
    <tableColumn id="15328" xr3:uid="{C0C79C5C-BDF7-4F24-B948-3FF2A895BC3D}" name="Column15301"/>
    <tableColumn id="15329" xr3:uid="{1C57A0EC-EFA7-497F-9632-D3200889F3B4}" name="Column15302"/>
    <tableColumn id="15330" xr3:uid="{4C5474D8-0B16-401A-84A2-F65544673F5B}" name="Column15303"/>
    <tableColumn id="15331" xr3:uid="{9E94B814-1D85-4EFC-B51E-3CC387BB8F93}" name="Column15304"/>
    <tableColumn id="15332" xr3:uid="{53B15889-51C0-4005-992B-2D7EFBF017FB}" name="Column15305"/>
    <tableColumn id="15333" xr3:uid="{E7485845-791B-47C8-9EEB-9DC6B198C80D}" name="Column15306"/>
    <tableColumn id="15334" xr3:uid="{CBA4A1B0-F863-47D6-929C-5FB435687E02}" name="Column15307"/>
    <tableColumn id="15335" xr3:uid="{1DED2395-8A55-4AB6-8552-7E334FC57353}" name="Column15308"/>
    <tableColumn id="15336" xr3:uid="{04E25545-A7EB-4480-8808-99BEBD851879}" name="Column15309"/>
    <tableColumn id="15337" xr3:uid="{CB0F09D9-0ADA-4F5E-9856-9D0C0DF0DC1B}" name="Column15310"/>
    <tableColumn id="15338" xr3:uid="{A4B9828F-6571-4F60-9FAF-7623D6F05CB4}" name="Column15311"/>
    <tableColumn id="15339" xr3:uid="{B1B37F20-45DB-406A-9CEE-8C967AADB42B}" name="Column15312"/>
    <tableColumn id="15340" xr3:uid="{A77EA6E9-64EB-42FF-B5AB-AEA1869B8971}" name="Column15313"/>
    <tableColumn id="15341" xr3:uid="{CB9C9B38-9198-4A52-A01D-E44D64E8D799}" name="Column15314"/>
    <tableColumn id="15342" xr3:uid="{B236F175-150B-4136-8E5C-97A072C33A66}" name="Column15315"/>
    <tableColumn id="15343" xr3:uid="{48A97C2D-F5CE-4BB5-BC33-97849117B758}" name="Column15316"/>
    <tableColumn id="15344" xr3:uid="{8A6F2054-2E3C-4187-9BB4-60E514D8D418}" name="Column15317"/>
    <tableColumn id="15345" xr3:uid="{C88BEBCD-1FB8-43AF-B69C-F38C44F4A11E}" name="Column15318"/>
    <tableColumn id="15346" xr3:uid="{FEF2ECE5-D762-4F36-BC7A-FF8A664B88BA}" name="Column15319"/>
    <tableColumn id="15347" xr3:uid="{A22B29FB-2B4F-4B71-9289-978D164479EB}" name="Column15320"/>
    <tableColumn id="15348" xr3:uid="{217F9E8E-4AA9-442F-9FA1-368A80DF5476}" name="Column15321"/>
    <tableColumn id="15349" xr3:uid="{14D0928E-2D1A-4BA0-97DC-1A1CE9045094}" name="Column15322"/>
    <tableColumn id="15350" xr3:uid="{0CD30605-1385-43F9-82EC-11EA64E3BA58}" name="Column15323"/>
    <tableColumn id="15351" xr3:uid="{94338FEC-F2B1-4A9D-96F4-56944CFF990A}" name="Column15324"/>
    <tableColumn id="15352" xr3:uid="{474E3CCA-84D7-42C9-A01E-65501B1ECBEA}" name="Column15325"/>
    <tableColumn id="15353" xr3:uid="{81824DD4-9F43-42EE-BA61-66174D739DA3}" name="Column15326"/>
    <tableColumn id="15354" xr3:uid="{336CD9DF-A110-4780-AA31-0DE5E38D964B}" name="Column15327"/>
    <tableColumn id="15355" xr3:uid="{ECA40D6F-6036-4DD0-96AA-BC15AB2C948F}" name="Column15328"/>
    <tableColumn id="15356" xr3:uid="{27A59D9D-7C78-42F7-8096-43A6910798D0}" name="Column15329"/>
    <tableColumn id="15357" xr3:uid="{9AACFF3E-2E03-45F1-970D-F8A3585556AE}" name="Column15330"/>
    <tableColumn id="15358" xr3:uid="{7D3CF648-9D16-414B-88C3-734B8EFD5152}" name="Column15331"/>
    <tableColumn id="15359" xr3:uid="{7086BF7B-4706-4BF1-A700-92BEE5B26737}" name="Column15332"/>
    <tableColumn id="15360" xr3:uid="{F2ED4355-BACE-4839-8144-D8A12EC28284}" name="Column15333"/>
    <tableColumn id="15361" xr3:uid="{1D65EC03-93F7-4DC7-9150-FA5ACF99331D}" name="Column15334"/>
    <tableColumn id="15362" xr3:uid="{E5AAD488-588A-47DE-8100-3B18B71842C8}" name="Column15335"/>
    <tableColumn id="15363" xr3:uid="{485A2F7B-73D7-41FB-98E4-78BAAD502C62}" name="Column15336"/>
    <tableColumn id="15364" xr3:uid="{3B3E19C6-A92C-409B-BF4A-B24B568866BF}" name="Column15337"/>
    <tableColumn id="15365" xr3:uid="{D5EC0988-5A91-46C1-8E37-BB9BBE83E27A}" name="Column15338"/>
    <tableColumn id="15366" xr3:uid="{6C8C937B-F929-4D9C-98EF-F36D8B3C0D53}" name="Column15339"/>
    <tableColumn id="15367" xr3:uid="{C164C8D9-F97A-40D0-B3D5-30C9B35AB7F1}" name="Column15340"/>
    <tableColumn id="15368" xr3:uid="{07A8C06C-DAF1-4E00-8926-0BDE642C8A13}" name="Column15341"/>
    <tableColumn id="15369" xr3:uid="{3A653DAC-F779-42F8-9ECC-6B39AAB1B9E3}" name="Column15342"/>
    <tableColumn id="15370" xr3:uid="{3293DB0F-9964-46C5-8967-88C76B160215}" name="Column15343"/>
    <tableColumn id="15371" xr3:uid="{173A886C-7567-4D4B-8ABB-DE8194FAB0F0}" name="Column15344"/>
    <tableColumn id="15372" xr3:uid="{612F1ACC-8B53-47AB-96DB-A207154B93AE}" name="Column15345"/>
    <tableColumn id="15373" xr3:uid="{65370E49-8F1F-43B5-B189-F41DFE4353D0}" name="Column15346"/>
    <tableColumn id="15374" xr3:uid="{451E1DE9-ECE4-4168-ABFA-72E8DC895325}" name="Column15347"/>
    <tableColumn id="15375" xr3:uid="{7523402A-2BB4-4F35-8129-40775E32FDFD}" name="Column15348"/>
    <tableColumn id="15376" xr3:uid="{7366BC28-6AA5-4EC2-A983-B1568808B2F5}" name="Column15349"/>
    <tableColumn id="15377" xr3:uid="{2096BF6F-29A1-4F62-834F-42AE44F3901E}" name="Column15350"/>
    <tableColumn id="15378" xr3:uid="{F0229AE2-E365-4D81-8E08-00738277CD72}" name="Column15351"/>
    <tableColumn id="15379" xr3:uid="{71EEE6CB-120B-4B29-B904-F9A7C4C5260E}" name="Column15352"/>
    <tableColumn id="15380" xr3:uid="{7E0B6353-240E-4624-9408-C0BA83F18686}" name="Column15353"/>
    <tableColumn id="15381" xr3:uid="{7C4F1A1D-769F-428D-B113-16C1FB1240A8}" name="Column15354"/>
    <tableColumn id="15382" xr3:uid="{52E9080C-0A2E-4E7F-8457-B07B2932C520}" name="Column15355"/>
    <tableColumn id="15383" xr3:uid="{9992F43D-40A5-47CA-BDBB-2B219A5A04A1}" name="Column15356"/>
    <tableColumn id="15384" xr3:uid="{A9C376A4-4592-44FF-B54E-B578FB48E157}" name="Column15357"/>
    <tableColumn id="15385" xr3:uid="{56B69B1E-722A-4BE4-BB2D-7B5E3D16E48B}" name="Column15358"/>
    <tableColumn id="15386" xr3:uid="{C7035EF0-E38C-4035-9F79-0062DB9E80E8}" name="Column15359"/>
    <tableColumn id="15387" xr3:uid="{BEB47F2D-913D-43D1-8682-5D445335B14F}" name="Column15360"/>
    <tableColumn id="15388" xr3:uid="{9E3A8817-3123-4402-905B-2BF192C6AD97}" name="Column15361"/>
    <tableColumn id="15389" xr3:uid="{7C52D330-2307-48DF-9880-770D5972A320}" name="Column15362"/>
    <tableColumn id="15390" xr3:uid="{1B5DEED8-FB4E-4D86-844C-AC7224CD4F45}" name="Column15363"/>
    <tableColumn id="15391" xr3:uid="{67BC6C09-9200-43FC-9356-A1109AEECF17}" name="Column15364"/>
    <tableColumn id="15392" xr3:uid="{F002EFA1-8810-4778-A031-6FB94188F941}" name="Column15365"/>
    <tableColumn id="15393" xr3:uid="{D93ACD3F-DC7D-4805-B1CE-2C7468668A18}" name="Column15366"/>
    <tableColumn id="15394" xr3:uid="{3E320F4F-2806-4C1E-9F57-FB8FA3ED529E}" name="Column15367"/>
    <tableColumn id="15395" xr3:uid="{374DB2A7-F9E6-40E6-A43A-2D8EA2C24D0B}" name="Column15368"/>
    <tableColumn id="15396" xr3:uid="{890F755C-02AE-4913-A7AF-D7F5494BF7D1}" name="Column15369"/>
    <tableColumn id="15397" xr3:uid="{6B6544A7-D152-45F8-A51A-C2DF80F06F7E}" name="Column15370"/>
    <tableColumn id="15398" xr3:uid="{5C8122B1-AD90-4159-A685-F3EA83DB008E}" name="Column15371"/>
    <tableColumn id="15399" xr3:uid="{A522EEBF-B073-458A-9AC2-FF0E1C4A54AA}" name="Column15372"/>
    <tableColumn id="15400" xr3:uid="{E33B00A0-AAFE-4386-9BCA-15409B887167}" name="Column15373"/>
    <tableColumn id="15401" xr3:uid="{6BCD829B-1158-4B52-BD61-4E9CF4771BE1}" name="Column15374"/>
    <tableColumn id="15402" xr3:uid="{ECB8EB34-87B6-4746-8ACF-BF12C196690F}" name="Column15375"/>
    <tableColumn id="15403" xr3:uid="{09823B71-8193-4A2C-94B0-677BA9FD7036}" name="Column15376"/>
    <tableColumn id="15404" xr3:uid="{16EA251F-D285-4F5E-846E-0DABB5F52ABC}" name="Column15377"/>
    <tableColumn id="15405" xr3:uid="{2238A8AF-8CCE-40AD-B6E8-DCBE8FDF77EE}" name="Column15378"/>
    <tableColumn id="15406" xr3:uid="{3583FD19-7490-480E-A887-54A6C64B22A9}" name="Column15379"/>
    <tableColumn id="15407" xr3:uid="{42B337D8-0DC2-4D23-81F1-8A9B21975996}" name="Column15380"/>
    <tableColumn id="15408" xr3:uid="{A5608528-8332-4395-8937-F8A36D4ACD90}" name="Column15381"/>
    <tableColumn id="15409" xr3:uid="{B3869117-77C7-401F-A4D6-35BA15A9B211}" name="Column15382"/>
    <tableColumn id="15410" xr3:uid="{B4B85887-0025-43BF-9DF7-D91898388422}" name="Column15383"/>
    <tableColumn id="15411" xr3:uid="{66ABCFB9-CAD8-4290-ABD3-B1E3EC50B5D0}" name="Column15384"/>
    <tableColumn id="15412" xr3:uid="{A8FC97C5-D62C-470D-B024-8E1F30DF004F}" name="Column15385"/>
    <tableColumn id="15413" xr3:uid="{EC821BCC-EB6F-4CF7-AB6D-38BCD8478E87}" name="Column15386"/>
    <tableColumn id="15414" xr3:uid="{655CE73B-3AAB-419A-A8AE-2B22634DA487}" name="Column15387"/>
    <tableColumn id="15415" xr3:uid="{89F51253-B958-40AF-9F1E-89BB2EF02327}" name="Column15388"/>
    <tableColumn id="15416" xr3:uid="{633EBD45-113F-436F-9BBD-DCBE17E73E96}" name="Column15389"/>
    <tableColumn id="15417" xr3:uid="{101686F0-EC18-43F2-8D5B-B1AB360BC3AC}" name="Column15390"/>
    <tableColumn id="15418" xr3:uid="{00735239-1FBD-4591-A356-D88076B2A4AD}" name="Column15391"/>
    <tableColumn id="15419" xr3:uid="{F9665643-DEF7-4C30-B68F-6CDEA107AEAA}" name="Column15392"/>
    <tableColumn id="15420" xr3:uid="{DF09E110-9177-4D46-B42F-063860D0606A}" name="Column15393"/>
    <tableColumn id="15421" xr3:uid="{273A0F51-1728-4F18-95B9-59CB477DF930}" name="Column15394"/>
    <tableColumn id="15422" xr3:uid="{555C29B4-0669-4D80-9A21-52D76574062E}" name="Column15395"/>
    <tableColumn id="15423" xr3:uid="{8936F8B2-3548-49A0-AC23-BE4C15F6B843}" name="Column15396"/>
    <tableColumn id="15424" xr3:uid="{FBE31E53-E342-4E4F-B1B3-DA69590A74B7}" name="Column15397"/>
    <tableColumn id="15425" xr3:uid="{D6C7E223-BC3A-49FA-B602-C187278F1E46}" name="Column15398"/>
    <tableColumn id="15426" xr3:uid="{3E63019C-AE00-47D5-BD3B-AAB39ED152BF}" name="Column15399"/>
    <tableColumn id="15427" xr3:uid="{575DEC05-6AE4-473E-BCF9-F7172DE41C39}" name="Column15400"/>
    <tableColumn id="15428" xr3:uid="{DD92657A-45CD-4FB1-8E10-73B7851B78F2}" name="Column15401"/>
    <tableColumn id="15429" xr3:uid="{976E5E57-B28B-42DB-A79B-8B0D7DCFBB47}" name="Column15402"/>
    <tableColumn id="15430" xr3:uid="{5543ED95-5C4E-475D-85EF-9A99FAC1261F}" name="Column15403"/>
    <tableColumn id="15431" xr3:uid="{942F3E92-F1FD-4522-9890-8B2E8FA66A0D}" name="Column15404"/>
    <tableColumn id="15432" xr3:uid="{97985328-3673-4714-8519-50AB368EE66D}" name="Column15405"/>
    <tableColumn id="15433" xr3:uid="{2343F192-026F-4946-9B30-707599B61330}" name="Column15406"/>
    <tableColumn id="15434" xr3:uid="{B8369D9A-8E2A-4DE3-885D-9B1A03597E9A}" name="Column15407"/>
    <tableColumn id="15435" xr3:uid="{04119BA1-8DD3-461E-872B-D0CEDF27694F}" name="Column15408"/>
    <tableColumn id="15436" xr3:uid="{8D71B3A6-2482-432B-B83E-F4FA2CA9B9C3}" name="Column15409"/>
    <tableColumn id="15437" xr3:uid="{0E82496B-4CB5-4F35-AAF2-ADA502D25DB9}" name="Column15410"/>
    <tableColumn id="15438" xr3:uid="{847F100B-EA2E-450C-89E2-57DC1B81BAE4}" name="Column15411"/>
    <tableColumn id="15439" xr3:uid="{8515260D-3E27-494F-A5AD-06FD7DE7F1D4}" name="Column15412"/>
    <tableColumn id="15440" xr3:uid="{FBB35877-8428-4B9D-BDCF-869038539D7E}" name="Column15413"/>
    <tableColumn id="15441" xr3:uid="{A9DD4F5D-8B60-4FC8-A126-3B4F8E7D34EB}" name="Column15414"/>
    <tableColumn id="15442" xr3:uid="{A27514F1-8332-4F6D-B393-3993221AF726}" name="Column15415"/>
    <tableColumn id="15443" xr3:uid="{5470D91F-FE03-490B-ABF9-79C9DA2E4F92}" name="Column15416"/>
    <tableColumn id="15444" xr3:uid="{E5C6C6B5-F133-4AD3-B30C-A584C255E2C9}" name="Column15417"/>
    <tableColumn id="15445" xr3:uid="{147E5148-111E-4997-848F-36882E18CA35}" name="Column15418"/>
    <tableColumn id="15446" xr3:uid="{6A02B94B-112F-4CF8-B55D-2B3BC94B8C94}" name="Column15419"/>
    <tableColumn id="15447" xr3:uid="{CBC33C6A-B72B-4772-8823-65A84E6771B2}" name="Column15420"/>
    <tableColumn id="15448" xr3:uid="{EDF2C40E-E40C-4705-ACEB-87EE6FF5636F}" name="Column15421"/>
    <tableColumn id="15449" xr3:uid="{8D55DD2C-1554-4D41-ABD4-EA02B5A91BBC}" name="Column15422"/>
    <tableColumn id="15450" xr3:uid="{76CC7B91-62DC-4810-B76B-C94B179590FB}" name="Column15423"/>
    <tableColumn id="15451" xr3:uid="{BF6E962B-4169-4D06-A61E-031EAA84F06E}" name="Column15424"/>
    <tableColumn id="15452" xr3:uid="{EF7DDCBB-9253-491D-8C5A-3FC02E4B1240}" name="Column15425"/>
    <tableColumn id="15453" xr3:uid="{662C8C26-84E2-47E5-A149-79CA83921FED}" name="Column15426"/>
    <tableColumn id="15454" xr3:uid="{608D3262-D939-49BD-93AA-92148A683962}" name="Column15427"/>
    <tableColumn id="15455" xr3:uid="{6523256E-0AB4-4422-87B0-D3AA825CD68A}" name="Column15428"/>
    <tableColumn id="15456" xr3:uid="{96FAA989-BCED-4E1A-90F9-A46E127FE2B7}" name="Column15429"/>
    <tableColumn id="15457" xr3:uid="{7B958479-5899-45FE-9333-BB2742D59D00}" name="Column15430"/>
    <tableColumn id="15458" xr3:uid="{54251ED3-AD5F-473B-A6A2-AFB789C54CBE}" name="Column15431"/>
    <tableColumn id="15459" xr3:uid="{814B9408-055B-47E9-9D29-EEA5FFA194EF}" name="Column15432"/>
    <tableColumn id="15460" xr3:uid="{5F9DDAAF-3CCE-4576-BECB-8F44A0D74D51}" name="Column15433"/>
    <tableColumn id="15461" xr3:uid="{69F86E11-B463-49FA-B17C-8E37C6178649}" name="Column15434"/>
    <tableColumn id="15462" xr3:uid="{8F714242-BB8C-4047-B66D-8FCA8D22A95D}" name="Column15435"/>
    <tableColumn id="15463" xr3:uid="{0F5A8F20-2C54-4658-8BB8-7819A87788F4}" name="Column15436"/>
    <tableColumn id="15464" xr3:uid="{D4A34FBB-DF09-42DC-BDAD-4406D2317ECD}" name="Column15437"/>
    <tableColumn id="15465" xr3:uid="{DB890CCD-FE97-4007-B1C7-0E7BEE566587}" name="Column15438"/>
    <tableColumn id="15466" xr3:uid="{710F953D-FDF3-4166-8F0E-76FEE808BBB5}" name="Column15439"/>
    <tableColumn id="15467" xr3:uid="{900C87E8-3DD0-44EB-B5E1-DB50A8CB2686}" name="Column15440"/>
    <tableColumn id="15468" xr3:uid="{BDDE76FD-30D2-4B7B-B2B0-B1555A82DE12}" name="Column15441"/>
    <tableColumn id="15469" xr3:uid="{D48657E6-87FD-4062-8F0B-36D74B044861}" name="Column15442"/>
    <tableColumn id="15470" xr3:uid="{260235A6-61DE-4454-A26E-0C339C0A0AAF}" name="Column15443"/>
    <tableColumn id="15471" xr3:uid="{6BF75932-0B8F-4A0E-989A-DD62862E4FCC}" name="Column15444"/>
    <tableColumn id="15472" xr3:uid="{63FFCE02-732E-493D-960D-28CD5586857C}" name="Column15445"/>
    <tableColumn id="15473" xr3:uid="{1377E382-9A59-4368-96EE-057150D410A4}" name="Column15446"/>
    <tableColumn id="15474" xr3:uid="{EB7FE6D0-EB57-43EB-A1DD-C7208A8CA36E}" name="Column15447"/>
    <tableColumn id="15475" xr3:uid="{FD8F2D7E-94AC-4474-941E-9117149934AF}" name="Column15448"/>
    <tableColumn id="15476" xr3:uid="{DE2461FC-5A05-4A92-B278-243FCB26AAA0}" name="Column15449"/>
    <tableColumn id="15477" xr3:uid="{19EF16C6-63C8-4F2A-B24B-35FEA3506F2B}" name="Column15450"/>
    <tableColumn id="15478" xr3:uid="{88BB484E-6495-4C0F-A1C8-2732DF232169}" name="Column15451"/>
    <tableColumn id="15479" xr3:uid="{8C1813B6-75CE-4968-8503-2E1A99115993}" name="Column15452"/>
    <tableColumn id="15480" xr3:uid="{B0A6E5FF-71D0-47FA-887F-020F69BBBFF3}" name="Column15453"/>
    <tableColumn id="15481" xr3:uid="{D812411C-94E2-4250-82D6-68E4DD314878}" name="Column15454"/>
    <tableColumn id="15482" xr3:uid="{54D34AE2-C5B1-4DC4-BEFC-B5A98B12A05E}" name="Column15455"/>
    <tableColumn id="15483" xr3:uid="{34D3C451-0821-4364-8371-711FC05859F9}" name="Column15456"/>
    <tableColumn id="15484" xr3:uid="{3851549D-E5B2-45C3-A9D2-B5C9BCA69CE1}" name="Column15457"/>
    <tableColumn id="15485" xr3:uid="{B91CB3BE-89E0-47C2-8A3D-435EC68F69D2}" name="Column15458"/>
    <tableColumn id="15486" xr3:uid="{B2727F59-7D36-4E4A-AD78-00180F822968}" name="Column15459"/>
    <tableColumn id="15487" xr3:uid="{6C170CE8-B8C9-4464-A25A-DB5CC34D877F}" name="Column15460"/>
    <tableColumn id="15488" xr3:uid="{A513234F-454A-4C6D-AC2C-43390490F0C6}" name="Column15461"/>
    <tableColumn id="15489" xr3:uid="{39519990-0B40-4775-8AAB-D2AC618C9A88}" name="Column15462"/>
    <tableColumn id="15490" xr3:uid="{61754437-C30A-4791-8A18-E0CFF5C427CC}" name="Column15463"/>
    <tableColumn id="15491" xr3:uid="{C3571B9E-A07B-43B1-A2EC-3BD320496A19}" name="Column15464"/>
    <tableColumn id="15492" xr3:uid="{735F0539-C8EC-44F5-B22A-51E7089B3E63}" name="Column15465"/>
    <tableColumn id="15493" xr3:uid="{33E1F875-4B54-4C13-8D48-D7B8D8522297}" name="Column15466"/>
    <tableColumn id="15494" xr3:uid="{9D2AEAC3-5B94-46DE-BC3A-9A8310AE732B}" name="Column15467"/>
    <tableColumn id="15495" xr3:uid="{2D56AAE2-0551-4E9F-80BC-790C18420F67}" name="Column15468"/>
    <tableColumn id="15496" xr3:uid="{542DD47C-A1C7-477B-B109-797BE8584C48}" name="Column15469"/>
    <tableColumn id="15497" xr3:uid="{21BEEBEF-8255-4763-B65A-59B0517123AC}" name="Column15470"/>
    <tableColumn id="15498" xr3:uid="{5ED29461-46B8-405B-8088-6A8A780F1087}" name="Column15471"/>
    <tableColumn id="15499" xr3:uid="{A17255F1-879E-4C36-86B6-440B17A3254F}" name="Column15472"/>
    <tableColumn id="15500" xr3:uid="{DD40C7DE-55A8-4031-8D36-000E636ADE3D}" name="Column15473"/>
    <tableColumn id="15501" xr3:uid="{5C3CBFF4-2E0C-42A5-BC94-3836E165C401}" name="Column15474"/>
    <tableColumn id="15502" xr3:uid="{D46D76DC-8A9D-4A69-99AD-9575512968D8}" name="Column15475"/>
    <tableColumn id="15503" xr3:uid="{9EF25F06-B574-439D-8E5D-44F995473612}" name="Column15476"/>
    <tableColumn id="15504" xr3:uid="{71083154-F5FC-4CEF-978F-13BFFB215E94}" name="Column15477"/>
    <tableColumn id="15505" xr3:uid="{90C61396-6F9D-4ACB-9E8A-E9C7045D0D88}" name="Column15478"/>
    <tableColumn id="15506" xr3:uid="{E95B51FE-6B42-4B1A-BFB8-188E4881C96B}" name="Column15479"/>
    <tableColumn id="15507" xr3:uid="{B7C563AC-8A66-437B-B17E-2A25DD17A706}" name="Column15480"/>
    <tableColumn id="15508" xr3:uid="{7E5DD071-8BE3-4832-AA00-CE220791D783}" name="Column15481"/>
    <tableColumn id="15509" xr3:uid="{78A8D373-738F-47D9-AD17-A8FA7AB27C5D}" name="Column15482"/>
    <tableColumn id="15510" xr3:uid="{AB9AE2B9-915F-4D95-80E7-311274F2CF11}" name="Column15483"/>
    <tableColumn id="15511" xr3:uid="{78DF3CAD-AE58-439F-B8A3-C34F16A0FE89}" name="Column15484"/>
    <tableColumn id="15512" xr3:uid="{1F2E2FE6-7695-46F0-9FC5-5198D1BDF7DD}" name="Column15485"/>
    <tableColumn id="15513" xr3:uid="{68A36F73-C4D3-41C2-816A-C0A0502375BB}" name="Column15486"/>
    <tableColumn id="15514" xr3:uid="{CF9004AC-9230-4ECD-A1F4-CE14238748D9}" name="Column15487"/>
    <tableColumn id="15515" xr3:uid="{5E1EBE07-1E99-4F35-A96E-9BBC770FDB0B}" name="Column15488"/>
    <tableColumn id="15516" xr3:uid="{17BFD79A-371F-487A-A648-F361170016AB}" name="Column15489"/>
    <tableColumn id="15517" xr3:uid="{5293DE5F-FBB2-49E4-B33A-7662CAFCEB58}" name="Column15490"/>
    <tableColumn id="15518" xr3:uid="{42EE130A-AE87-4B4F-B014-4BBF18A11914}" name="Column15491"/>
    <tableColumn id="15519" xr3:uid="{A711C6F0-328B-46BF-A64B-18F507DC5DA2}" name="Column15492"/>
    <tableColumn id="15520" xr3:uid="{3B3F2C7D-6644-40B7-99B3-69DF4BAB57DE}" name="Column15493"/>
    <tableColumn id="15521" xr3:uid="{E464E5F5-EF84-42CF-AE65-DB3D0DA453E0}" name="Column15494"/>
    <tableColumn id="15522" xr3:uid="{17FB1929-852F-4EFC-9B01-8BC5CD20048C}" name="Column15495"/>
    <tableColumn id="15523" xr3:uid="{E1AB5419-2066-414B-BC1E-9DD3E1246C14}" name="Column15496"/>
    <tableColumn id="15524" xr3:uid="{EAE9C03C-3E34-4532-841F-CD58E87AB9B1}" name="Column15497"/>
    <tableColumn id="15525" xr3:uid="{A129F2F1-401E-4AF4-9C66-8A0293774646}" name="Column15498"/>
    <tableColumn id="15526" xr3:uid="{C35536F4-C9EB-48EE-B736-2972F2ACA0D5}" name="Column15499"/>
    <tableColumn id="15527" xr3:uid="{365F70BE-71DD-46E4-9CD2-12A97B2613AE}" name="Column15500"/>
    <tableColumn id="15528" xr3:uid="{94947774-145C-43A3-97FE-A13AA1555E51}" name="Column15501"/>
    <tableColumn id="15529" xr3:uid="{CCE49C16-C8DF-41FC-9EA7-D6F3D376A031}" name="Column15502"/>
    <tableColumn id="15530" xr3:uid="{EF11A348-AC4C-4674-8EA0-5F805660E99B}" name="Column15503"/>
    <tableColumn id="15531" xr3:uid="{26BBFB8B-8929-4C7E-AA81-59A2F514A106}" name="Column15504"/>
    <tableColumn id="15532" xr3:uid="{C4E6B0D1-EFE9-462F-A27B-0E8375033C26}" name="Column15505"/>
    <tableColumn id="15533" xr3:uid="{6C7B3E3B-4D09-482D-94FA-D41EC0B246B6}" name="Column15506"/>
    <tableColumn id="15534" xr3:uid="{DFCA1C34-5A5A-4B04-BE6D-410C382AB33C}" name="Column15507"/>
    <tableColumn id="15535" xr3:uid="{994C9DCB-53B4-49BD-84DB-4BA06089912D}" name="Column15508"/>
    <tableColumn id="15536" xr3:uid="{A849D70F-E44C-451A-A7DF-CE232889C3FB}" name="Column15509"/>
    <tableColumn id="15537" xr3:uid="{ED64D9BB-1BD8-40D1-9757-586F29A79554}" name="Column15510"/>
    <tableColumn id="15538" xr3:uid="{21255B15-ACFA-43FB-9EF9-0547448832C5}" name="Column15511"/>
    <tableColumn id="15539" xr3:uid="{8369BEEB-49D1-4B3B-B0C8-69E0FCD2BB2F}" name="Column15512"/>
    <tableColumn id="15540" xr3:uid="{8644200B-C642-4030-907B-A43DC43FD13C}" name="Column15513"/>
    <tableColumn id="15541" xr3:uid="{7B556D7F-F90C-40FE-8612-34F12472BC98}" name="Column15514"/>
    <tableColumn id="15542" xr3:uid="{4E449BD2-EA45-4BC5-A117-888B22681669}" name="Column15515"/>
    <tableColumn id="15543" xr3:uid="{DEE6A406-A546-4559-B723-B9BFF4650FA8}" name="Column15516"/>
    <tableColumn id="15544" xr3:uid="{A07BCC67-C6E6-42A1-9208-153166A4D92C}" name="Column15517"/>
    <tableColumn id="15545" xr3:uid="{3701760E-82C4-4B81-9F2B-9C6AF3108B83}" name="Column15518"/>
    <tableColumn id="15546" xr3:uid="{E48F9B94-976D-4EC2-9D74-8584328BBE7B}" name="Column15519"/>
    <tableColumn id="15547" xr3:uid="{70223530-FD7F-4D31-99C6-42C3286CB605}" name="Column15520"/>
    <tableColumn id="15548" xr3:uid="{39A2D041-74F5-49B9-8071-42BF2AA61DDB}" name="Column15521"/>
    <tableColumn id="15549" xr3:uid="{39E95C89-CD22-40D6-A454-0D38B0887852}" name="Column15522"/>
    <tableColumn id="15550" xr3:uid="{DA22CA7F-06D4-41F6-9D53-2C892564DAB6}" name="Column15523"/>
    <tableColumn id="15551" xr3:uid="{D1F7E7E6-AFEA-4D5E-8C68-585250C1A0F3}" name="Column15524"/>
    <tableColumn id="15552" xr3:uid="{D4D4F33E-2AE3-474B-98D3-F99A9810BFB1}" name="Column15525"/>
    <tableColumn id="15553" xr3:uid="{FECE35C1-994C-4243-A329-A2383FD83A23}" name="Column15526"/>
    <tableColumn id="15554" xr3:uid="{62403A09-3355-495F-8FAC-BF55CC8716F8}" name="Column15527"/>
    <tableColumn id="15555" xr3:uid="{A304F3C3-10FD-46F2-AA15-FF86B2832076}" name="Column15528"/>
    <tableColumn id="15556" xr3:uid="{2C265A19-72C9-4B44-B7C2-73A2FE985592}" name="Column15529"/>
    <tableColumn id="15557" xr3:uid="{6CAA3544-DC41-4C5D-B282-D235A7C5D969}" name="Column15530"/>
    <tableColumn id="15558" xr3:uid="{F82C4820-7C0C-4B67-A388-FA15BD7251E2}" name="Column15531"/>
    <tableColumn id="15559" xr3:uid="{B1A042C3-D97F-4952-BBAC-A7CC2F02FEA7}" name="Column15532"/>
    <tableColumn id="15560" xr3:uid="{10F04CBF-5007-4B35-BE0D-282AAD7FC4A0}" name="Column15533"/>
    <tableColumn id="15561" xr3:uid="{FA8C42E7-DCFF-4EEB-93C9-40428B5FC9DA}" name="Column15534"/>
    <tableColumn id="15562" xr3:uid="{C81024E5-36B6-4764-89FA-66A8ACB998B5}" name="Column15535"/>
    <tableColumn id="15563" xr3:uid="{EE39546C-BC39-426C-B808-B5F614D12C1B}" name="Column15536"/>
    <tableColumn id="15564" xr3:uid="{7AAA9543-F91F-400D-854A-2D7FD8644C7A}" name="Column15537"/>
    <tableColumn id="15565" xr3:uid="{D3FC948A-5CE9-4A6F-95DE-BC1942B14D9C}" name="Column15538"/>
    <tableColumn id="15566" xr3:uid="{702F7C39-5374-444A-87DC-BEB8A921DD35}" name="Column15539"/>
    <tableColumn id="15567" xr3:uid="{0000405F-C6A8-41CE-9E6E-CD20C25C3615}" name="Column15540"/>
    <tableColumn id="15568" xr3:uid="{741A0A29-E06E-47DE-A1D1-B5E2FA4A2823}" name="Column15541"/>
    <tableColumn id="15569" xr3:uid="{923B0D4B-72BF-4E0E-88C7-5A02C3885938}" name="Column15542"/>
    <tableColumn id="15570" xr3:uid="{B91CA44A-C34B-4446-ABA6-049683117AF2}" name="Column15543"/>
    <tableColumn id="15571" xr3:uid="{983AFCE8-2A81-46BF-8EAA-2479E4D3E5B9}" name="Column15544"/>
    <tableColumn id="15572" xr3:uid="{49756EE6-D643-49B2-BDC0-1562CAE9058D}" name="Column15545"/>
    <tableColumn id="15573" xr3:uid="{C7C6033D-ED51-481A-8F3D-999CD32565B3}" name="Column15546"/>
    <tableColumn id="15574" xr3:uid="{88D0225A-702A-4C85-9140-ECDA25A49DFB}" name="Column15547"/>
    <tableColumn id="15575" xr3:uid="{A3B9C12D-F412-45C4-8F4A-8235F3EE70CF}" name="Column15548"/>
    <tableColumn id="15576" xr3:uid="{7A7818C9-22B2-4738-A527-D5CC553C0442}" name="Column15549"/>
    <tableColumn id="15577" xr3:uid="{7BC321FF-1C34-410F-BDE1-5031DB2C5124}" name="Column15550"/>
    <tableColumn id="15578" xr3:uid="{ADAE71CE-6A5C-4F8B-A630-01D598DDCE96}" name="Column15551"/>
    <tableColumn id="15579" xr3:uid="{9398FA0E-174C-4C72-8D36-9C74EF91A953}" name="Column15552"/>
    <tableColumn id="15580" xr3:uid="{FD4953EC-E397-4754-9508-0D10ACC0E64D}" name="Column15553"/>
    <tableColumn id="15581" xr3:uid="{C0FBDF7D-96B3-46B9-AB98-F2BFEB395C7C}" name="Column15554"/>
    <tableColumn id="15582" xr3:uid="{7E2723F7-F58E-4CB5-B552-0110C3E55E54}" name="Column15555"/>
    <tableColumn id="15583" xr3:uid="{37D59D2E-32E1-49FC-A82D-27DE0AF4DE38}" name="Column15556"/>
    <tableColumn id="15584" xr3:uid="{8EEF3F32-6BBB-4717-84B0-31631B809E28}" name="Column15557"/>
    <tableColumn id="15585" xr3:uid="{CFFD20FB-AF10-403B-AC44-F2BA6782DFA1}" name="Column15558"/>
    <tableColumn id="15586" xr3:uid="{D64EA33A-3331-424B-8A06-3152D5D87D7D}" name="Column15559"/>
    <tableColumn id="15587" xr3:uid="{32D3794E-52E8-4E6D-B586-FAED56E7487D}" name="Column15560"/>
    <tableColumn id="15588" xr3:uid="{F758A50D-99B7-4F23-B3CB-D3D3EE274017}" name="Column15561"/>
    <tableColumn id="15589" xr3:uid="{185604E1-AA56-45BB-862F-5D30C8EA0614}" name="Column15562"/>
    <tableColumn id="15590" xr3:uid="{EF762609-7A56-4AAA-BA8E-2127417EE8B6}" name="Column15563"/>
    <tableColumn id="15591" xr3:uid="{DD630967-4098-4D9F-97FE-5E16B97542DF}" name="Column15564"/>
    <tableColumn id="15592" xr3:uid="{10AD60BD-C513-47F4-925B-ED8EFDAF8854}" name="Column15565"/>
    <tableColumn id="15593" xr3:uid="{4ABD76B6-B7EB-4193-914B-B2B4C9C67E60}" name="Column15566"/>
    <tableColumn id="15594" xr3:uid="{8EF198AD-996A-4D29-9C20-958764B88969}" name="Column15567"/>
    <tableColumn id="15595" xr3:uid="{DC0BFEC4-DFA0-4736-BDAD-DEB0B571D4F7}" name="Column15568"/>
    <tableColumn id="15596" xr3:uid="{A60831DA-018D-43D9-B6B7-220AA7520CDC}" name="Column15569"/>
    <tableColumn id="15597" xr3:uid="{7A9B08D8-AC39-4493-84A0-367C34E4370D}" name="Column15570"/>
    <tableColumn id="15598" xr3:uid="{D7A9D536-B586-46BD-AB8D-C9E36DA7B3BB}" name="Column15571"/>
    <tableColumn id="15599" xr3:uid="{ABA1A594-1BD9-42FA-833E-8242111BA7B6}" name="Column15572"/>
    <tableColumn id="15600" xr3:uid="{554FA163-CB78-4E58-A9E2-CDEFA237F489}" name="Column15573"/>
    <tableColumn id="15601" xr3:uid="{1B170C47-5693-496B-BFCA-1E9E0FF8E8EF}" name="Column15574"/>
    <tableColumn id="15602" xr3:uid="{59DB0C90-0A4D-4D29-BFFC-F83701DB4EEA}" name="Column15575"/>
    <tableColumn id="15603" xr3:uid="{3474AE48-5638-4CFD-BCEA-D9A10ED0E034}" name="Column15576"/>
    <tableColumn id="15604" xr3:uid="{8F804300-5AE7-494D-A969-FB142FE7F524}" name="Column15577"/>
    <tableColumn id="15605" xr3:uid="{1192078F-CBF2-4BD6-A303-0D3DA62111C4}" name="Column15578"/>
    <tableColumn id="15606" xr3:uid="{06907E4A-1AD5-48BB-8DD2-6819490C0A9A}" name="Column15579"/>
    <tableColumn id="15607" xr3:uid="{FDE98B8F-C87B-43B8-9FC3-03E3548F8B47}" name="Column15580"/>
    <tableColumn id="15608" xr3:uid="{C67B9221-5519-4BB0-B517-2F6C1F9228A2}" name="Column15581"/>
    <tableColumn id="15609" xr3:uid="{C70D8A71-E547-4DF6-95D0-C5378DE24B7A}" name="Column15582"/>
    <tableColumn id="15610" xr3:uid="{AA453256-E5F7-490C-B623-38F140C2FF65}" name="Column15583"/>
    <tableColumn id="15611" xr3:uid="{E833BCE4-C071-47AF-ADAC-0E565FBF8F0E}" name="Column15584"/>
    <tableColumn id="15612" xr3:uid="{E892B584-04C9-4C92-BFFC-C12D6E93F381}" name="Column15585"/>
    <tableColumn id="15613" xr3:uid="{EAFC2E5E-D2F7-456D-8F60-5FD2AB081146}" name="Column15586"/>
    <tableColumn id="15614" xr3:uid="{BDFEE9F1-892A-4206-BB29-3B4BC400450A}" name="Column15587"/>
    <tableColumn id="15615" xr3:uid="{9C2F0F3E-642A-4A5C-9A1B-A52117B53429}" name="Column15588"/>
    <tableColumn id="15616" xr3:uid="{EDF016E9-4401-4D1C-8662-0F940F6748C6}" name="Column15589"/>
    <tableColumn id="15617" xr3:uid="{DAC6C82B-E09E-4A79-933C-1324EA820994}" name="Column15590"/>
    <tableColumn id="15618" xr3:uid="{2B9A3D46-3E0A-426E-B305-9E010004F108}" name="Column15591"/>
    <tableColumn id="15619" xr3:uid="{0BEA18D1-1EBB-4530-81FC-A876A410B289}" name="Column15592"/>
    <tableColumn id="15620" xr3:uid="{E2F58AF5-9539-4CC6-8CAF-CDCED9CB522F}" name="Column15593"/>
    <tableColumn id="15621" xr3:uid="{2E11E355-8C31-43BF-A834-94035F360C79}" name="Column15594"/>
    <tableColumn id="15622" xr3:uid="{17445605-2DB1-415E-AEAB-67256979FD32}" name="Column15595"/>
    <tableColumn id="15623" xr3:uid="{45306E16-4D1A-4CEC-8C52-0623555077DE}" name="Column15596"/>
    <tableColumn id="15624" xr3:uid="{FD9D259F-3C95-46BD-9F5E-49AE8F5419A5}" name="Column15597"/>
    <tableColumn id="15625" xr3:uid="{F2BBD193-5BEA-4164-80B7-E470D7432FA6}" name="Column15598"/>
    <tableColumn id="15626" xr3:uid="{8FFF1E9A-9C5E-44EB-9EF4-BA013BE2AFA7}" name="Column15599"/>
    <tableColumn id="15627" xr3:uid="{F8BC2344-1193-4EFB-AB5F-A9191B502316}" name="Column15600"/>
    <tableColumn id="15628" xr3:uid="{56C44A31-8582-4FD0-9251-1C00FE6B5EF0}" name="Column15601"/>
    <tableColumn id="15629" xr3:uid="{4B536D95-A210-4016-806A-E13B5AE78986}" name="Column15602"/>
    <tableColumn id="15630" xr3:uid="{1D64FD63-B609-44EA-A321-E269924B4BC0}" name="Column15603"/>
    <tableColumn id="15631" xr3:uid="{313C5F63-6331-42B1-823F-8AB245078C35}" name="Column15604"/>
    <tableColumn id="15632" xr3:uid="{56F091A4-8CA9-4A97-A879-1804F23789E6}" name="Column15605"/>
    <tableColumn id="15633" xr3:uid="{014DF60A-E559-48C7-8B18-67E66A5767B8}" name="Column15606"/>
    <tableColumn id="15634" xr3:uid="{E2755225-C60A-41FB-8C75-B730E7777DD1}" name="Column15607"/>
    <tableColumn id="15635" xr3:uid="{FF6B8563-2E45-40C8-BD88-2F56B0F1C602}" name="Column15608"/>
    <tableColumn id="15636" xr3:uid="{6FC889A6-44C8-4E7E-9A9F-ED02427212EC}" name="Column15609"/>
    <tableColumn id="15637" xr3:uid="{6F8DA476-263B-46EA-95AA-19CA0167AE2A}" name="Column15610"/>
    <tableColumn id="15638" xr3:uid="{294A27B8-4E33-4D8A-AB38-815DF03BE1EC}" name="Column15611"/>
    <tableColumn id="15639" xr3:uid="{E007AA63-4D97-4D86-87EC-99F82BFDDF99}" name="Column15612"/>
    <tableColumn id="15640" xr3:uid="{A3163436-65CF-46D1-B44D-5071999B85BA}" name="Column15613"/>
    <tableColumn id="15641" xr3:uid="{901ECFE2-BFEF-4EAA-A0EE-ED5BD39C6073}" name="Column15614"/>
    <tableColumn id="15642" xr3:uid="{705A6B08-3BB5-4DD1-9444-14A6C92AD370}" name="Column15615"/>
    <tableColumn id="15643" xr3:uid="{381707B8-4AB9-4A21-A605-24ABEF70FF77}" name="Column15616"/>
    <tableColumn id="15644" xr3:uid="{DBD1A3A6-B054-4795-9215-8609B5FBAA07}" name="Column15617"/>
    <tableColumn id="15645" xr3:uid="{70E516FC-1102-4730-B43F-5FED03D56530}" name="Column15618"/>
    <tableColumn id="15646" xr3:uid="{32B1F486-3A2F-46F0-8342-5C26569E0218}" name="Column15619"/>
    <tableColumn id="15647" xr3:uid="{73B8098E-044B-474F-ABFA-0F4E2347A20C}" name="Column15620"/>
    <tableColumn id="15648" xr3:uid="{4A0C164B-EB92-4EEB-97BF-953EC6602C7C}" name="Column15621"/>
    <tableColumn id="15649" xr3:uid="{9EE351E6-838A-49A5-9040-1E7CCEDA4DA7}" name="Column15622"/>
    <tableColumn id="15650" xr3:uid="{7E402DF0-BDAD-4C0C-8F1E-17757EB9B0A1}" name="Column15623"/>
    <tableColumn id="15651" xr3:uid="{B3C30448-D41C-43C6-8759-D63FEEB4170E}" name="Column15624"/>
    <tableColumn id="15652" xr3:uid="{7867CEDE-0CC7-482D-8E28-C0612CEF38C0}" name="Column15625"/>
    <tableColumn id="15653" xr3:uid="{39413B3D-C2B5-46F3-8308-547FBF36AC55}" name="Column15626"/>
    <tableColumn id="15654" xr3:uid="{9142687F-21DA-4A96-94FE-9E9EA3FC52A6}" name="Column15627"/>
    <tableColumn id="15655" xr3:uid="{D0934B5E-4117-4146-86F1-ED20500EDAA9}" name="Column15628"/>
    <tableColumn id="15656" xr3:uid="{0CF8AC37-F866-4BEC-B706-976079C7E820}" name="Column15629"/>
    <tableColumn id="15657" xr3:uid="{D2214D46-9C10-4064-837E-CD168FF44EC1}" name="Column15630"/>
    <tableColumn id="15658" xr3:uid="{937BDA00-F62F-4805-A813-4BFFC659C66C}" name="Column15631"/>
    <tableColumn id="15659" xr3:uid="{DB2BF410-B34B-4DE4-8624-89207B69DCD6}" name="Column15632"/>
    <tableColumn id="15660" xr3:uid="{E7466669-DC5C-4085-B4C6-9F458685A65D}" name="Column15633"/>
    <tableColumn id="15661" xr3:uid="{4B81FEC1-6461-48D0-B7BB-F8A8A29C32AA}" name="Column15634"/>
    <tableColumn id="15662" xr3:uid="{48F69A53-4384-42FA-BE08-E4583FD38DDE}" name="Column15635"/>
    <tableColumn id="15663" xr3:uid="{818BC1A9-CC16-463E-B422-DEC9F0FE800D}" name="Column15636"/>
    <tableColumn id="15664" xr3:uid="{ACAF745D-1CEF-4733-8B93-C9695F1E3499}" name="Column15637"/>
    <tableColumn id="15665" xr3:uid="{3A85B8E6-2651-454C-B663-0E6A261317E1}" name="Column15638"/>
    <tableColumn id="15666" xr3:uid="{702B58BE-225E-45DE-9D75-F3C4C0BB6652}" name="Column15639"/>
    <tableColumn id="15667" xr3:uid="{DA127762-98DA-4548-BE7B-6A1369522F19}" name="Column15640"/>
    <tableColumn id="15668" xr3:uid="{6BE2F963-3678-4BA1-B215-1A25CACFC8DF}" name="Column15641"/>
    <tableColumn id="15669" xr3:uid="{C38EEB1F-24AA-40CD-80FF-25B465A9C4B7}" name="Column15642"/>
    <tableColumn id="15670" xr3:uid="{44D6D5B2-8335-4AB4-82C5-3A9E65E8D26B}" name="Column15643"/>
    <tableColumn id="15671" xr3:uid="{6261A228-17E5-4E65-9BCA-53CC66EBD3E3}" name="Column15644"/>
    <tableColumn id="15672" xr3:uid="{1001438D-57E6-426C-84E4-FBEE490389F4}" name="Column15645"/>
    <tableColumn id="15673" xr3:uid="{F748A157-1631-4772-A96C-CE49794A9EEB}" name="Column15646"/>
    <tableColumn id="15674" xr3:uid="{944FCA3B-3F58-4ACF-93AE-6DC41C66C2F3}" name="Column15647"/>
    <tableColumn id="15675" xr3:uid="{9943CD6A-A06E-4BB4-8B5D-4472A8ED6CBF}" name="Column15648"/>
    <tableColumn id="15676" xr3:uid="{04FB7954-9F9D-41E6-A2C4-70E2B4A37447}" name="Column15649"/>
    <tableColumn id="15677" xr3:uid="{7A0F3809-9B8F-4933-BDE2-CEF252166769}" name="Column15650"/>
    <tableColumn id="15678" xr3:uid="{DCF78589-927E-4C38-BF04-D7D4D806C469}" name="Column15651"/>
    <tableColumn id="15679" xr3:uid="{0602B0D5-6CAE-4487-A1D3-7FB8651FDDCD}" name="Column15652"/>
    <tableColumn id="15680" xr3:uid="{62EA9F0E-F3FE-47D2-AFDB-12A070941586}" name="Column15653"/>
    <tableColumn id="15681" xr3:uid="{82FA31AB-F94F-4EA3-AA0E-6D75CDE13BAC}" name="Column15654"/>
    <tableColumn id="15682" xr3:uid="{5B99DF54-0506-4EE6-A4E7-792B8589ACFA}" name="Column15655"/>
    <tableColumn id="15683" xr3:uid="{FFAB4499-7587-4B48-88B4-9279B9400E9A}" name="Column15656"/>
    <tableColumn id="15684" xr3:uid="{D1AB5373-04AE-472B-9FE2-F05600DC9F50}" name="Column15657"/>
    <tableColumn id="15685" xr3:uid="{AC4F62AF-44BE-4A7E-8F61-21544C800871}" name="Column15658"/>
    <tableColumn id="15686" xr3:uid="{C45346AE-680D-48DE-BB57-BCEF70F2326E}" name="Column15659"/>
    <tableColumn id="15687" xr3:uid="{413956B9-7EB1-4E0E-95EF-51F51D420367}" name="Column15660"/>
    <tableColumn id="15688" xr3:uid="{8979C641-33C9-43A4-B573-A2DA13C6E58F}" name="Column15661"/>
    <tableColumn id="15689" xr3:uid="{55A4CB06-AB2E-4971-A7B0-C7EB028567F3}" name="Column15662"/>
    <tableColumn id="15690" xr3:uid="{21B5C9CA-CCD2-4D2F-BB3E-0E87531C5C64}" name="Column15663"/>
    <tableColumn id="15691" xr3:uid="{A5DEC5A6-1908-4423-8B59-200D17DA5CCF}" name="Column15664"/>
    <tableColumn id="15692" xr3:uid="{955EBC8C-974C-4D66-862F-4FF4E36110B3}" name="Column15665"/>
    <tableColumn id="15693" xr3:uid="{87E2BEA0-37A5-4FC6-A420-76232366C76B}" name="Column15666"/>
    <tableColumn id="15694" xr3:uid="{877DEBCC-2FAE-4277-A21A-D12AB0D4CDB3}" name="Column15667"/>
    <tableColumn id="15695" xr3:uid="{1D0770F2-4084-4773-9461-8B7599B3802A}" name="Column15668"/>
    <tableColumn id="15696" xr3:uid="{83CAA01A-30BE-4524-94DF-3CB9FC7E26D0}" name="Column15669"/>
    <tableColumn id="15697" xr3:uid="{9E26BE95-D901-4ACA-86B9-A4A5C9A86573}" name="Column15670"/>
    <tableColumn id="15698" xr3:uid="{86FFD4E0-92FC-4228-B2BD-A81CBCD8EB8D}" name="Column15671"/>
    <tableColumn id="15699" xr3:uid="{E7BFC76A-221E-45D8-960F-FF3795B6019F}" name="Column15672"/>
    <tableColumn id="15700" xr3:uid="{F8800695-FE1F-40FF-B74C-0A8713962B76}" name="Column15673"/>
    <tableColumn id="15701" xr3:uid="{A644F5EB-18BB-4E5D-A0A8-86118645ABD3}" name="Column15674"/>
    <tableColumn id="15702" xr3:uid="{64C29FC5-F640-4C61-A59B-9F018C8A9381}" name="Column15675"/>
    <tableColumn id="15703" xr3:uid="{018D3727-DC72-4C1A-9BB2-5F855CFCA9CB}" name="Column15676"/>
    <tableColumn id="15704" xr3:uid="{AAF2ABCB-958C-4E0D-A361-58617F9C491C}" name="Column15677"/>
    <tableColumn id="15705" xr3:uid="{6A2B98F3-8783-47A5-964B-391CCB33E409}" name="Column15678"/>
    <tableColumn id="15706" xr3:uid="{3759C6AE-F9F7-4665-B18F-4E2E21F68368}" name="Column15679"/>
    <tableColumn id="15707" xr3:uid="{36CBC901-408F-4056-839A-1E29AA89DEB1}" name="Column15680"/>
    <tableColumn id="15708" xr3:uid="{936FB0B3-3E9A-4979-BC39-91F43DC9FFE5}" name="Column15681"/>
    <tableColumn id="15709" xr3:uid="{B42CB13C-B3A6-44D8-B2E1-1B06355D8AC7}" name="Column15682"/>
    <tableColumn id="15710" xr3:uid="{123173A3-1C99-41DC-BAAF-0056B621AA0B}" name="Column15683"/>
    <tableColumn id="15711" xr3:uid="{47519D0F-E95D-4255-859B-8D9560A23982}" name="Column15684"/>
    <tableColumn id="15712" xr3:uid="{D1203AEB-021C-40C3-AA1A-F7536F9EF7F5}" name="Column15685"/>
    <tableColumn id="15713" xr3:uid="{B64B1FD9-D72B-4C8E-8D28-A1BDF45F747B}" name="Column15686"/>
    <tableColumn id="15714" xr3:uid="{D64ECD86-4D4E-4D5C-98ED-7F3266621BE0}" name="Column15687"/>
    <tableColumn id="15715" xr3:uid="{B8AB92AA-792A-4CCC-92DC-9BE764E2EF4F}" name="Column15688"/>
    <tableColumn id="15716" xr3:uid="{E3F9314D-E8EB-4D85-B74E-EBE59B30AC8E}" name="Column15689"/>
    <tableColumn id="15717" xr3:uid="{366E0F73-E458-4722-BE71-C83EF7AE7D2B}" name="Column15690"/>
    <tableColumn id="15718" xr3:uid="{4D933F3D-CB1A-46BA-84B4-5DBE11E459C1}" name="Column15691"/>
    <tableColumn id="15719" xr3:uid="{3E561690-F5A1-46D0-860F-F9D937254799}" name="Column15692"/>
    <tableColumn id="15720" xr3:uid="{5806113F-410C-4B10-8EEA-5C85BC373F2A}" name="Column15693"/>
    <tableColumn id="15721" xr3:uid="{E3EA91D9-F991-4DAE-97E7-837DCA592AE5}" name="Column15694"/>
    <tableColumn id="15722" xr3:uid="{BA0B5CE7-CE12-4033-BF77-5BB10D585394}" name="Column15695"/>
    <tableColumn id="15723" xr3:uid="{B413FA06-15A1-4C4A-8FE4-1EB3767DF5A1}" name="Column15696"/>
    <tableColumn id="15724" xr3:uid="{888B7A98-4285-4622-9204-DACDC41B167D}" name="Column15697"/>
    <tableColumn id="15725" xr3:uid="{ED9ADA3E-1EFF-4E41-A7C7-C2B56C6B8C35}" name="Column15698"/>
    <tableColumn id="15726" xr3:uid="{BD57D195-2991-42B4-A8B8-6405029CD88D}" name="Column15699"/>
    <tableColumn id="15727" xr3:uid="{733C75D9-1E30-4104-B63C-87AFBC7A7821}" name="Column15700"/>
    <tableColumn id="15728" xr3:uid="{493E2440-2BB2-4DCD-B3D6-5A6D740F467A}" name="Column15701"/>
    <tableColumn id="15729" xr3:uid="{03A21D5B-A671-4B81-8329-2223D07A11E7}" name="Column15702"/>
    <tableColumn id="15730" xr3:uid="{29604CCD-CA81-4666-98C2-82A7A94C0A90}" name="Column15703"/>
    <tableColumn id="15731" xr3:uid="{15781286-8664-43BA-B7CE-634E3D6379E2}" name="Column15704"/>
    <tableColumn id="15732" xr3:uid="{1E7CF6BF-B8C1-4AB6-A679-90319488D342}" name="Column15705"/>
    <tableColumn id="15733" xr3:uid="{120A9FCA-EDC8-49E6-962E-E9EC767E7478}" name="Column15706"/>
    <tableColumn id="15734" xr3:uid="{AF8A9103-9B5B-48C4-924A-D59547643765}" name="Column15707"/>
    <tableColumn id="15735" xr3:uid="{EAA19374-71A4-43D8-89B9-D8A720A43747}" name="Column15708"/>
    <tableColumn id="15736" xr3:uid="{B2C78E44-248F-42F5-ACBB-0BC268D6CB58}" name="Column15709"/>
    <tableColumn id="15737" xr3:uid="{4DFD549E-2C73-4FD7-B369-878EAED3977D}" name="Column15710"/>
    <tableColumn id="15738" xr3:uid="{CE52E7B4-D36C-46B1-9287-B08CA8E10554}" name="Column15711"/>
    <tableColumn id="15739" xr3:uid="{35A8CB06-A5BD-4D58-9AE0-27A76537D21B}" name="Column15712"/>
    <tableColumn id="15740" xr3:uid="{338E8A0D-A92E-40A8-8F5C-47118E4C8196}" name="Column15713"/>
    <tableColumn id="15741" xr3:uid="{03DB05D9-1867-44F9-94BE-3D60A090D43E}" name="Column15714"/>
    <tableColumn id="15742" xr3:uid="{EC907D97-88BF-4F24-B345-3E5D28E82F4F}" name="Column15715"/>
    <tableColumn id="15743" xr3:uid="{1589F688-B0C8-49FD-8172-5F8609733B59}" name="Column15716"/>
    <tableColumn id="15744" xr3:uid="{C2EA89E8-12F4-43F4-B6CB-358823CB5C2B}" name="Column15717"/>
    <tableColumn id="15745" xr3:uid="{77527EDC-0FE9-494B-A72D-88D5BA708F15}" name="Column15718"/>
    <tableColumn id="15746" xr3:uid="{F9DC0711-76BE-4339-96BE-E2536C0E8F61}" name="Column15719"/>
    <tableColumn id="15747" xr3:uid="{C8EF2E1F-8E35-476B-AD49-FFCDC5CB843D}" name="Column15720"/>
    <tableColumn id="15748" xr3:uid="{3FD0FC56-8E69-46F4-811F-EC64E5F037F4}" name="Column15721"/>
    <tableColumn id="15749" xr3:uid="{4BC16182-264B-4781-885F-F4B402D9282A}" name="Column15722"/>
    <tableColumn id="15750" xr3:uid="{A980E5EA-0F64-4D7E-825D-E65AD07FDDD1}" name="Column15723"/>
    <tableColumn id="15751" xr3:uid="{1E611291-AC51-478D-BA3E-DA7AB06E3A1E}" name="Column15724"/>
    <tableColumn id="15752" xr3:uid="{BAF8A6CD-C560-46C0-A55F-ADFA5F2B046F}" name="Column15725"/>
    <tableColumn id="15753" xr3:uid="{97A9DFCA-7D83-4CE9-A4C8-DC37FCE8BD6E}" name="Column15726"/>
    <tableColumn id="15754" xr3:uid="{6E5A5B05-4EE2-4865-9FF5-60B3B4A729AF}" name="Column15727"/>
    <tableColumn id="15755" xr3:uid="{1BB8093D-4E61-43DA-BF4B-A6D37259C4D7}" name="Column15728"/>
    <tableColumn id="15756" xr3:uid="{747D3034-41C0-49A7-AF50-9BE17BEF172C}" name="Column15729"/>
    <tableColumn id="15757" xr3:uid="{CAEB75C6-14F8-4D4B-97B1-401A57DC808D}" name="Column15730"/>
    <tableColumn id="15758" xr3:uid="{25E1582B-A7CB-496D-9EFF-19FEECC94C20}" name="Column15731"/>
    <tableColumn id="15759" xr3:uid="{CC67B257-FD16-49D9-8BB9-B7B43821ED44}" name="Column15732"/>
    <tableColumn id="15760" xr3:uid="{8FB211B6-89BC-4E33-8B03-0EB3525E51DA}" name="Column15733"/>
    <tableColumn id="15761" xr3:uid="{F9E7DCE8-9B4E-4462-9293-369060F7C64F}" name="Column15734"/>
    <tableColumn id="15762" xr3:uid="{8590E342-0BCD-46AF-829A-87BBBF040596}" name="Column15735"/>
    <tableColumn id="15763" xr3:uid="{2E17DD2E-E3E5-4BEA-A5C4-DB098A874D2E}" name="Column15736"/>
    <tableColumn id="15764" xr3:uid="{E42F3709-AAE7-47C2-B173-C9E5100F5D78}" name="Column15737"/>
    <tableColumn id="15765" xr3:uid="{D08CC14E-EE02-4304-8E7F-D213A5A341D1}" name="Column15738"/>
    <tableColumn id="15766" xr3:uid="{50E69557-F45D-4603-AFA1-2809526EF3B7}" name="Column15739"/>
    <tableColumn id="15767" xr3:uid="{D516E33B-858B-4641-9E5D-1BCAAAD9FCFF}" name="Column15740"/>
    <tableColumn id="15768" xr3:uid="{7B5D7044-A7D3-4782-9A78-A46F48F6AE1C}" name="Column15741"/>
    <tableColumn id="15769" xr3:uid="{AB0F4854-F768-4CBD-8F32-EECFDC10DE79}" name="Column15742"/>
    <tableColumn id="15770" xr3:uid="{9E86994A-3ABF-4122-ACD8-36CC3255357D}" name="Column15743"/>
    <tableColumn id="15771" xr3:uid="{707670B5-C6E7-419F-84DF-610EF80FAB3A}" name="Column15744"/>
    <tableColumn id="15772" xr3:uid="{119693FA-85D5-41C8-A41F-C242D2459C83}" name="Column15745"/>
    <tableColumn id="15773" xr3:uid="{C5753542-E08F-411F-AA9F-4D3ADCE52C31}" name="Column15746"/>
    <tableColumn id="15774" xr3:uid="{2026A87D-A17E-4EF3-AE4A-3FB944EA4A6C}" name="Column15747"/>
    <tableColumn id="15775" xr3:uid="{749104CF-A6F4-44F3-9091-AAFF7BB91CE6}" name="Column15748"/>
    <tableColumn id="15776" xr3:uid="{B8C93E72-437B-44D8-A8FD-869C9AD41827}" name="Column15749"/>
    <tableColumn id="15777" xr3:uid="{E26F3C43-693F-408B-A1BA-710789285C9B}" name="Column15750"/>
    <tableColumn id="15778" xr3:uid="{AF504866-D67A-4886-920C-0648258435BB}" name="Column15751"/>
    <tableColumn id="15779" xr3:uid="{89A0D6DF-6E47-4366-BD89-1F80E665D56A}" name="Column15752"/>
    <tableColumn id="15780" xr3:uid="{3256FBA2-9801-4533-B409-4FCC60A807C2}" name="Column15753"/>
    <tableColumn id="15781" xr3:uid="{05432A11-2738-4E82-90B7-3E3A7790458C}" name="Column15754"/>
    <tableColumn id="15782" xr3:uid="{2AE9414F-03A9-4C57-8AAA-724299350484}" name="Column15755"/>
    <tableColumn id="15783" xr3:uid="{2679B02E-FD7E-4F67-81E4-7F34F4DE516D}" name="Column15756"/>
    <tableColumn id="15784" xr3:uid="{D0F3683A-68F5-4274-A3B2-DAE0CF9CD749}" name="Column15757"/>
    <tableColumn id="15785" xr3:uid="{3A0BACD6-6FCE-4BCB-89A8-4D2468ED80DE}" name="Column15758"/>
    <tableColumn id="15786" xr3:uid="{83A09388-9918-4E59-99B7-CE1BD39B7182}" name="Column15759"/>
    <tableColumn id="15787" xr3:uid="{5D6BD706-303E-441D-8358-28366A207CC5}" name="Column15760"/>
    <tableColumn id="15788" xr3:uid="{0C303BD0-4702-44B6-A673-5A39EF61CED5}" name="Column15761"/>
    <tableColumn id="15789" xr3:uid="{8B4784ED-3D3F-440A-907B-A489E851684D}" name="Column15762"/>
    <tableColumn id="15790" xr3:uid="{CD61CCEB-4B8E-4BD5-9E34-C926CE042BC9}" name="Column15763"/>
    <tableColumn id="15791" xr3:uid="{0A98A104-2A6E-4C10-BB97-A4F912CB9B94}" name="Column15764"/>
    <tableColumn id="15792" xr3:uid="{CBD05806-FB3D-4704-8F5A-9D419A531681}" name="Column15765"/>
    <tableColumn id="15793" xr3:uid="{3B31528B-290C-434D-BBA5-76E716792A00}" name="Column15766"/>
    <tableColumn id="15794" xr3:uid="{98DA3CAF-3270-45FD-913A-46ABDFDE3C82}" name="Column15767"/>
    <tableColumn id="15795" xr3:uid="{034674CF-7D4B-4B63-9BBA-2808893CA19D}" name="Column15768"/>
    <tableColumn id="15796" xr3:uid="{B00A5E9C-402B-494A-9377-2EF73219CEBE}" name="Column15769"/>
    <tableColumn id="15797" xr3:uid="{91C2EAB5-D6E7-4E1D-8045-14F687550A74}" name="Column15770"/>
    <tableColumn id="15798" xr3:uid="{FC5D3F32-E373-4196-84A2-9D87D6C8BE2C}" name="Column15771"/>
    <tableColumn id="15799" xr3:uid="{4B33BB0E-9886-4440-B438-8EB1BE588E88}" name="Column15772"/>
    <tableColumn id="15800" xr3:uid="{073F87EE-3BC9-4FEF-A999-D11F9E8A7E12}" name="Column15773"/>
    <tableColumn id="15801" xr3:uid="{ABF55D3B-7625-450F-A862-CDB6A85528C5}" name="Column15774"/>
    <tableColumn id="15802" xr3:uid="{DEB855DF-93D1-4FC3-9951-D96B6B6F68E3}" name="Column15775"/>
    <tableColumn id="15803" xr3:uid="{A0BF8744-FC30-4499-BD72-8D3AF7C099C3}" name="Column15776"/>
    <tableColumn id="15804" xr3:uid="{C4F36DCA-258F-4378-AD56-215117A3DBC5}" name="Column15777"/>
    <tableColumn id="15805" xr3:uid="{4C3B82D8-C9AD-48B0-9968-DAC630A7B58B}" name="Column15778"/>
    <tableColumn id="15806" xr3:uid="{8D4334D7-CE56-4741-B552-249814922B51}" name="Column15779"/>
    <tableColumn id="15807" xr3:uid="{988CEBAD-9EA9-4457-B07F-06EC718ACA21}" name="Column15780"/>
    <tableColumn id="15808" xr3:uid="{6A697F1D-7EBE-4AFB-8A80-C717204B17F2}" name="Column15781"/>
    <tableColumn id="15809" xr3:uid="{A19FEFB1-CF1B-4158-8ECD-E07AD39E0787}" name="Column15782"/>
    <tableColumn id="15810" xr3:uid="{00EA0D0F-F950-42CC-8CAE-FD8064A3BC71}" name="Column15783"/>
    <tableColumn id="15811" xr3:uid="{BE955D86-ECA8-4183-B87F-B85DABA568D1}" name="Column15784"/>
    <tableColumn id="15812" xr3:uid="{C641C0CB-4A5F-4DB5-B3A3-3652A2DE1780}" name="Column15785"/>
    <tableColumn id="15813" xr3:uid="{5461EF94-707E-4797-A613-57BD71C7C52A}" name="Column15786"/>
    <tableColumn id="15814" xr3:uid="{BAFA8B6D-7F68-4177-B314-C4B42A1C5F9F}" name="Column15787"/>
    <tableColumn id="15815" xr3:uid="{5E54F67F-4B4C-4FF7-A5AA-537083A1DEAA}" name="Column15788"/>
    <tableColumn id="15816" xr3:uid="{7EC2D252-F994-4F0B-AE7F-3F0F4187258A}" name="Column15789"/>
    <tableColumn id="15817" xr3:uid="{D038C861-D743-4390-B043-44A90779DB22}" name="Column15790"/>
    <tableColumn id="15818" xr3:uid="{AFFF0CFA-0AD7-4CF1-91C9-00A9DBF4FB4E}" name="Column15791"/>
    <tableColumn id="15819" xr3:uid="{769F40FC-370F-4CE7-B421-4AFD0C09E972}" name="Column15792"/>
    <tableColumn id="15820" xr3:uid="{060EA2C3-5207-4605-9AC4-0047D07CA617}" name="Column15793"/>
    <tableColumn id="15821" xr3:uid="{CEABC708-3CB0-4961-8787-A3EC6C5B2EE0}" name="Column15794"/>
    <tableColumn id="15822" xr3:uid="{293DB984-DD66-4E0B-B566-F3239869695C}" name="Column15795"/>
    <tableColumn id="15823" xr3:uid="{B8933705-6548-403A-9A77-D84058CF9893}" name="Column15796"/>
    <tableColumn id="15824" xr3:uid="{2D164335-4407-4052-A832-5A5BD2978E60}" name="Column15797"/>
    <tableColumn id="15825" xr3:uid="{E1436B7D-1C96-40E6-AE1C-E426FD979E53}" name="Column15798"/>
    <tableColumn id="15826" xr3:uid="{A0FA9198-F181-4B03-B000-38061AB733FB}" name="Column15799"/>
    <tableColumn id="15827" xr3:uid="{12F4932D-A960-4AC2-92EB-6992CFEC88F4}" name="Column15800"/>
    <tableColumn id="15828" xr3:uid="{E8269F0F-582B-4A49-AA69-D0AD10C074A3}" name="Column15801"/>
    <tableColumn id="15829" xr3:uid="{051E121B-149D-4431-B0EB-A717A84E649C}" name="Column15802"/>
    <tableColumn id="15830" xr3:uid="{55121E54-0FC4-4A10-967B-E9116435898B}" name="Column15803"/>
    <tableColumn id="15831" xr3:uid="{61D700DA-96CA-48BC-B02E-F2AB89E243D8}" name="Column15804"/>
    <tableColumn id="15832" xr3:uid="{FDC90E6B-9469-4F35-8709-E128FA57496C}" name="Column15805"/>
    <tableColumn id="15833" xr3:uid="{0EEFD913-423B-4803-A0F9-0A16C91FEB41}" name="Column15806"/>
    <tableColumn id="15834" xr3:uid="{69F9C8D9-204C-46D5-8F62-DDF447298D2C}" name="Column15807"/>
    <tableColumn id="15835" xr3:uid="{3FFD5E12-F626-487A-8ADF-7E0DB26CF1DD}" name="Column15808"/>
    <tableColumn id="15836" xr3:uid="{2CDD0FAC-BF71-4D51-A50B-CEA5E791642E}" name="Column15809"/>
    <tableColumn id="15837" xr3:uid="{11B701AE-F3BE-457C-94EF-64A8EE6E2AA5}" name="Column15810"/>
    <tableColumn id="15838" xr3:uid="{D8FD3EA7-45DD-4112-8994-8A6EA26D1FC1}" name="Column15811"/>
    <tableColumn id="15839" xr3:uid="{51D0C616-BD27-4AD9-A012-071455C86349}" name="Column15812"/>
    <tableColumn id="15840" xr3:uid="{351D60A2-B5EE-4BCB-B367-8D714D2EC164}" name="Column15813"/>
    <tableColumn id="15841" xr3:uid="{72B6F0C8-206F-40A0-8FF2-9EC079B570C1}" name="Column15814"/>
    <tableColumn id="15842" xr3:uid="{29224931-AB0D-44F7-BD70-DCAAF7CF128C}" name="Column15815"/>
    <tableColumn id="15843" xr3:uid="{50AF2434-6563-4A9E-B370-BCD8F6BD085B}" name="Column15816"/>
    <tableColumn id="15844" xr3:uid="{50E4697B-C0AA-4EDF-91C7-5D4679B32147}" name="Column15817"/>
    <tableColumn id="15845" xr3:uid="{344DBF4A-9560-4F66-B196-56572929E1CC}" name="Column15818"/>
    <tableColumn id="15846" xr3:uid="{7E49591D-E9BA-4C5F-9A63-E6C84079DAC5}" name="Column15819"/>
    <tableColumn id="15847" xr3:uid="{8676F171-FD38-4E98-B452-24DBEB66E54D}" name="Column15820"/>
    <tableColumn id="15848" xr3:uid="{7BD9919A-A0EF-42AB-89C6-840BC0C154A0}" name="Column15821"/>
    <tableColumn id="15849" xr3:uid="{265DD3B5-6501-42D7-BD39-95A411244476}" name="Column15822"/>
    <tableColumn id="15850" xr3:uid="{A9FEC91B-60F8-401E-8F02-C759DF723F46}" name="Column15823"/>
    <tableColumn id="15851" xr3:uid="{FA7C7A80-AB7C-4B72-A935-16B842D3CF87}" name="Column15824"/>
    <tableColumn id="15852" xr3:uid="{7C350D3A-3B6C-4011-9F4B-AFBD411FA746}" name="Column15825"/>
    <tableColumn id="15853" xr3:uid="{A192B651-5AA8-4475-82B5-5804370B89E1}" name="Column15826"/>
    <tableColumn id="15854" xr3:uid="{C6602306-A7FA-4843-A5B4-B30317E77423}" name="Column15827"/>
    <tableColumn id="15855" xr3:uid="{23B49E05-4C32-4BD4-A2DF-2F3601CA1C3A}" name="Column15828"/>
    <tableColumn id="15856" xr3:uid="{19E920F5-BD02-45F2-B56C-273082110FD9}" name="Column15829"/>
    <tableColumn id="15857" xr3:uid="{DEA40181-8720-4E57-ABB3-D4956454A8A0}" name="Column15830"/>
    <tableColumn id="15858" xr3:uid="{EFDED24F-E1B5-430C-AA9A-6F2BE77F1E45}" name="Column15831"/>
    <tableColumn id="15859" xr3:uid="{7144C9FF-30C7-44BC-BC0D-A120E0FBCEA2}" name="Column15832"/>
    <tableColumn id="15860" xr3:uid="{165D1B7D-DF74-4E51-8B9C-EECAC0FE1013}" name="Column15833"/>
    <tableColumn id="15861" xr3:uid="{3D6681A3-A2CB-4A2C-8FDC-F02D4F7FD414}" name="Column15834"/>
    <tableColumn id="15862" xr3:uid="{120C89E3-03D1-4385-A3E2-687FB9F184BE}" name="Column15835"/>
    <tableColumn id="15863" xr3:uid="{3BFB7CC4-A120-4717-BB1E-E1A3F0AA8C76}" name="Column15836"/>
    <tableColumn id="15864" xr3:uid="{6E65211C-E2BA-4295-9E43-64909FF766D5}" name="Column15837"/>
    <tableColumn id="15865" xr3:uid="{039E4F17-4B05-4BAC-99A0-09A9A0E1D7C7}" name="Column15838"/>
    <tableColumn id="15866" xr3:uid="{DD3034D6-52F4-4C58-8B3C-9A122489AD42}" name="Column15839"/>
    <tableColumn id="15867" xr3:uid="{B2B29302-6721-4547-B85C-BAEA43E24010}" name="Column15840"/>
    <tableColumn id="15868" xr3:uid="{1721FE22-DA88-4536-AB09-67CAF04CFDDE}" name="Column15841"/>
    <tableColumn id="15869" xr3:uid="{FD353312-96E5-475B-ABCD-A3C70CF78D4A}" name="Column15842"/>
    <tableColumn id="15870" xr3:uid="{528FD438-9871-42F2-8771-FE6713A7E390}" name="Column15843"/>
    <tableColumn id="15871" xr3:uid="{871BCCD7-0FD5-473F-9B01-4898F6F975F4}" name="Column15844"/>
    <tableColumn id="15872" xr3:uid="{910EC43F-758B-4BC6-A5F1-6106A1B697A0}" name="Column15845"/>
    <tableColumn id="15873" xr3:uid="{76B8CBA5-F2CA-4DC1-A384-469E2E01F9A6}" name="Column15846"/>
    <tableColumn id="15874" xr3:uid="{AFAEFBD6-E0DB-4365-91E0-67C5EE0A362D}" name="Column15847"/>
    <tableColumn id="15875" xr3:uid="{E2684933-1C1B-48C3-9B1D-E9290488ED3B}" name="Column15848"/>
    <tableColumn id="15876" xr3:uid="{46E168F3-9177-4F60-B0B4-2455A1EAC07B}" name="Column15849"/>
    <tableColumn id="15877" xr3:uid="{E3DD309D-6544-46DB-BD14-E7C9D3E1D3B9}" name="Column15850"/>
    <tableColumn id="15878" xr3:uid="{E05A4BFC-1ADF-4B70-94EC-76F47751E8A5}" name="Column15851"/>
    <tableColumn id="15879" xr3:uid="{2C2CC700-BA2F-4B33-8479-B62341F5AA6C}" name="Column15852"/>
    <tableColumn id="15880" xr3:uid="{A9AF28BA-F7C9-4BBF-BD2A-72E45E7B5326}" name="Column15853"/>
    <tableColumn id="15881" xr3:uid="{7C3E0E0A-8A21-4438-878F-1F7A290A121C}" name="Column15854"/>
    <tableColumn id="15882" xr3:uid="{0E1FDF11-6204-492C-A115-2740AEF42220}" name="Column15855"/>
    <tableColumn id="15883" xr3:uid="{B6204375-2E53-453E-A6D9-E5FB99E8D16E}" name="Column15856"/>
    <tableColumn id="15884" xr3:uid="{97A34DA5-31F7-4339-9F55-212FC2DFDC8B}" name="Column15857"/>
    <tableColumn id="15885" xr3:uid="{511FEC66-26B9-48B1-844F-171E944A68C3}" name="Column15858"/>
    <tableColumn id="15886" xr3:uid="{54968AF5-ABF6-43D0-A8C5-AF6C5E5FB1E2}" name="Column15859"/>
    <tableColumn id="15887" xr3:uid="{6D71F025-E1D0-4285-8123-B91D2B219B46}" name="Column15860"/>
    <tableColumn id="15888" xr3:uid="{83F24FF8-DF6B-4AE6-BB7D-B3BBEC3DD48D}" name="Column15861"/>
    <tableColumn id="15889" xr3:uid="{538F7C9E-CE07-4AF4-BF7C-82E106972A9E}" name="Column15862"/>
    <tableColumn id="15890" xr3:uid="{B3C9B5D4-3487-4647-85D0-B398E2BE5255}" name="Column15863"/>
    <tableColumn id="15891" xr3:uid="{7C29702D-9B58-458A-AE5D-A75AED082841}" name="Column15864"/>
    <tableColumn id="15892" xr3:uid="{6BFD6325-C7C9-415C-8944-0E003A1A119A}" name="Column15865"/>
    <tableColumn id="15893" xr3:uid="{33DA7839-734B-4A69-9414-4D35F8373980}" name="Column15866"/>
    <tableColumn id="15894" xr3:uid="{03FFA85C-5852-4F28-AFA0-2D9DB7D9E8BF}" name="Column15867"/>
    <tableColumn id="15895" xr3:uid="{EDD297DA-412E-4A5A-9604-1345DFC75021}" name="Column15868"/>
    <tableColumn id="15896" xr3:uid="{E8FA7DCA-DFB8-436D-91D4-E8C53B9BA6DB}" name="Column15869"/>
    <tableColumn id="15897" xr3:uid="{188B9A58-DD6E-4EE3-B9EF-D66A49792399}" name="Column15870"/>
    <tableColumn id="15898" xr3:uid="{17A87BAD-274C-42D1-AC63-504EDAD6063F}" name="Column15871"/>
    <tableColumn id="15899" xr3:uid="{CA7F4780-32D3-4AA2-B8A8-15E78677E085}" name="Column15872"/>
    <tableColumn id="15900" xr3:uid="{89E9C768-A815-4329-A5A8-D76C333502D3}" name="Column15873"/>
    <tableColumn id="15901" xr3:uid="{8971A8F8-7F1F-402F-A88A-9142501C77A9}" name="Column15874"/>
    <tableColumn id="15902" xr3:uid="{80ED42E1-D295-424E-B20F-997097050915}" name="Column15875"/>
    <tableColumn id="15903" xr3:uid="{3325688C-59B7-4614-9E98-5BDC97A59EC2}" name="Column15876"/>
    <tableColumn id="15904" xr3:uid="{56ECDF48-F016-4C89-B820-99D470110060}" name="Column15877"/>
    <tableColumn id="15905" xr3:uid="{4A454076-81CC-4AA2-98E2-9A7E13AA0057}" name="Column15878"/>
    <tableColumn id="15906" xr3:uid="{A4BBAFF5-3D11-4298-BD4D-79BDC06AF1E8}" name="Column15879"/>
    <tableColumn id="15907" xr3:uid="{DDCA8646-D992-4476-A925-0C8D285D4A12}" name="Column15880"/>
    <tableColumn id="15908" xr3:uid="{1DE72CE3-3748-4982-9620-E6FC4ABC7F35}" name="Column15881"/>
    <tableColumn id="15909" xr3:uid="{1A13EB67-5B22-4F51-A358-8F6A01A10691}" name="Column15882"/>
    <tableColumn id="15910" xr3:uid="{FDFFEBE6-7F7D-4DC8-838E-AAB897D67A26}" name="Column15883"/>
    <tableColumn id="15911" xr3:uid="{66C90A2E-4C49-4E19-8779-7D32DFA34DC2}" name="Column15884"/>
    <tableColumn id="15912" xr3:uid="{53EF4CC3-814E-4566-B4F8-C7E5CB857745}" name="Column15885"/>
    <tableColumn id="15913" xr3:uid="{58943594-14DF-40CD-8495-20D2C4F1FB2E}" name="Column15886"/>
    <tableColumn id="15914" xr3:uid="{0D659DA7-ED80-4E26-84EE-7E9869B2985A}" name="Column15887"/>
    <tableColumn id="15915" xr3:uid="{39A0DC20-395F-4629-889F-D0541E275BBD}" name="Column15888"/>
    <tableColumn id="15916" xr3:uid="{628EC162-8E6C-4B4B-92E5-02FA05149080}" name="Column15889"/>
    <tableColumn id="15917" xr3:uid="{AABE505C-6498-4B92-B62B-4BD7E4FA05E5}" name="Column15890"/>
    <tableColumn id="15918" xr3:uid="{59C90F0E-CE1B-49A8-A933-C4FEBE5ACFFA}" name="Column15891"/>
    <tableColumn id="15919" xr3:uid="{D2165B07-49B0-4F30-B2E8-34B1C856B74E}" name="Column15892"/>
    <tableColumn id="15920" xr3:uid="{693C10E1-3751-4B48-ACAC-22EEEE02F291}" name="Column15893"/>
    <tableColumn id="15921" xr3:uid="{A3374637-0B4B-413C-AB4C-FC5C9C85A0F5}" name="Column15894"/>
    <tableColumn id="15922" xr3:uid="{00D32A34-5E32-446A-8389-EAF9AF21B9E2}" name="Column15895"/>
    <tableColumn id="15923" xr3:uid="{0DE45DC3-3418-4263-B4C0-8B59F013DD65}" name="Column15896"/>
    <tableColumn id="15924" xr3:uid="{32C0FD11-6583-4A75-B14A-0BB27AA138A4}" name="Column15897"/>
    <tableColumn id="15925" xr3:uid="{637EC3A0-A433-48E7-BF35-81A812EFE1FF}" name="Column15898"/>
    <tableColumn id="15926" xr3:uid="{A1D28723-208D-4166-9106-2799933F96F3}" name="Column15899"/>
    <tableColumn id="15927" xr3:uid="{688E9286-A152-4CA3-B45C-7E47DDEE3F91}" name="Column15900"/>
    <tableColumn id="15928" xr3:uid="{1308CEC7-E88C-4F2F-8517-308E2CBE7008}" name="Column15901"/>
    <tableColumn id="15929" xr3:uid="{CD11013A-8427-4A00-8EC2-AD55E5A60CB0}" name="Column15902"/>
    <tableColumn id="15930" xr3:uid="{1F88EC38-9633-43EF-A8C2-B9CEBAC6EFD3}" name="Column15903"/>
    <tableColumn id="15931" xr3:uid="{00DE8B2A-79C4-4B72-B751-53BA4E7C48E4}" name="Column15904"/>
    <tableColumn id="15932" xr3:uid="{9C26B116-4B8C-41D0-A22D-407B56940A26}" name="Column15905"/>
    <tableColumn id="15933" xr3:uid="{C1C63DFC-0198-4BB0-9143-9EC8CAB02D32}" name="Column15906"/>
    <tableColumn id="15934" xr3:uid="{93874FD0-1993-4A2E-9090-30EA4771E0C1}" name="Column15907"/>
    <tableColumn id="15935" xr3:uid="{0138798D-804E-49FF-98DA-2649106295DC}" name="Column15908"/>
    <tableColumn id="15936" xr3:uid="{9B98B533-83AE-4E88-9C13-6454870E5B6F}" name="Column15909"/>
    <tableColumn id="15937" xr3:uid="{96659F40-A7A5-42D7-8378-B4B11FC0D923}" name="Column15910"/>
    <tableColumn id="15938" xr3:uid="{8A6526D3-CC5C-4F02-A247-96C1CCCECDEC}" name="Column15911"/>
    <tableColumn id="15939" xr3:uid="{D7A2271B-E32F-4C96-8715-F62E51CC187F}" name="Column15912"/>
    <tableColumn id="15940" xr3:uid="{1711B6C8-8564-4D12-9FF9-3603DD74E60F}" name="Column15913"/>
    <tableColumn id="15941" xr3:uid="{59905C2E-B9E6-4ED0-9641-5D937D8820C1}" name="Column15914"/>
    <tableColumn id="15942" xr3:uid="{39141319-961C-4733-8194-043C08A29D85}" name="Column15915"/>
    <tableColumn id="15943" xr3:uid="{50E46C9A-671E-41CD-B9C6-7EEFD76B76C1}" name="Column15916"/>
    <tableColumn id="15944" xr3:uid="{A6B957AE-7B13-453C-A0BB-82047E65CB06}" name="Column15917"/>
    <tableColumn id="15945" xr3:uid="{B26E66A9-938C-4979-BF6F-4C1E0888FB69}" name="Column15918"/>
    <tableColumn id="15946" xr3:uid="{A935C9D9-F94B-4069-85D1-69B43971C2B3}" name="Column15919"/>
    <tableColumn id="15947" xr3:uid="{BC48D3F5-9BCE-4CA3-8F65-761C38E83080}" name="Column15920"/>
    <tableColumn id="15948" xr3:uid="{A5DFDB7C-ED37-4544-83EA-A5482AD9967A}" name="Column15921"/>
    <tableColumn id="15949" xr3:uid="{3C116F13-8055-4DB6-9394-1AB5FB1DE2D6}" name="Column15922"/>
    <tableColumn id="15950" xr3:uid="{F06F75F2-1A84-4E22-A4D1-229D9A8E6EF5}" name="Column15923"/>
    <tableColumn id="15951" xr3:uid="{0554DDD2-5A4E-427B-A274-579BCB7EF1A7}" name="Column15924"/>
    <tableColumn id="15952" xr3:uid="{647C255E-81D6-463E-A047-890F39EBBEDA}" name="Column15925"/>
    <tableColumn id="15953" xr3:uid="{AE7DF5A4-EBA7-4403-A3E5-C32281120B9C}" name="Column15926"/>
    <tableColumn id="15954" xr3:uid="{A1943FFE-487F-45F7-8230-70550124C15C}" name="Column15927"/>
    <tableColumn id="15955" xr3:uid="{4DFF933B-CDDC-41E1-84FA-EE8C38F2EABB}" name="Column15928"/>
    <tableColumn id="15956" xr3:uid="{C40F5973-CBEC-40DF-87E1-D57A143116C4}" name="Column15929"/>
    <tableColumn id="15957" xr3:uid="{484967E3-0A40-41F8-AAA7-798FD9BF4633}" name="Column15930"/>
    <tableColumn id="15958" xr3:uid="{BFCA602A-E39F-49A2-9762-2682148DBF18}" name="Column15931"/>
    <tableColumn id="15959" xr3:uid="{EFACA0C8-9A06-48C7-B145-A64BF569F26D}" name="Column15932"/>
    <tableColumn id="15960" xr3:uid="{3ECEA366-8584-4947-A021-8418DD6ABDC5}" name="Column15933"/>
    <tableColumn id="15961" xr3:uid="{BF48542B-7B85-432A-8694-C3634F9C26A1}" name="Column15934"/>
    <tableColumn id="15962" xr3:uid="{EEE06AEA-B232-49A2-9861-01CDCF9EE415}" name="Column15935"/>
    <tableColumn id="15963" xr3:uid="{34AB4FEA-50E8-4A5D-922D-ABC8B9BA2516}" name="Column15936"/>
    <tableColumn id="15964" xr3:uid="{2D54474D-2ADE-499A-8F5D-660DBAB94920}" name="Column15937"/>
    <tableColumn id="15965" xr3:uid="{90D71A7A-8E9F-4EA5-95E5-E9A830A45D35}" name="Column15938"/>
    <tableColumn id="15966" xr3:uid="{B2A35496-23D3-4763-BC53-54C61C56DEA7}" name="Column15939"/>
    <tableColumn id="15967" xr3:uid="{D6D531F5-7246-48C1-9A81-086CE207DB55}" name="Column15940"/>
    <tableColumn id="15968" xr3:uid="{B5AD46EB-708F-4A53-AE38-8FD5C384F133}" name="Column15941"/>
    <tableColumn id="15969" xr3:uid="{6F7CD16D-8F8F-4D57-A1D1-8CAA0D645EF7}" name="Column15942"/>
    <tableColumn id="15970" xr3:uid="{0608EB85-436D-4D30-BEEB-0C52C5E178AE}" name="Column15943"/>
    <tableColumn id="15971" xr3:uid="{011190B4-75F2-42B1-BD4D-B49867289848}" name="Column15944"/>
    <tableColumn id="15972" xr3:uid="{084BE6FA-9917-4602-97B1-FEA6D90F1734}" name="Column15945"/>
    <tableColumn id="15973" xr3:uid="{0C3F541F-12A2-4E9D-B006-CA3038504C48}" name="Column15946"/>
    <tableColumn id="15974" xr3:uid="{39C7BA41-2DA4-4C79-A844-7171436FD55B}" name="Column15947"/>
    <tableColumn id="15975" xr3:uid="{2AB1C9E3-CC21-461B-AEB4-F452865E5AFA}" name="Column15948"/>
    <tableColumn id="15976" xr3:uid="{298FC3E1-4B13-4B4E-B1D1-09725A241D51}" name="Column15949"/>
    <tableColumn id="15977" xr3:uid="{F62A6FBE-365C-415F-8723-C702B059BB86}" name="Column15950"/>
    <tableColumn id="15978" xr3:uid="{593DB5F0-6960-4A2C-91A1-DA53C1A18E2A}" name="Column15951"/>
    <tableColumn id="15979" xr3:uid="{8E2FAFA7-50C6-48B8-A5FB-AFB68FAAF620}" name="Column15952"/>
    <tableColumn id="15980" xr3:uid="{28E57AFB-FEB4-4FE4-A6C6-49057AC5C2E1}" name="Column15953"/>
    <tableColumn id="15981" xr3:uid="{111B95BF-D08B-477C-8B34-8337E3644E5C}" name="Column15954"/>
    <tableColumn id="15982" xr3:uid="{145967E6-7052-4271-8E41-ED8E0080698E}" name="Column15955"/>
    <tableColumn id="15983" xr3:uid="{806EFF17-673F-4C80-BA05-7918BA98E549}" name="Column15956"/>
    <tableColumn id="15984" xr3:uid="{335B296A-C8C9-414A-8ADE-B94053A71460}" name="Column15957"/>
    <tableColumn id="15985" xr3:uid="{AFB3EE5D-48B3-4BFB-B219-56838F1E53AD}" name="Column15958"/>
    <tableColumn id="15986" xr3:uid="{AFBAF128-9B20-4976-97A0-A31634DD54CC}" name="Column15959"/>
    <tableColumn id="15987" xr3:uid="{A5238774-FA9F-4A41-ABAD-2841D85CEE5C}" name="Column15960"/>
    <tableColumn id="15988" xr3:uid="{44BFB6AD-958D-4C17-B997-D6DBDC0E2813}" name="Column15961"/>
    <tableColumn id="15989" xr3:uid="{461CCBEC-E322-4CF5-8E22-C5A2DD5F7E60}" name="Column15962"/>
    <tableColumn id="15990" xr3:uid="{BCD5A63C-AF06-4B75-9FE4-84117D62E0F4}" name="Column15963"/>
    <tableColumn id="15991" xr3:uid="{EE685EA2-D261-4803-A11E-47DEC29DF5DE}" name="Column15964"/>
    <tableColumn id="15992" xr3:uid="{D6C67C25-D5C3-4343-87E2-E0F59F8A1C15}" name="Column15965"/>
    <tableColumn id="15993" xr3:uid="{3B7DEE30-9661-45A3-8A8F-F86F299C90E6}" name="Column15966"/>
    <tableColumn id="15994" xr3:uid="{AD765A65-DFE1-4478-9C92-51F9C4E89709}" name="Column15967"/>
    <tableColumn id="15995" xr3:uid="{C562CB54-3039-4697-9CCA-3B97C4FA8B33}" name="Column15968"/>
    <tableColumn id="15996" xr3:uid="{016768C4-E0C9-4F69-8340-22008870D94B}" name="Column15969"/>
    <tableColumn id="15997" xr3:uid="{401D5331-58B3-4E7F-9D7F-6C01F9816140}" name="Column15970"/>
    <tableColumn id="15998" xr3:uid="{1FBC0F35-B109-463D-BC2F-9A90CD9D222C}" name="Column15971"/>
    <tableColumn id="15999" xr3:uid="{4C4A5DE1-3B4A-46DA-A06D-AEDF508E161A}" name="Column15972"/>
    <tableColumn id="16000" xr3:uid="{CE4F89F7-9255-49E6-B673-202961645353}" name="Column15973"/>
    <tableColumn id="16001" xr3:uid="{2B868B0C-8260-4ADE-A515-08D220504517}" name="Column15974"/>
    <tableColumn id="16002" xr3:uid="{3B839E97-CF6D-4902-968B-4F3E084A39DE}" name="Column15975"/>
    <tableColumn id="16003" xr3:uid="{25523229-F27D-4679-B5E6-05CAFF64F0CA}" name="Column15976"/>
    <tableColumn id="16004" xr3:uid="{835DE0B2-012A-4550-8C00-A9E03F561B86}" name="Column15977"/>
    <tableColumn id="16005" xr3:uid="{5F3095F0-5F5D-4392-A8BB-46BB55E5CE32}" name="Column15978"/>
    <tableColumn id="16006" xr3:uid="{2CD4A765-DF03-44C9-9960-EFC07EFC7F5D}" name="Column15979"/>
    <tableColumn id="16007" xr3:uid="{023A09FE-CC21-4D8E-807E-8BDFE06A4685}" name="Column15980"/>
    <tableColumn id="16008" xr3:uid="{FDF7FD8B-BDDC-41A4-90B6-E4BA8BEA7E91}" name="Column15981"/>
    <tableColumn id="16009" xr3:uid="{5855838B-4EF4-468F-9709-E42ED5118F66}" name="Column15982"/>
    <tableColumn id="16010" xr3:uid="{6A3B55D0-AE2D-44A1-918D-C2901116EC5E}" name="Column15983"/>
    <tableColumn id="16011" xr3:uid="{192D4EB8-F4C0-47C7-861F-BD4BB5559280}" name="Column15984"/>
    <tableColumn id="16012" xr3:uid="{8E82B044-E9D6-493B-97EC-8E7416F298D9}" name="Column15985"/>
    <tableColumn id="16013" xr3:uid="{86BB378B-C0FB-4667-8E8E-7C87E7CF2140}" name="Column15986"/>
    <tableColumn id="16014" xr3:uid="{77FF36FB-0277-417A-BE57-41B5C2612EC7}" name="Column15987"/>
    <tableColumn id="16015" xr3:uid="{BFAD1050-B0D3-4AC6-9021-37149EED8DEE}" name="Column15988"/>
    <tableColumn id="16016" xr3:uid="{D096D419-7FE5-4A8E-A1A7-1F5B2816467D}" name="Column15989"/>
    <tableColumn id="16017" xr3:uid="{CA5CC1B4-3F6D-4894-9545-04321E0F1A41}" name="Column15990"/>
    <tableColumn id="16018" xr3:uid="{5051EE1A-CA12-4AEF-A7B3-BAC30F87BC7F}" name="Column15991"/>
    <tableColumn id="16019" xr3:uid="{43A07776-0EC7-4BB7-91A9-82B8442642D6}" name="Column15992"/>
    <tableColumn id="16020" xr3:uid="{7A036C54-30ED-4E5F-81A4-2D2FD415C80B}" name="Column15993"/>
    <tableColumn id="16021" xr3:uid="{6039874A-4EEA-4FB5-93B9-EE32F24B837B}" name="Column15994"/>
    <tableColumn id="16022" xr3:uid="{8690C7D9-F5BE-4055-AF99-138D47942257}" name="Column15995"/>
    <tableColumn id="16023" xr3:uid="{7BD53761-351B-4B5F-8491-7E4F44A64223}" name="Column15996"/>
    <tableColumn id="16024" xr3:uid="{3FA2B7BC-2490-4E76-A81B-3D2302DC2C9A}" name="Column15997"/>
    <tableColumn id="16025" xr3:uid="{55956F79-9864-4C5C-96A1-BCA2B082C4A3}" name="Column15998"/>
    <tableColumn id="16026" xr3:uid="{7F03BB90-6553-4B46-B694-98F2AE32B69B}" name="Column15999"/>
    <tableColumn id="16027" xr3:uid="{005F30A2-1807-4637-AFE2-C851AF48205E}" name="Column16000"/>
    <tableColumn id="16028" xr3:uid="{8DCE4570-B386-4D41-9F93-989788597194}" name="Column16001"/>
    <tableColumn id="16029" xr3:uid="{CC901C3C-EAEF-4D96-9D27-7BA3D08DD66D}" name="Column16002"/>
    <tableColumn id="16030" xr3:uid="{B8F8B430-6EE6-4798-8048-E44E9DBE3173}" name="Column16003"/>
    <tableColumn id="16031" xr3:uid="{9DCB243B-9AE8-43EE-8534-5C27997197A5}" name="Column16004"/>
    <tableColumn id="16032" xr3:uid="{2D6EA14D-99DF-438E-B1B8-90911FE1C59F}" name="Column16005"/>
    <tableColumn id="16033" xr3:uid="{909B99BA-7AE4-4CE8-9057-338E5E9C0401}" name="Column16006"/>
    <tableColumn id="16034" xr3:uid="{B207788A-8276-45DD-8E08-53852415A78D}" name="Column16007"/>
    <tableColumn id="16035" xr3:uid="{59362B3A-9CB1-4D1B-A962-ECB664C36B74}" name="Column16008"/>
    <tableColumn id="16036" xr3:uid="{BC81668D-AEED-41F7-BB69-D5BF9D8EFAA0}" name="Column16009"/>
    <tableColumn id="16037" xr3:uid="{FA4B7803-F604-4C05-806B-623D3782DD04}" name="Column16010"/>
    <tableColumn id="16038" xr3:uid="{B82FDA2E-5C06-4135-8084-D679745FC1D9}" name="Column16011"/>
    <tableColumn id="16039" xr3:uid="{007AA406-97BE-4CE6-BBB9-F0CE61164815}" name="Column16012"/>
    <tableColumn id="16040" xr3:uid="{22671957-FA41-48D5-8932-13CFBC7D3E9F}" name="Column16013"/>
    <tableColumn id="16041" xr3:uid="{FB570521-B734-4FDE-8E21-F92E83C9D193}" name="Column16014"/>
    <tableColumn id="16042" xr3:uid="{EA015909-EBE4-49B3-845C-CC0BD6756A20}" name="Column16015"/>
    <tableColumn id="16043" xr3:uid="{A94E2859-1891-40E5-808E-3D2FFF951B4F}" name="Column16016"/>
    <tableColumn id="16044" xr3:uid="{5A9DF5FD-2FC2-461A-815F-AABDEE397740}" name="Column16017"/>
    <tableColumn id="16045" xr3:uid="{51B6308D-4F87-4CF3-8DAD-C51BA26F6097}" name="Column16018"/>
    <tableColumn id="16046" xr3:uid="{817D01E5-3FC7-4F66-AAEB-520E898FF72F}" name="Column16019"/>
    <tableColumn id="16047" xr3:uid="{4D157394-F36B-45DF-91E2-86DDAA54B522}" name="Column16020"/>
    <tableColumn id="16048" xr3:uid="{D45567AC-13CF-4453-83AA-A72EA3E73D76}" name="Column16021"/>
    <tableColumn id="16049" xr3:uid="{29F1F372-2690-4FD2-92D5-850BC3C7F7F8}" name="Column16022"/>
    <tableColumn id="16050" xr3:uid="{36E9A9DC-FA24-416B-B00A-68E9A23C4ED4}" name="Column16023"/>
    <tableColumn id="16051" xr3:uid="{5926946A-F1CC-4158-ACEA-0668963AC0C4}" name="Column16024"/>
    <tableColumn id="16052" xr3:uid="{7AF2E9CE-1059-41C1-A295-40F91D73DA40}" name="Column16025"/>
    <tableColumn id="16053" xr3:uid="{D8783F13-EA11-40CF-B9A5-9EC86ECD6E36}" name="Column16026"/>
    <tableColumn id="16054" xr3:uid="{DDA9D23C-286C-4E31-9FB9-0F07B9D7D2A1}" name="Column16027"/>
    <tableColumn id="16055" xr3:uid="{731B7380-FB63-4578-B628-E4CAACDBFDCF}" name="Column16028"/>
    <tableColumn id="16056" xr3:uid="{040C3C36-5EAF-4056-9C1F-AB1E46A8B733}" name="Column16029"/>
    <tableColumn id="16057" xr3:uid="{52087CA4-FEC9-487D-A2AF-8049D571939D}" name="Column16030"/>
    <tableColumn id="16058" xr3:uid="{B0822F36-3230-48B9-ADBA-C688AED9B9ED}" name="Column16031"/>
    <tableColumn id="16059" xr3:uid="{3BF430F3-11EE-42E7-ABE0-5B6910C9401E}" name="Column16032"/>
    <tableColumn id="16060" xr3:uid="{BFD0A2B3-55F7-4710-B1BD-F9A0DC0A3585}" name="Column16033"/>
    <tableColumn id="16061" xr3:uid="{9791A0E9-AEA1-4C7D-9CF3-F236672DDB00}" name="Column16034"/>
    <tableColumn id="16062" xr3:uid="{0F0DEE30-03CC-4EE4-AC21-B5B593D8898D}" name="Column16035"/>
    <tableColumn id="16063" xr3:uid="{1A370E9D-9CAE-41D6-B614-CF2296A254CD}" name="Column16036"/>
    <tableColumn id="16064" xr3:uid="{3EB9583F-2E7A-4E29-882D-4A77EC12B180}" name="Column16037"/>
    <tableColumn id="16065" xr3:uid="{664DE6A9-8079-4842-A24C-F4721F33BB4E}" name="Column16038"/>
    <tableColumn id="16066" xr3:uid="{0D826485-CC86-4CAF-9B51-8FFB45667570}" name="Column16039"/>
    <tableColumn id="16067" xr3:uid="{FA6E947F-7E7E-4FF2-9233-C1FE83B6D279}" name="Column16040"/>
    <tableColumn id="16068" xr3:uid="{D41F0415-70BA-4480-8D6B-B0F1951CDC25}" name="Column16041"/>
    <tableColumn id="16069" xr3:uid="{07D12638-A7A4-4759-8D99-F9431A8D10EA}" name="Column16042"/>
    <tableColumn id="16070" xr3:uid="{A63FD5BB-E4ED-49C1-966F-05463490618B}" name="Column16043"/>
    <tableColumn id="16071" xr3:uid="{4628E9E2-72DC-45D9-A457-5EA047EE380C}" name="Column16044"/>
    <tableColumn id="16072" xr3:uid="{7AC7D076-B784-4BCF-AEF7-22BF486803AA}" name="Column16045"/>
    <tableColumn id="16073" xr3:uid="{A7C28459-EEE1-4808-B3A9-C58E6DA0164C}" name="Column16046"/>
    <tableColumn id="16074" xr3:uid="{D4816C6B-EA14-4181-951E-150346CBEB1A}" name="Column16047"/>
    <tableColumn id="16075" xr3:uid="{F708AE38-5D5B-48E6-B296-983E072F6561}" name="Column16048"/>
    <tableColumn id="16076" xr3:uid="{B0CC68D0-26BD-4842-8555-E2AE5A4015DE}" name="Column16049"/>
    <tableColumn id="16077" xr3:uid="{E6127227-A094-4449-89BF-57CF66FC0B96}" name="Column16050"/>
    <tableColumn id="16078" xr3:uid="{A03A0C7D-89E5-4F6E-AEA1-479746157B82}" name="Column16051"/>
    <tableColumn id="16079" xr3:uid="{355B851F-B91C-42AB-9BEB-40F33F2E4CC9}" name="Column16052"/>
    <tableColumn id="16080" xr3:uid="{6F69D9FD-225A-47C2-BA3F-DF414C93B5B0}" name="Column16053"/>
    <tableColumn id="16081" xr3:uid="{2D02A739-BFDB-430F-9006-D77DA65A5FA6}" name="Column16054"/>
    <tableColumn id="16082" xr3:uid="{14D5EAD1-EC6B-491D-AA7C-69CD2EC14FF5}" name="Column16055"/>
    <tableColumn id="16083" xr3:uid="{ABF6CB89-F955-4602-BBD5-34BE32B39078}" name="Column16056"/>
    <tableColumn id="16084" xr3:uid="{57D56248-5FD5-4842-9CC5-557BC7B92639}" name="Column16057"/>
    <tableColumn id="16085" xr3:uid="{679CCA48-4B4F-42DE-9E28-0D0779383FAF}" name="Column16058"/>
    <tableColumn id="16086" xr3:uid="{C94525AD-6DC3-4F74-8B75-D94895485153}" name="Column16059"/>
    <tableColumn id="16087" xr3:uid="{432DCFA8-8BEF-4862-8CE6-75C568216D22}" name="Column16060"/>
    <tableColumn id="16088" xr3:uid="{822FCB0A-7034-48CD-91A1-65EAEF442DBD}" name="Column16061"/>
    <tableColumn id="16089" xr3:uid="{0F1B2E3C-3CBD-45C2-80E3-831C0863A674}" name="Column16062"/>
    <tableColumn id="16090" xr3:uid="{B83AFAF1-7656-4031-9248-077FEBA9BBB4}" name="Column16063"/>
    <tableColumn id="16091" xr3:uid="{D934D2EB-8251-4DC8-AF70-E074D29D41A5}" name="Column16064"/>
    <tableColumn id="16092" xr3:uid="{13F3D76C-6BD5-43AD-B90D-2DB53EF8A513}" name="Column16065"/>
    <tableColumn id="16093" xr3:uid="{57B46EC4-B5D6-45BB-8EF6-376AFE2635B3}" name="Column16066"/>
    <tableColumn id="16094" xr3:uid="{74D46CC5-8CF6-4BBF-9FCA-5C0AD412691D}" name="Column16067"/>
    <tableColumn id="16095" xr3:uid="{64F88685-F9E3-4433-A9E7-4AC923AE75D9}" name="Column16068"/>
    <tableColumn id="16096" xr3:uid="{7F82B088-2900-4FEB-B864-D1EC21DF0597}" name="Column16069"/>
    <tableColumn id="16097" xr3:uid="{FA550D31-08E8-49EB-977A-C9DC3D56D98D}" name="Column16070"/>
    <tableColumn id="16098" xr3:uid="{9E91060C-FDEA-4E8C-9682-E9CB0638F89F}" name="Column16071"/>
    <tableColumn id="16099" xr3:uid="{226F15F3-0606-44E2-8265-784BC1CACE28}" name="Column16072"/>
    <tableColumn id="16100" xr3:uid="{5E03FF10-C9F3-4DC2-A605-266C24612FC3}" name="Column16073"/>
    <tableColumn id="16101" xr3:uid="{A17301C5-1632-472F-84B8-583368478386}" name="Column16074"/>
    <tableColumn id="16102" xr3:uid="{1B0972E1-2E54-4F3A-800B-495A963AA065}" name="Column16075"/>
    <tableColumn id="16103" xr3:uid="{F75B1908-2694-4C24-B2D9-A6FC9B329E07}" name="Column16076"/>
    <tableColumn id="16104" xr3:uid="{8C6A9A2E-0231-4AA1-BB20-90733C4F02C0}" name="Column16077"/>
    <tableColumn id="16105" xr3:uid="{2C8490FB-14FA-4B6B-A645-607C1DEEF911}" name="Column16078"/>
    <tableColumn id="16106" xr3:uid="{4515B989-E0B3-40BB-A3AE-522AC03C0924}" name="Column16079"/>
    <tableColumn id="16107" xr3:uid="{EE3C80BA-22AD-4847-AF27-4EF1BFBA6C61}" name="Column16080"/>
    <tableColumn id="16108" xr3:uid="{D191FFEE-81DF-408E-AEB2-867CCA6C3E5E}" name="Column16081"/>
    <tableColumn id="16109" xr3:uid="{276148E7-7546-47F0-B996-C849F192BE2E}" name="Column16082"/>
    <tableColumn id="16110" xr3:uid="{140DA47A-206A-4860-8112-ABDBA152612A}" name="Column16083"/>
    <tableColumn id="16111" xr3:uid="{439F9BFE-9974-4AEB-9530-F8842701B7F5}" name="Column16084"/>
    <tableColumn id="16112" xr3:uid="{6EAAEBCC-B99E-4AB2-BA03-3270B2EBC1C5}" name="Column16085"/>
    <tableColumn id="16113" xr3:uid="{026C0649-1068-47EF-AAF7-FA31FCCE88E2}" name="Column16086"/>
    <tableColumn id="16114" xr3:uid="{7E31A582-5CC4-42B5-A12B-C8FF96F7C788}" name="Column16087"/>
    <tableColumn id="16115" xr3:uid="{B0EE7675-098E-4B2C-BE97-3AD006070F5F}" name="Column16088"/>
    <tableColumn id="16116" xr3:uid="{8A940308-E5B7-4246-A054-F3C421F94B57}" name="Column16089"/>
    <tableColumn id="16117" xr3:uid="{55CC7896-2B63-4FE0-949F-93D7AD93E1D1}" name="Column16090"/>
    <tableColumn id="16118" xr3:uid="{268F9D8C-ED84-4E3F-AFBE-6129839DD26C}" name="Column16091"/>
    <tableColumn id="16119" xr3:uid="{D5316B3C-4354-48A5-AAED-4A0CFBA7FCFE}" name="Column16092"/>
    <tableColumn id="16120" xr3:uid="{8F625675-F0D7-4A79-A422-DED219F61AA8}" name="Column16093"/>
    <tableColumn id="16121" xr3:uid="{73FEE895-3AD8-486B-8E86-CC436EE91A8C}" name="Column16094"/>
    <tableColumn id="16122" xr3:uid="{34E28A48-9852-476F-A858-56B70A4EB986}" name="Column16095"/>
    <tableColumn id="16123" xr3:uid="{B6A768B8-21C1-43A3-BF67-711EA8A07EBD}" name="Column16096"/>
    <tableColumn id="16124" xr3:uid="{7C4660D0-89D8-4984-9478-B1EB5ECD5C3F}" name="Column16097"/>
    <tableColumn id="16125" xr3:uid="{4DAB7228-1B28-4618-AFE1-1D0BCBCCBDBF}" name="Column16098"/>
    <tableColumn id="16126" xr3:uid="{7E241F4F-47E5-4BEB-B776-DD98FADB8B1D}" name="Column16099"/>
    <tableColumn id="16127" xr3:uid="{EF468379-D0A8-4C0D-8691-C63B72990CDA}" name="Column16100"/>
    <tableColumn id="16128" xr3:uid="{599681F2-0609-4243-893C-C9C0B891E253}" name="Column16101"/>
    <tableColumn id="16129" xr3:uid="{60EA9938-A201-4B29-B338-9C9F3158656C}" name="Column16102"/>
    <tableColumn id="16130" xr3:uid="{5897A8E3-530D-4166-A5E1-BAA9B735C3B1}" name="Column16103"/>
    <tableColumn id="16131" xr3:uid="{F4E6E12F-CE2F-4814-80ED-937673A6E1FC}" name="Column16104"/>
    <tableColumn id="16132" xr3:uid="{A78EDC72-DA3D-4405-B135-F89812F35BEC}" name="Column16105"/>
    <tableColumn id="16133" xr3:uid="{49396BDB-9DA1-4053-93FF-7284483B0AC6}" name="Column16106"/>
    <tableColumn id="16134" xr3:uid="{B0430508-5D4D-4E11-A131-A65CA27A1E11}" name="Column16107"/>
    <tableColumn id="16135" xr3:uid="{319B7FE7-9C65-46CE-89AE-A334E0F534D4}" name="Column16108"/>
    <tableColumn id="16136" xr3:uid="{FA884D3F-AD61-413D-A641-DA066E152BEE}" name="Column16109"/>
    <tableColumn id="16137" xr3:uid="{8B5A6F2F-D33B-4807-B513-D6CF76D2FB3E}" name="Column16110"/>
    <tableColumn id="16138" xr3:uid="{BF88DA15-7573-4AE7-9453-31387D1A4FBE}" name="Column16111"/>
    <tableColumn id="16139" xr3:uid="{35FD2CB4-4025-47A8-A5E2-3F7C1F22BB09}" name="Column16112"/>
    <tableColumn id="16140" xr3:uid="{546B190C-5ADF-4059-85A7-25DEE037F4EC}" name="Column16113"/>
    <tableColumn id="16141" xr3:uid="{691A364F-3763-43E4-9A3A-2E7106469204}" name="Column16114"/>
    <tableColumn id="16142" xr3:uid="{5DB54C5A-436E-4E69-8A44-0B4CF6C07BDF}" name="Column16115"/>
    <tableColumn id="16143" xr3:uid="{95E0B1E3-64AF-44CE-B461-A011E172924B}" name="Column16116"/>
    <tableColumn id="16144" xr3:uid="{C2EE83CD-CA2E-486E-9466-CEC9324C376C}" name="Column16117"/>
    <tableColumn id="16145" xr3:uid="{944C0FAF-7A9D-4FF4-94B3-B60A36640779}" name="Column16118"/>
    <tableColumn id="16146" xr3:uid="{B076E0E6-A4B5-423E-AF6D-0136B00BA300}" name="Column16119"/>
    <tableColumn id="16147" xr3:uid="{A1F63761-EFFA-4CA3-B604-A9545698CFC0}" name="Column16120"/>
    <tableColumn id="16148" xr3:uid="{77EB35D3-CB6B-4023-B9A7-3104EC160E2E}" name="Column16121"/>
    <tableColumn id="16149" xr3:uid="{56E10700-174B-4439-A29B-ADF3F00D5CCF}" name="Column16122"/>
    <tableColumn id="16150" xr3:uid="{6C21AECB-B832-4C92-B3F8-28F376F457A7}" name="Column16123"/>
    <tableColumn id="16151" xr3:uid="{D84A4082-3443-40BA-AA29-52CA8C91009E}" name="Column16124"/>
    <tableColumn id="16152" xr3:uid="{EB978FFA-BA35-4D40-9798-B293ED505B18}" name="Column16125"/>
    <tableColumn id="16153" xr3:uid="{B3EB31DA-D27E-4171-8AE2-E98C1B493DB4}" name="Column16126"/>
    <tableColumn id="16154" xr3:uid="{24B7527F-1C8F-4473-AE2B-F6C56CC54C2A}" name="Column16127"/>
    <tableColumn id="16155" xr3:uid="{40422593-4DD4-4E23-B182-1FCAC381F578}" name="Column16128"/>
    <tableColumn id="16156" xr3:uid="{49F24296-4FA3-46FE-A4B0-8608AEC21D0D}" name="Column16129"/>
    <tableColumn id="16157" xr3:uid="{0C4E1161-0CC2-48A5-B947-2007D6D49CDA}" name="Column16130"/>
    <tableColumn id="16158" xr3:uid="{0FD96875-BAB2-45BD-A5E8-CB3F0D6C5BD4}" name="Column16131"/>
    <tableColumn id="16159" xr3:uid="{441167F2-00E7-40B0-8E44-BA88AFEEA867}" name="Column16132"/>
    <tableColumn id="16160" xr3:uid="{D1542297-3B90-440C-BCAC-DD6F1CB04BA5}" name="Column16133"/>
    <tableColumn id="16161" xr3:uid="{21C190EC-E564-4234-9513-313D3D4D7105}" name="Column16134"/>
    <tableColumn id="16162" xr3:uid="{4C0146A3-6331-4F5E-A0FC-B969C6F6F442}" name="Column16135"/>
    <tableColumn id="16163" xr3:uid="{02E304A0-09CD-474B-ABFC-30494A218F43}" name="Column16136"/>
    <tableColumn id="16164" xr3:uid="{222623B5-AC6C-48D4-BE24-EC1C17BD9BBD}" name="Column16137"/>
    <tableColumn id="16165" xr3:uid="{4839F69F-B6E9-41C8-9DD2-68EFBFFEDB10}" name="Column16138"/>
    <tableColumn id="16166" xr3:uid="{7FA8DF0F-ED17-49AD-8DEB-895BBFDE68A2}" name="Column16139"/>
    <tableColumn id="16167" xr3:uid="{E7F3BE00-3815-42A7-B24D-B094D433544C}" name="Column16140"/>
    <tableColumn id="16168" xr3:uid="{144F3B4F-BE52-4303-8472-AA8BC8297EA3}" name="Column16141"/>
    <tableColumn id="16169" xr3:uid="{894AE33E-B470-4840-BF65-0903DC0C8AF1}" name="Column16142"/>
    <tableColumn id="16170" xr3:uid="{53DC9C3B-43BC-4AAB-9C0C-B0126C964339}" name="Column16143"/>
    <tableColumn id="16171" xr3:uid="{3011216A-6CB0-4D0A-A29B-A8116AF1A8DE}" name="Column16144"/>
    <tableColumn id="16172" xr3:uid="{8BB206DD-64AF-4A3F-8070-121D0FC3662A}" name="Column16145"/>
    <tableColumn id="16173" xr3:uid="{7B7DC12C-C618-49D6-9E56-9F5DD8E1C19F}" name="Column16146"/>
    <tableColumn id="16174" xr3:uid="{65947253-47FC-488B-A033-90BE146BC743}" name="Column16147"/>
    <tableColumn id="16175" xr3:uid="{F45FABBF-97C8-47E8-9689-4BEBDE6C8FFB}" name="Column16148"/>
    <tableColumn id="16176" xr3:uid="{CB25BC7F-EECB-47B6-99E2-B0F26CBB5EC7}" name="Column16149"/>
    <tableColumn id="16177" xr3:uid="{37DCD052-1D3A-45A9-A06E-8273C1147EE6}" name="Column16150"/>
    <tableColumn id="16178" xr3:uid="{7E8FA86D-B7C2-4FD1-8DC9-69AB46B1DB00}" name="Column16151"/>
    <tableColumn id="16179" xr3:uid="{C1062661-7A3D-4123-A5EF-D5D72FEACE58}" name="Column16152"/>
    <tableColumn id="16180" xr3:uid="{8804D8CA-4287-4802-8F4B-8CE363F489C4}" name="Column16153"/>
    <tableColumn id="16181" xr3:uid="{4058C456-B913-426C-9735-63A3D81A0258}" name="Column16154"/>
    <tableColumn id="16182" xr3:uid="{B991EA06-B694-4A20-BFDC-A82D76638ECF}" name="Column16155"/>
    <tableColumn id="16183" xr3:uid="{B99CE7C0-230E-48BE-85CD-C555C6275F20}" name="Column16156"/>
    <tableColumn id="16184" xr3:uid="{E0B27777-A53C-4E8F-9F32-5AEDB6EE5A6F}" name="Column16157"/>
    <tableColumn id="16185" xr3:uid="{C2A87DC9-7376-4898-A6E1-54A61DA39154}" name="Column16158"/>
    <tableColumn id="16186" xr3:uid="{DE91C623-3F2A-4C45-8293-396C8A2C660A}" name="Column16159"/>
    <tableColumn id="16187" xr3:uid="{8960248D-66B8-4373-B7F0-0624F35003B8}" name="Column16160"/>
    <tableColumn id="16188" xr3:uid="{B801C544-6643-43F9-B673-1B86769B5A49}" name="Column16161"/>
    <tableColumn id="16189" xr3:uid="{B30ED363-8B17-4164-BB53-DA1EE80C145A}" name="Column16162"/>
    <tableColumn id="16190" xr3:uid="{1938618F-A1BD-4F68-98AF-3056B7D650E5}" name="Column16163"/>
    <tableColumn id="16191" xr3:uid="{F0B07274-4148-487F-A387-75B67F5B68A9}" name="Column16164"/>
    <tableColumn id="16192" xr3:uid="{8F047D4A-B15F-431D-B932-95341F862908}" name="Column16165"/>
    <tableColumn id="16193" xr3:uid="{7E043CC9-9A45-4C9A-9F78-9DF59584FDC5}" name="Column16166"/>
    <tableColumn id="16194" xr3:uid="{6F5510E1-DA6E-48AC-953A-7E611E2ABCB3}" name="Column16167"/>
    <tableColumn id="16195" xr3:uid="{A4BE4F38-9ECC-41C8-A821-CF8AB4BA34C0}" name="Column16168"/>
    <tableColumn id="16196" xr3:uid="{19A217F5-3A46-407B-959E-D784EDFC476A}" name="Column16169"/>
    <tableColumn id="16197" xr3:uid="{479953E4-8968-4DAA-AB03-1E85601F8E3D}" name="Column16170"/>
    <tableColumn id="16198" xr3:uid="{36482CF5-1B6D-412B-8F93-86B22422A750}" name="Column16171"/>
    <tableColumn id="16199" xr3:uid="{2F3F0151-E693-414A-803B-C6CC46B6C3C8}" name="Column16172"/>
    <tableColumn id="16200" xr3:uid="{DD0A8160-1325-4154-85F0-0A2DCEC7CB44}" name="Column16173"/>
    <tableColumn id="16201" xr3:uid="{68EBE661-D2A8-4F44-A8FF-19F6BB16AB1D}" name="Column16174"/>
    <tableColumn id="16202" xr3:uid="{3EF927CB-FDBA-4E25-BA77-EA15734B60C7}" name="Column16175"/>
    <tableColumn id="16203" xr3:uid="{BE3B2A05-ED0D-4FD2-B1FB-E18A7885C10C}" name="Column16176"/>
    <tableColumn id="16204" xr3:uid="{E8913F5B-3843-4375-A06F-7674CD5C1196}" name="Column16177"/>
    <tableColumn id="16205" xr3:uid="{BF87F154-00CB-4D6C-901B-2A74748DFBC5}" name="Column16178"/>
    <tableColumn id="16206" xr3:uid="{B2CF8E71-99CF-437C-8DA8-AF6A40F0944A}" name="Column16179"/>
    <tableColumn id="16207" xr3:uid="{6796B66D-A6FF-4B11-A91F-9F5F6DAACDAA}" name="Column16180"/>
    <tableColumn id="16208" xr3:uid="{D75013FF-EB82-461E-B85E-77E4B957C161}" name="Column16181"/>
    <tableColumn id="16209" xr3:uid="{B86E0C43-016C-485A-9B3B-801031EB3728}" name="Column16182"/>
    <tableColumn id="16210" xr3:uid="{6B44D091-6611-4553-8A82-D5CB552A3F80}" name="Column16183"/>
    <tableColumn id="16211" xr3:uid="{90CD6089-533E-43CD-8D9D-059F12A2FB49}" name="Column16184"/>
    <tableColumn id="16212" xr3:uid="{56F8F1BA-66D0-4F67-BEC1-AE495C45D448}" name="Column16185"/>
    <tableColumn id="16213" xr3:uid="{895EF53D-9218-41BD-81FE-5EC6D93F4101}" name="Column16186"/>
    <tableColumn id="16214" xr3:uid="{EB1AC16E-9140-48DC-B62C-2C32BA0F7676}" name="Column16187"/>
    <tableColumn id="16215" xr3:uid="{7FBB9348-F191-429D-9E16-3B524CC00688}" name="Column16188"/>
    <tableColumn id="16216" xr3:uid="{33417A60-4ECB-4BF9-A256-9F1E34B9F979}" name="Column16189"/>
    <tableColumn id="16217" xr3:uid="{AB55FFFB-994A-46B6-B678-E39D0B114D29}" name="Column16190"/>
    <tableColumn id="16218" xr3:uid="{D5128A11-7A91-4284-B4A2-D13C57E0ED48}" name="Column16191"/>
    <tableColumn id="16219" xr3:uid="{40424306-A459-4B46-97F3-F99A97C21F85}" name="Column16192"/>
    <tableColumn id="16220" xr3:uid="{6DBA9D28-9ADF-473F-9DDD-308809390D5E}" name="Column16193"/>
    <tableColumn id="16221" xr3:uid="{36E4E343-0DA4-4EBB-8A9F-6A731709C6EC}" name="Column16194"/>
    <tableColumn id="16222" xr3:uid="{D4753341-0666-4830-917D-B47EB7840CD4}" name="Column16195"/>
    <tableColumn id="16223" xr3:uid="{5BCF9F05-C5E0-4591-8968-F2692CC5CC68}" name="Column16196"/>
    <tableColumn id="16224" xr3:uid="{DFC0F35A-A207-424B-A05B-FC7A1AEF0BFE}" name="Column16197"/>
    <tableColumn id="16225" xr3:uid="{CAE8B485-E843-454B-903A-D5AB86A8B98A}" name="Column16198"/>
    <tableColumn id="16226" xr3:uid="{F796557A-0ED0-4E90-830D-D4C2C6986BE1}" name="Column16199"/>
    <tableColumn id="16227" xr3:uid="{5660B1BC-73B2-4208-B2DE-12D15528C68A}" name="Column16200"/>
    <tableColumn id="16228" xr3:uid="{136D7F24-717A-449C-8C65-3DDBEA949DF7}" name="Column16201"/>
    <tableColumn id="16229" xr3:uid="{9989FC40-D6FD-469F-8648-16F09224698C}" name="Column16202"/>
    <tableColumn id="16230" xr3:uid="{77A94E0A-E0DC-44DB-B8D3-F72A608E451C}" name="Column16203"/>
    <tableColumn id="16231" xr3:uid="{3CB5D1F9-7E12-4578-9326-8950F819AC17}" name="Column16204"/>
    <tableColumn id="16232" xr3:uid="{92EB6BA9-2EE7-496F-B145-FF4CD86B31BC}" name="Column16205"/>
    <tableColumn id="16233" xr3:uid="{B9A6DE3B-55A2-4725-830A-4B660F23F1B8}" name="Column16206"/>
    <tableColumn id="16234" xr3:uid="{5D4C28E3-5ED6-4F4A-A081-77A1B8715254}" name="Column16207"/>
    <tableColumn id="16235" xr3:uid="{3E4FAAC4-A3A6-4F35-8067-5AAC9EEDD450}" name="Column16208"/>
    <tableColumn id="16236" xr3:uid="{9F5CEB2D-22ED-4169-B3A7-8D32E55D2514}" name="Column16209"/>
    <tableColumn id="16237" xr3:uid="{81E9545F-576E-476C-8A4E-33726D57F86B}" name="Column16210"/>
    <tableColumn id="16238" xr3:uid="{AC172AE3-6F88-4C3C-9385-A4B88C2A01C0}" name="Column16211"/>
    <tableColumn id="16239" xr3:uid="{B5A9C5D4-C058-4825-BBC4-3F27621E0D1C}" name="Column16212"/>
    <tableColumn id="16240" xr3:uid="{45CD8841-8C07-429B-8D24-48DED756A306}" name="Column16213"/>
    <tableColumn id="16241" xr3:uid="{26D08583-D7FF-4056-A0C7-F5D986557ED6}" name="Column16214"/>
    <tableColumn id="16242" xr3:uid="{4831946C-0047-4ABA-B0E7-E845C5BF453D}" name="Column16215"/>
    <tableColumn id="16243" xr3:uid="{0F64CD70-B475-437D-84D4-D0F2E2966247}" name="Column16216"/>
    <tableColumn id="16244" xr3:uid="{363E0555-C07A-4A94-A747-9EFF09AD54F9}" name="Column16217"/>
    <tableColumn id="16245" xr3:uid="{5E2A4D06-D879-43BD-A030-CDCFAD59F292}" name="Column16218"/>
    <tableColumn id="16246" xr3:uid="{9D40F76D-A224-411B-AD1F-AB16DA018C58}" name="Column16219"/>
    <tableColumn id="16247" xr3:uid="{F719881D-FB46-4B48-917C-EE4246CD3CB5}" name="Column16220"/>
    <tableColumn id="16248" xr3:uid="{A89CE434-8FE5-4781-B96B-15D7E6122030}" name="Column16221"/>
    <tableColumn id="16249" xr3:uid="{D56CDAD9-54E2-46AA-BB2A-297726B60C20}" name="Column16222"/>
    <tableColumn id="16250" xr3:uid="{47DC1DFF-C389-46FE-B954-E89B14566DEC}" name="Column16223"/>
    <tableColumn id="16251" xr3:uid="{8AA9FF06-F1AB-4F32-8296-080C2A93BDD3}" name="Column16224"/>
    <tableColumn id="16252" xr3:uid="{CDB477F3-67EF-46C3-B9CA-0AEDF5D0B344}" name="Column16225"/>
    <tableColumn id="16253" xr3:uid="{5DB619E5-BBDE-474F-B87F-C97109B0D3EA}" name="Column16226"/>
    <tableColumn id="16254" xr3:uid="{0F00A4D5-8C37-4ADD-A9C6-402047ED8C74}" name="Column16227"/>
    <tableColumn id="16255" xr3:uid="{B813C46F-30CD-4929-8A90-E6EBAE092120}" name="Column16228"/>
    <tableColumn id="16256" xr3:uid="{FB61DDF2-ADA4-418F-9940-581EA9D9816B}" name="Column16229"/>
    <tableColumn id="16257" xr3:uid="{B2AF2D30-C00D-4435-96BC-FD54F06488D0}" name="Column16230"/>
    <tableColumn id="16258" xr3:uid="{8C3AAC93-5B38-4721-A2A8-60C85F384FB4}" name="Column16231"/>
    <tableColumn id="16259" xr3:uid="{BFA0D86E-9B24-496B-9D43-96C7A9399EB5}" name="Column16232"/>
    <tableColumn id="16260" xr3:uid="{46754386-5CE6-437E-9152-DE198C3439C1}" name="Column16233"/>
    <tableColumn id="16261" xr3:uid="{D27D4211-1672-45CB-ABAF-1B231A0888C9}" name="Column16234"/>
    <tableColumn id="16262" xr3:uid="{E2D65D7A-9D2B-4F5A-9DC9-44E91F56BD42}" name="Column16235"/>
    <tableColumn id="16263" xr3:uid="{43FB948A-199A-4820-A436-8AE8F1E5EC8F}" name="Column16236"/>
    <tableColumn id="16264" xr3:uid="{0485A662-20F3-48A5-9559-51B7E43AED11}" name="Column16237"/>
    <tableColumn id="16265" xr3:uid="{9E2618F2-156B-4977-A152-653470CB74DB}" name="Column16238"/>
    <tableColumn id="16266" xr3:uid="{114BFE75-1700-4DD7-AC48-F53230B169DA}" name="Column16239"/>
    <tableColumn id="16267" xr3:uid="{6228CAC0-642E-428D-8779-EA0F9BDFC09D}" name="Column16240"/>
    <tableColumn id="16268" xr3:uid="{AC0C460D-F735-45E5-A667-1E2FB021BE71}" name="Column16241"/>
    <tableColumn id="16269" xr3:uid="{C01797C5-072D-49E5-A30B-6E02D160348A}" name="Column16242"/>
    <tableColumn id="16270" xr3:uid="{FDBA851E-45E5-48FE-B84F-AD1CADF61655}" name="Column16243"/>
    <tableColumn id="16271" xr3:uid="{C955656C-20B9-4459-8459-06D950225EF2}" name="Column16244"/>
    <tableColumn id="16272" xr3:uid="{9CFDA34F-F94B-44F4-9F75-3410F88B2A4F}" name="Column16245"/>
    <tableColumn id="16273" xr3:uid="{37C979CF-5E7D-4388-BECD-28DD80510601}" name="Column16246"/>
    <tableColumn id="16274" xr3:uid="{6E7A7CC2-7260-4355-BFBA-2E0C57C99A7A}" name="Column16247"/>
    <tableColumn id="16275" xr3:uid="{21EBBBF4-1BEF-41D0-B9C1-836A7C664BF4}" name="Column16248"/>
    <tableColumn id="16276" xr3:uid="{991E3748-56AD-4BDE-811F-0EABA14E1806}" name="Column16249"/>
    <tableColumn id="16277" xr3:uid="{857F81D6-E1E0-45FE-8571-814A6257A21D}" name="Column16250"/>
    <tableColumn id="16278" xr3:uid="{549D75C5-B7FB-41BD-A949-6B73B4A7ABE5}" name="Column16251"/>
    <tableColumn id="16279" xr3:uid="{42E122DD-7669-435A-A428-3C9791E82F42}" name="Column16252"/>
    <tableColumn id="16280" xr3:uid="{2B548D4E-5EAE-4BF8-97FE-719E2163DBB8}" name="Column16253"/>
    <tableColumn id="16281" xr3:uid="{54FEEFEB-FDEA-4FCC-B308-CBECCC67A738}" name="Column16254"/>
    <tableColumn id="16282" xr3:uid="{1C991D3B-DA72-4B25-8A46-8F7A206F568B}" name="Column16255"/>
    <tableColumn id="16283" xr3:uid="{E944BA7E-9D1A-44F6-A289-E98189123CB8}" name="Column16256"/>
    <tableColumn id="16284" xr3:uid="{AD209C19-144E-4EBE-AA32-C4CC015B8016}" name="Column16257"/>
    <tableColumn id="16285" xr3:uid="{1BAD30DE-3011-4E4D-94D5-900BF2CEECB2}" name="Column16258"/>
    <tableColumn id="16286" xr3:uid="{64035D84-229C-428A-A80F-4092A343A520}" name="Column16259"/>
    <tableColumn id="16287" xr3:uid="{C066BBD6-E798-4B2E-AA59-FD5F82081751}" name="Column16260"/>
    <tableColumn id="16288" xr3:uid="{C7123634-BD74-4893-9EF7-B34D44C9BC17}" name="Column16261"/>
    <tableColumn id="16289" xr3:uid="{24C5E52E-EF73-462D-A654-5980C87362D6}" name="Column16262"/>
    <tableColumn id="16290" xr3:uid="{7C6A1162-66AC-4BBF-85B9-D734684C79CB}" name="Column16263"/>
    <tableColumn id="16291" xr3:uid="{0A9644A9-78E4-4915-85B8-010D8999325E}" name="Column16264"/>
    <tableColumn id="16292" xr3:uid="{40ED691F-FB19-49A8-AB57-7FAB592CC69E}" name="Column16265"/>
    <tableColumn id="16293" xr3:uid="{9E230879-AA3D-4BBD-A3E1-248C9FD65C77}" name="Column16266"/>
    <tableColumn id="16294" xr3:uid="{799CAE1D-22AD-4258-B34B-89513A476F5F}" name="Column16267"/>
    <tableColumn id="16295" xr3:uid="{3E71CD69-486D-41C8-9337-E18A77F5B6DE}" name="Column16268"/>
    <tableColumn id="16296" xr3:uid="{C30497B7-5C56-4734-B526-7FC3CAE0442A}" name="Column16269"/>
    <tableColumn id="16297" xr3:uid="{ABF9E884-72CF-4F8D-A3BC-2FD571C53143}" name="Column16270"/>
    <tableColumn id="16298" xr3:uid="{121B8A6E-A747-40FB-8F57-009017114432}" name="Column16271"/>
    <tableColumn id="16299" xr3:uid="{01CEC96E-8426-4B89-B46A-DCC581AEC01E}" name="Column16272"/>
    <tableColumn id="16300" xr3:uid="{D2CFC260-6557-4E9B-B414-0623DFD0D701}" name="Column16273"/>
    <tableColumn id="16301" xr3:uid="{E1BF0B39-BBD8-4581-B697-04691CD4AE04}" name="Column16274"/>
    <tableColumn id="16302" xr3:uid="{E3D4698D-3D2D-4A91-B229-8A9F1166AFCD}" name="Column16275"/>
    <tableColumn id="16303" xr3:uid="{A259C785-67FA-4706-A68A-47A1A7B8F55B}" name="Column16276"/>
    <tableColumn id="16304" xr3:uid="{BCBB1C49-0596-406D-BBF9-9C5D4F568D0B}" name="Column16277"/>
    <tableColumn id="16305" xr3:uid="{8FEA2291-CBC5-44B2-B126-70FF7502880F}" name="Column16278"/>
    <tableColumn id="16306" xr3:uid="{936BA89B-ABD3-4AB3-A7E1-09B6CCC24EAF}" name="Column16279"/>
    <tableColumn id="16307" xr3:uid="{071385CB-11DD-44D0-AA26-D64C653DA0E4}" name="Column16280"/>
    <tableColumn id="16308" xr3:uid="{ACE87393-9DD5-44BC-9C7B-3286A8C61B2E}" name="Column16281"/>
    <tableColumn id="16309" xr3:uid="{FD2CFF55-F55F-4402-BD20-712FF9C1E7BB}" name="Column16282"/>
    <tableColumn id="16310" xr3:uid="{C0E4B09A-DF4E-432D-BA47-7186651B4443}" name="Column16283"/>
    <tableColumn id="16311" xr3:uid="{24703D27-275E-4A50-859A-EF16FAA102BD}" name="Column16284"/>
    <tableColumn id="16312" xr3:uid="{71B778BA-13AB-458A-BE53-DA0AE87193D5}" name="Column16285"/>
    <tableColumn id="16313" xr3:uid="{5D3BC2D6-6DA9-42AD-9AFC-259C19C47E91}" name="Column16286"/>
    <tableColumn id="16314" xr3:uid="{143E7FFD-AB0D-4DA4-A0F2-24EAC0E7B9CF}" name="Column16287"/>
    <tableColumn id="16315" xr3:uid="{87F97C63-07A1-4F28-902B-A780695A1436}" name="Column16288"/>
    <tableColumn id="16316" xr3:uid="{4CC31DF7-09BD-4FA5-B840-7034AA1663A3}" name="Column16289"/>
    <tableColumn id="16317" xr3:uid="{658A6A0D-ADC4-4F7A-9568-FC6C2AD243A3}" name="Column16290"/>
    <tableColumn id="16318" xr3:uid="{29196EEA-EB69-408C-BA74-8677F1400581}" name="Column16291"/>
    <tableColumn id="16319" xr3:uid="{AE506B6F-2AA8-4BAD-8301-559749CD7DB1}" name="Column16292"/>
    <tableColumn id="16320" xr3:uid="{1AC424A0-DA3C-48BD-9B6B-36F92084267C}" name="Column16293"/>
    <tableColumn id="16321" xr3:uid="{8F1F036E-1239-4EAD-8F39-A951F749EA27}" name="Column16294"/>
    <tableColumn id="16322" xr3:uid="{5E5F4E99-4287-4203-8E1D-A5DDDEF81406}" name="Column16295"/>
    <tableColumn id="16323" xr3:uid="{DE9C40A6-BA07-4771-B1FA-4A2F293EDA73}" name="Column16296"/>
    <tableColumn id="16324" xr3:uid="{F36B259B-DB70-4D92-9C4E-A73A0C16A2CF}" name="Column16297"/>
    <tableColumn id="16325" xr3:uid="{87587699-FC36-4261-AA35-3AA99773BD80}" name="Column16298"/>
    <tableColumn id="16326" xr3:uid="{F90A1F83-D65E-4010-ACCD-BA07CC77B356}" name="Column16299"/>
    <tableColumn id="16327" xr3:uid="{78CF75B2-9E97-4929-8413-2D47C5190C29}" name="Column16300"/>
    <tableColumn id="16328" xr3:uid="{346E90BE-1A07-4CB5-9DA8-258F60941203}" name="Column16301"/>
    <tableColumn id="16329" xr3:uid="{BEA34EDE-04CE-4CEB-819C-66B93CAEA17D}" name="Column16302"/>
    <tableColumn id="16330" xr3:uid="{6E745636-AC16-44BC-801A-43072484528C}" name="Column16303"/>
    <tableColumn id="16331" xr3:uid="{A6F71DE1-1ABC-4670-8235-00A3487A886B}" name="Column16304"/>
    <tableColumn id="16332" xr3:uid="{7DEA4705-2FFC-4CFC-8D9A-D91B2AD32DBB}" name="Column16305"/>
    <tableColumn id="16333" xr3:uid="{36FC2ECC-4477-43F1-8BDE-57A47DDE26EA}" name="Column16306"/>
    <tableColumn id="16334" xr3:uid="{10925276-7AD8-4C72-A5EE-6AAC083A8212}" name="Column16307"/>
    <tableColumn id="16335" xr3:uid="{E771FF4A-A7A6-432D-B36E-A46F33D3E20A}" name="Column16308"/>
    <tableColumn id="16336" xr3:uid="{B647DBA5-2953-41A7-9073-4CDCB6DFC1EF}" name="Column16309"/>
    <tableColumn id="16337" xr3:uid="{7AD0E9AB-59DE-41A5-B5E4-3DF4F3E1EF38}" name="Column16310"/>
    <tableColumn id="16338" xr3:uid="{84519E86-CC6B-471E-B41A-6A8AB182CBAB}" name="Column16311"/>
    <tableColumn id="16339" xr3:uid="{0951DAE1-A975-4E35-88F6-9FAF55946BE9}" name="Column16312"/>
    <tableColumn id="16340" xr3:uid="{CEBEB55D-2991-481A-947F-F006070844E1}" name="Column16313"/>
    <tableColumn id="16341" xr3:uid="{82F29074-6D15-4399-B348-6842DABE7C4F}" name="Column16314"/>
    <tableColumn id="16342" xr3:uid="{F17CB94F-00DD-4480-BABC-53A8FA1D318C}" name="Column16315"/>
    <tableColumn id="16343" xr3:uid="{EB08F71B-4809-473A-A06D-AB7DDE1D5A02}" name="Column16316"/>
    <tableColumn id="16344" xr3:uid="{9FB80A36-BEC5-402C-9145-58688E674CA2}" name="Column16317"/>
    <tableColumn id="16345" xr3:uid="{6991914B-3555-4C4B-B502-A0EBEC4CE752}" name="Column16318"/>
    <tableColumn id="16346" xr3:uid="{86065083-E5C3-4D8D-9377-19FD09A98010}" name="Column16319"/>
    <tableColumn id="16347" xr3:uid="{B998224C-7C1F-49E3-ABDA-12C756C387DE}" name="Column16320"/>
    <tableColumn id="16348" xr3:uid="{74A37874-D0A9-4A51-9DDB-51B952F796C2}" name="Column16321"/>
    <tableColumn id="16349" xr3:uid="{D0AE4665-246C-45DB-965F-FD7CD3E139C0}" name="Column16322"/>
    <tableColumn id="16350" xr3:uid="{20F12A21-485D-47A3-BE57-33ACD8219AAB}" name="Column16323"/>
    <tableColumn id="16351" xr3:uid="{319D5267-2293-4397-BED3-CFFBD0325932}" name="Column16324"/>
    <tableColumn id="16352" xr3:uid="{01D4659B-6F92-4771-AAA9-F4A3EB977E5C}" name="Column16325"/>
    <tableColumn id="16353" xr3:uid="{A699BC9D-83D8-47C1-BFA4-89F3A2DC6E7F}" name="Column16326"/>
    <tableColumn id="16354" xr3:uid="{D68F1648-CD18-4412-857B-A7E2107CFDB0}" name="Column16327"/>
    <tableColumn id="16355" xr3:uid="{A7DFCB58-AFDA-43AB-A405-F86C2D804AF5}" name="Column16328"/>
    <tableColumn id="16356" xr3:uid="{A6CAE97A-7DB3-4279-A6ED-17D228975F0E}" name="Column16329"/>
    <tableColumn id="16357" xr3:uid="{BF6C85DD-38B3-4C41-BD82-F6B8FE9660C0}" name="Column16330"/>
    <tableColumn id="16358" xr3:uid="{AD324B06-AD1F-4514-B7DE-ACCA5227B4C9}" name="Column16331"/>
    <tableColumn id="16359" xr3:uid="{49093E7E-988B-43DA-B297-B92A8121211D}" name="Column16332"/>
    <tableColumn id="16360" xr3:uid="{3627E8B0-40C1-4F20-A955-2F63A703981D}" name="Column16333"/>
    <tableColumn id="16361" xr3:uid="{0FD55409-C10E-4B82-88BB-3EBFE7D11CA7}" name="Column16334"/>
    <tableColumn id="16362" xr3:uid="{727AEDC6-00BA-4762-B5F5-523D627A5B88}" name="Column16335"/>
    <tableColumn id="16363" xr3:uid="{8B02F992-3D1D-46B6-843D-9C33E89B6BB8}" name="Column16336"/>
    <tableColumn id="16364" xr3:uid="{63CDB6B2-7891-4BB5-AC2F-9CAE0F035E2D}" name="Column16337"/>
    <tableColumn id="16365" xr3:uid="{DCE3FAB5-94D5-4FFC-B092-37C9B3B6A902}" name="Column16338"/>
    <tableColumn id="16366" xr3:uid="{E39A2154-CDA5-4707-B937-AF1559F3ABE5}" name="Column16339"/>
    <tableColumn id="16367" xr3:uid="{8FD98E51-2473-4B9C-A316-31CDA1C2B54E}" name="Column16340"/>
    <tableColumn id="16368" xr3:uid="{508A5C5F-8FAF-4610-A16E-DD98D96F96D7}" name="Column16341"/>
    <tableColumn id="16369" xr3:uid="{BE8FE56C-1634-453D-B228-D95FF5A2A239}" name="Column16342"/>
    <tableColumn id="16370" xr3:uid="{97F6DB86-46FC-4931-8A55-035557527701}" name="Column16343"/>
    <tableColumn id="16371" xr3:uid="{990B02EE-8948-476D-86CF-26D3F0795B3F}" name="Column16344"/>
    <tableColumn id="16372" xr3:uid="{F7E8D12B-EEDF-46B0-B21B-9A1D21CBEB88}" name="Column16345"/>
    <tableColumn id="16373" xr3:uid="{9A9E7CEF-91CE-4FFF-8B76-F41773FF99C9}" name="Column16346"/>
    <tableColumn id="16374" xr3:uid="{DFE5B126-2B4F-4AB2-95ED-0AF8CC39D3AC}" name="Column16347"/>
    <tableColumn id="16375" xr3:uid="{22D7CC4B-F761-4A2E-AD8A-5A77F43259BE}" name="Column16348"/>
    <tableColumn id="16376" xr3:uid="{709A72AB-C52A-44CE-A497-717B30B577FD}" name="Column16349"/>
    <tableColumn id="16377" xr3:uid="{9BCE58CB-6844-4871-A879-A367923C2958}" name="Column16350"/>
    <tableColumn id="16378" xr3:uid="{AAD22BB8-8C2E-4F1A-81FC-C3DA5B5723B4}" name="Column16351"/>
    <tableColumn id="16379" xr3:uid="{024D8732-D1F3-4986-B59C-B8048A59062B}" name="Column16352"/>
    <tableColumn id="16380" xr3:uid="{21C0378C-2EC2-404A-8A17-827047207261}" name="Column16353"/>
    <tableColumn id="16381" xr3:uid="{67B48886-700F-42C9-A8AC-31C1FB94A5C5}" name="Column16354"/>
    <tableColumn id="16382" xr3:uid="{AC0284FD-B573-4882-B8BF-8CA8FAC98C21}" name="Column16355"/>
    <tableColumn id="16383" xr3:uid="{86E21640-F048-42FA-B3B3-088A5E4D83F8}" name="Column16356"/>
    <tableColumn id="16384" xr3:uid="{90A4405D-7BB6-43D2-82FE-60786E0F2B3A}" name="Column1635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find-and-update.company-information.service.gov.uk/company/02205890/filing-history" TargetMode="External"/><Relationship Id="rId170" Type="http://schemas.openxmlformats.org/officeDocument/2006/relationships/hyperlink" Target="https://find-and-update.company-information.service.gov.uk/company/08068582/filing-history" TargetMode="External"/><Relationship Id="rId268" Type="http://schemas.openxmlformats.org/officeDocument/2006/relationships/hyperlink" Target="https://www.needfp.co.uk/" TargetMode="External"/><Relationship Id="rId475" Type="http://schemas.openxmlformats.org/officeDocument/2006/relationships/hyperlink" Target="https://www.benchmarkcapital.co.uk/en-gb/uk/individual/process-and-costs/" TargetMode="External"/><Relationship Id="rId682" Type="http://schemas.openxmlformats.org/officeDocument/2006/relationships/hyperlink" Target="https://www.levenwealth.co.uk/" TargetMode="External"/><Relationship Id="rId128" Type="http://schemas.openxmlformats.org/officeDocument/2006/relationships/hyperlink" Target="https://find-and-update.company-information.service.gov.uk/company/01514840/filing-history" TargetMode="External"/><Relationship Id="rId335" Type="http://schemas.openxmlformats.org/officeDocument/2006/relationships/hyperlink" Target="https://find-and-update.company-information.service.gov.uk/company/OC325079/filing-history" TargetMode="External"/><Relationship Id="rId542" Type="http://schemas.openxmlformats.org/officeDocument/2006/relationships/hyperlink" Target="https://www.hbdobbin.com/" TargetMode="External"/><Relationship Id="rId987" Type="http://schemas.openxmlformats.org/officeDocument/2006/relationships/hyperlink" Target="https://find-and-update.company-information.service.gov.uk/company/05960871" TargetMode="External"/><Relationship Id="rId1172" Type="http://schemas.openxmlformats.org/officeDocument/2006/relationships/hyperlink" Target="https://markets.ft.com/data/funds/tearsheet/summary?s=GB00BFBFYQ25:GBP" TargetMode="External"/><Relationship Id="rId402" Type="http://schemas.openxmlformats.org/officeDocument/2006/relationships/hyperlink" Target="http://www.friargate.net/" TargetMode="External"/><Relationship Id="rId847" Type="http://schemas.openxmlformats.org/officeDocument/2006/relationships/hyperlink" Target="https://find-and-update.company-information.service.gov.uk/company/06453011/filing-history" TargetMode="External"/><Relationship Id="rId1032" Type="http://schemas.openxmlformats.org/officeDocument/2006/relationships/hyperlink" Target="https://find-and-update.company-information.service.gov.uk/company/07584487/filing-history" TargetMode="External"/><Relationship Id="rId707" Type="http://schemas.openxmlformats.org/officeDocument/2006/relationships/hyperlink" Target="https://brigroup.co.uk/our-team/" TargetMode="External"/><Relationship Id="rId914" Type="http://schemas.openxmlformats.org/officeDocument/2006/relationships/hyperlink" Target="https://find-and-update.company-information.service.gov.uk/company/14289345" TargetMode="External"/><Relationship Id="rId43" Type="http://schemas.openxmlformats.org/officeDocument/2006/relationships/hyperlink" Target="https://www.tamassetmanagement.com/data/uploads/factsheets/active-balanced-q4-2025.pdf" TargetMode="External"/><Relationship Id="rId192" Type="http://schemas.openxmlformats.org/officeDocument/2006/relationships/hyperlink" Target="https://find-and-update.company-information.service.gov.uk/company/08552799/filing-history" TargetMode="External"/><Relationship Id="rId497" Type="http://schemas.openxmlformats.org/officeDocument/2006/relationships/hyperlink" Target="https://find-and-update.company-information.service.gov.uk/company/04561871/filing-history" TargetMode="External"/><Relationship Id="rId357" Type="http://schemas.openxmlformats.org/officeDocument/2006/relationships/hyperlink" Target="https://www.gsigroup.co.uk/" TargetMode="External"/><Relationship Id="rId1194" Type="http://schemas.openxmlformats.org/officeDocument/2006/relationships/hyperlink" Target="https://markets.ft.com/data/funds/tearsheet/summary?s=GB00BFBFYQ25:GBP" TargetMode="External"/><Relationship Id="rId217" Type="http://schemas.openxmlformats.org/officeDocument/2006/relationships/hyperlink" Target="https://nottpybus.co.uk/" TargetMode="External"/><Relationship Id="rId564" Type="http://schemas.openxmlformats.org/officeDocument/2006/relationships/hyperlink" Target="https://find-and-update.company-information.service.gov.uk/company/02355062/filing-history" TargetMode="External"/><Relationship Id="rId771" Type="http://schemas.openxmlformats.org/officeDocument/2006/relationships/hyperlink" Target="https://www.aberdeenpersonal.com/" TargetMode="External"/><Relationship Id="rId869" Type="http://schemas.openxmlformats.org/officeDocument/2006/relationships/hyperlink" Target="https://find-and-update.company-information.service.gov.uk/company/10503951/filing-history" TargetMode="External"/><Relationship Id="rId424" Type="http://schemas.openxmlformats.org/officeDocument/2006/relationships/hyperlink" Target="https://www.titanwci.com/media/ungdd0wj/priips-kid-balanced-usd-s-acc.pdf" TargetMode="External"/><Relationship Id="rId631" Type="http://schemas.openxmlformats.org/officeDocument/2006/relationships/hyperlink" Target="https://find-and-update.company-information.service.gov.uk/company/04170825/filing-history" TargetMode="External"/><Relationship Id="rId729" Type="http://schemas.openxmlformats.org/officeDocument/2006/relationships/hyperlink" Target="https://www.prosperitywealth.com/fees/" TargetMode="External"/><Relationship Id="rId1054" Type="http://schemas.openxmlformats.org/officeDocument/2006/relationships/hyperlink" Target="http://www.hottinger.co.uk/" TargetMode="External"/><Relationship Id="rId1261" Type="http://schemas.openxmlformats.org/officeDocument/2006/relationships/hyperlink" Target="https://markets.ft.com/data/funds/tearsheet/summary?s=GB00BFBFYQ25:GBP" TargetMode="External"/><Relationship Id="rId936" Type="http://schemas.openxmlformats.org/officeDocument/2006/relationships/hyperlink" Target="https://wealthatbluesky.com/your-bluesky-journey/fees/" TargetMode="External"/><Relationship Id="rId1121" Type="http://schemas.openxmlformats.org/officeDocument/2006/relationships/hyperlink" Target="https://markets.ft.com/data/funds/tearsheet/summary?s=GB00BFBFYQ25:GBP" TargetMode="External"/><Relationship Id="rId1219" Type="http://schemas.openxmlformats.org/officeDocument/2006/relationships/hyperlink" Target="https://markets.ft.com/data/funds/tearsheet/summary?s=GB00BFBFYQ25:GBP" TargetMode="External"/><Relationship Id="rId65" Type="http://schemas.openxmlformats.org/officeDocument/2006/relationships/hyperlink" Target="https://find-and-update.company-information.service.gov.uk/company/NI046529/filing-history" TargetMode="External"/><Relationship Id="rId281" Type="http://schemas.openxmlformats.org/officeDocument/2006/relationships/hyperlink" Target="https://find-and-update.company-information.service.gov.uk/company/03350281/filing-history" TargetMode="External"/><Relationship Id="rId141" Type="http://schemas.openxmlformats.org/officeDocument/2006/relationships/hyperlink" Target="https://hdwealth.com/" TargetMode="External"/><Relationship Id="rId379" Type="http://schemas.openxmlformats.org/officeDocument/2006/relationships/hyperlink" Target="https://norfolkandsuffolk.co.uk/wp-content/uploads/2023/09/What-we-do-and-what-we-charge.pdf" TargetMode="External"/><Relationship Id="rId586" Type="http://schemas.openxmlformats.org/officeDocument/2006/relationships/hyperlink" Target="https://www.labourse.co.uk/client-agreement/" TargetMode="External"/><Relationship Id="rId793" Type="http://schemas.openxmlformats.org/officeDocument/2006/relationships/hyperlink" Target="https://www.ascotlloyd.co.uk/" TargetMode="External"/><Relationship Id="rId7" Type="http://schemas.openxmlformats.org/officeDocument/2006/relationships/hyperlink" Target="https://www.centuryfp.co.uk/" TargetMode="External"/><Relationship Id="rId239" Type="http://schemas.openxmlformats.org/officeDocument/2006/relationships/hyperlink" Target="https://cityandtrust.co.uk/our-fees/" TargetMode="External"/><Relationship Id="rId446" Type="http://schemas.openxmlformats.org/officeDocument/2006/relationships/hyperlink" Target="https://find-and-update.company-information.service.gov.uk/company/04970458/filing-history" TargetMode="External"/><Relationship Id="rId653" Type="http://schemas.openxmlformats.org/officeDocument/2006/relationships/hyperlink" Target="https://www.spw.com/our-fees/" TargetMode="External"/><Relationship Id="rId1076" Type="http://schemas.openxmlformats.org/officeDocument/2006/relationships/hyperlink" Target="https://www.pfgl.co.uk/thorntonspringer" TargetMode="External"/><Relationship Id="rId1283" Type="http://schemas.openxmlformats.org/officeDocument/2006/relationships/hyperlink" Target="https://markets.ft.com/data/funds/tearsheet/summary?s=GB00BFBFYQ25:GBP" TargetMode="External"/><Relationship Id="rId306" Type="http://schemas.openxmlformats.org/officeDocument/2006/relationships/hyperlink" Target="https://akfp.net/why-choose-us/our-fees/" TargetMode="External"/><Relationship Id="rId860" Type="http://schemas.openxmlformats.org/officeDocument/2006/relationships/hyperlink" Target="https://www.pensionpotential.co.uk/what-is-advice" TargetMode="External"/><Relationship Id="rId958" Type="http://schemas.openxmlformats.org/officeDocument/2006/relationships/hyperlink" Target="https://www.investmentquorum.com/pricing" TargetMode="External"/><Relationship Id="rId1143" Type="http://schemas.openxmlformats.org/officeDocument/2006/relationships/hyperlink" Target="https://markets.ft.com/data/funds/tearsheet/summary?s=GB00BFBFYQ25:GBP" TargetMode="External"/><Relationship Id="rId87" Type="http://schemas.openxmlformats.org/officeDocument/2006/relationships/hyperlink" Target="https://find-and-update.company-information.service.gov.uk/company/OC368475/filing-history" TargetMode="External"/><Relationship Id="rId513" Type="http://schemas.openxmlformats.org/officeDocument/2006/relationships/hyperlink" Target="https://www.evelyn.com/fees-charges/" TargetMode="External"/><Relationship Id="rId720" Type="http://schemas.openxmlformats.org/officeDocument/2006/relationships/hyperlink" Target="https://www.zenitham.co.uk/" TargetMode="External"/><Relationship Id="rId818" Type="http://schemas.openxmlformats.org/officeDocument/2006/relationships/hyperlink" Target="https://goodgreenmoney.co.uk/what-we-do/our-fees/" TargetMode="External"/><Relationship Id="rId1003" Type="http://schemas.openxmlformats.org/officeDocument/2006/relationships/hyperlink" Target="http://www.maia-am.co.uk/" TargetMode="External"/><Relationship Id="rId1210" Type="http://schemas.openxmlformats.org/officeDocument/2006/relationships/hyperlink" Target="https://markets.ft.com/data/funds/tearsheet/summary?s=GB00BFBFYQ25:GBP" TargetMode="External"/><Relationship Id="rId1308" Type="http://schemas.openxmlformats.org/officeDocument/2006/relationships/hyperlink" Target="https://markets.ft.com/data/funds/tearsheet/summary?s=GB00BFBFYQ25:GBP" TargetMode="External"/><Relationship Id="rId14" Type="http://schemas.openxmlformats.org/officeDocument/2006/relationships/hyperlink" Target="https://www.hsbc.co.uk/investments/advice/financial-advice/?cid=HBUK:LH:P1:IV:06:2009:057:Wealth_2021&amp;gclid=83d1a7d3f50a139c1078cea7e612236c&amp;gclsrc=3p.ds&amp;msclkid=83d1a7d3f50a139c1078cea7e612236c&amp;utm_source=bing&amp;utm_medium=cpc&amp;utm_campaign=HSBC_UK_WPB_Bran" TargetMode="External"/><Relationship Id="rId163" Type="http://schemas.openxmlformats.org/officeDocument/2006/relationships/hyperlink" Target="https://wbbaxter.co.uk/wp-content/uploads/2024/01/Client-Service-Proposition-0124.pdf" TargetMode="External"/><Relationship Id="rId370" Type="http://schemas.openxmlformats.org/officeDocument/2006/relationships/hyperlink" Target="https://find-and-update.company-information.service.gov.uk/company/04039013/filing-history" TargetMode="External"/><Relationship Id="rId230" Type="http://schemas.openxmlformats.org/officeDocument/2006/relationships/hyperlink" Target="https://find-and-update.company-information.service.gov.uk/company/11148660/filing-history" TargetMode="External"/><Relationship Id="rId468" Type="http://schemas.openxmlformats.org/officeDocument/2006/relationships/hyperlink" Target="http://www.belmontassociates.co.uk/" TargetMode="External"/><Relationship Id="rId675" Type="http://schemas.openxmlformats.org/officeDocument/2006/relationships/hyperlink" Target="https://find-and-update.company-information.service.gov.uk/company/OC320806/filing-history" TargetMode="External"/><Relationship Id="rId882" Type="http://schemas.openxmlformats.org/officeDocument/2006/relationships/hyperlink" Target="http://www.chasedevere.co.uk/" TargetMode="External"/><Relationship Id="rId1098" Type="http://schemas.openxmlformats.org/officeDocument/2006/relationships/hyperlink" Target="https://markets.ft.com/data/funds/tearsheet/summary?s=GB00BFBFYQ25:GBP" TargetMode="External"/><Relationship Id="rId328" Type="http://schemas.openxmlformats.org/officeDocument/2006/relationships/hyperlink" Target="https://find-and-update.company-information.service.gov.uk/company/09362615/filing-history" TargetMode="External"/><Relationship Id="rId535" Type="http://schemas.openxmlformats.org/officeDocument/2006/relationships/hyperlink" Target="https://find-and-update.company-information.service.gov.uk/company/06121251/filing-history" TargetMode="External"/><Relationship Id="rId742" Type="http://schemas.openxmlformats.org/officeDocument/2006/relationships/hyperlink" Target="https://www.plan-money.co.uk/our-fees" TargetMode="External"/><Relationship Id="rId1165" Type="http://schemas.openxmlformats.org/officeDocument/2006/relationships/hyperlink" Target="https://markets.ft.com/data/funds/tearsheet/summary?s=GB00BFBFYQ25:GBP" TargetMode="External"/><Relationship Id="rId602" Type="http://schemas.openxmlformats.org/officeDocument/2006/relationships/hyperlink" Target="https://find-and-update.company-information.service.gov.uk/company/00036695/filing-history" TargetMode="External"/><Relationship Id="rId1025" Type="http://schemas.openxmlformats.org/officeDocument/2006/relationships/hyperlink" Target="http://www.bbi-ifa.co.uk/" TargetMode="External"/><Relationship Id="rId1232" Type="http://schemas.openxmlformats.org/officeDocument/2006/relationships/hyperlink" Target="https://markets.ft.com/data/funds/tearsheet/summary?s=GB00BFBFYQ25:GBP" TargetMode="External"/><Relationship Id="rId907" Type="http://schemas.openxmlformats.org/officeDocument/2006/relationships/hyperlink" Target="https://santorinifinancialplanning.co.uk/fees" TargetMode="External"/><Relationship Id="rId36" Type="http://schemas.openxmlformats.org/officeDocument/2006/relationships/hyperlink" Target="http://www.hl.co.uk/" TargetMode="External"/><Relationship Id="rId185" Type="http://schemas.openxmlformats.org/officeDocument/2006/relationships/hyperlink" Target="http://www.aretianwealth.co.uk/" TargetMode="External"/><Relationship Id="rId392" Type="http://schemas.openxmlformats.org/officeDocument/2006/relationships/hyperlink" Target="https://find-and-update.company-information.service.gov.uk/company/03145431/filing-history" TargetMode="External"/><Relationship Id="rId697" Type="http://schemas.openxmlformats.org/officeDocument/2006/relationships/hyperlink" Target="https://find-and-update.company-information.service.gov.uk/company/02459464/filing-history" TargetMode="External"/><Relationship Id="rId252" Type="http://schemas.openxmlformats.org/officeDocument/2006/relationships/hyperlink" Target="https://find-and-update.company-information.service.gov.uk/company/13833125/filing-history" TargetMode="External"/><Relationship Id="rId1187" Type="http://schemas.openxmlformats.org/officeDocument/2006/relationships/hyperlink" Target="https://markets.ft.com/data/funds/tearsheet/summary?s=GB00BFBFYQ25:GBP" TargetMode="External"/><Relationship Id="rId112" Type="http://schemas.openxmlformats.org/officeDocument/2006/relationships/hyperlink" Target="https://goodmoneyguide.com/investing/wealth-management/?utm_source=copilot.com" TargetMode="External"/><Relationship Id="rId557" Type="http://schemas.openxmlformats.org/officeDocument/2006/relationships/hyperlink" Target="https://www.hfmcwealth.com/wp-content/uploads/2025/02/HFMC-Important-Information-2025.pdf" TargetMode="External"/><Relationship Id="rId764" Type="http://schemas.openxmlformats.org/officeDocument/2006/relationships/hyperlink" Target="https://www.ascotlloyd.co.uk/our-service/fees/" TargetMode="External"/><Relationship Id="rId971" Type="http://schemas.openxmlformats.org/officeDocument/2006/relationships/hyperlink" Target="https://find-and-update.company-information.service.gov.uk/company/10550096/filing-history" TargetMode="External"/><Relationship Id="rId417" Type="http://schemas.openxmlformats.org/officeDocument/2006/relationships/hyperlink" Target="https://find-and-update.company-information.service.gov.uk/company/02024206/filing-history" TargetMode="External"/><Relationship Id="rId624" Type="http://schemas.openxmlformats.org/officeDocument/2006/relationships/hyperlink" Target="https://www.raelmes.co.uk/_files/ugd/ea90fb_e4d0c1f07d4a4734bc61e18543520469.pdf" TargetMode="External"/><Relationship Id="rId831" Type="http://schemas.openxmlformats.org/officeDocument/2006/relationships/hyperlink" Target="https://www.redcirclefp.co.uk/" TargetMode="External"/><Relationship Id="rId1047" Type="http://schemas.openxmlformats.org/officeDocument/2006/relationships/hyperlink" Target="https://www.foxandco.com/" TargetMode="External"/><Relationship Id="rId1254" Type="http://schemas.openxmlformats.org/officeDocument/2006/relationships/hyperlink" Target="https://markets.ft.com/data/funds/tearsheet/summary?s=GB00BFBFYQ25:GBP" TargetMode="External"/><Relationship Id="rId929" Type="http://schemas.openxmlformats.org/officeDocument/2006/relationships/hyperlink" Target="https://www.avivainvestors.com/en-gb/capabilities/multi-asset-macro/multi-asset-core-fund-iii/gb00bmgwh353-gbp/" TargetMode="External"/><Relationship Id="rId1114" Type="http://schemas.openxmlformats.org/officeDocument/2006/relationships/hyperlink" Target="https://markets.ft.com/data/funds/tearsheet/summary?s=GB00BFBFYQ25:GBP" TargetMode="External"/><Relationship Id="rId1321" Type="http://schemas.openxmlformats.org/officeDocument/2006/relationships/hyperlink" Target="https://markets.ft.com/data/funds/tearsheet/summary?s=GB00BFBFYQ25:GBP" TargetMode="External"/><Relationship Id="rId58" Type="http://schemas.openxmlformats.org/officeDocument/2006/relationships/hyperlink" Target="https://find-and-update.company-information.service.gov.uk/company/04039296/filing-history" TargetMode="External"/><Relationship Id="rId274" Type="http://schemas.openxmlformats.org/officeDocument/2006/relationships/hyperlink" Target="https://documentscdn.financialexpress.net/Literature/DDCAFD58A057F2264C9D86785D397395/236968115.pdf" TargetMode="External"/><Relationship Id="rId481" Type="http://schemas.openxmlformats.org/officeDocument/2006/relationships/hyperlink" Target="https://www.carterpearl.co.uk/information/services-costs/" TargetMode="External"/><Relationship Id="rId134" Type="http://schemas.openxmlformats.org/officeDocument/2006/relationships/hyperlink" Target="https://find-and-update.company-information.service.gov.uk/company/14159023/filing-history" TargetMode="External"/><Relationship Id="rId579" Type="http://schemas.openxmlformats.org/officeDocument/2006/relationships/hyperlink" Target="https://www.isisfp.co.uk/fees/" TargetMode="External"/><Relationship Id="rId786" Type="http://schemas.openxmlformats.org/officeDocument/2006/relationships/hyperlink" Target="https://www.ifslfunds.com/funds/ifsl-ascot-lloyd-3?citicode=Q6KX" TargetMode="External"/><Relationship Id="rId993" Type="http://schemas.openxmlformats.org/officeDocument/2006/relationships/hyperlink" Target="http://www.atlantichousegroup.com/" TargetMode="External"/><Relationship Id="rId341" Type="http://schemas.openxmlformats.org/officeDocument/2006/relationships/hyperlink" Target="https://engagewm.co.uk/wp-content/uploads/2025/11/Terms-Of-Business.pdf" TargetMode="External"/><Relationship Id="rId439" Type="http://schemas.openxmlformats.org/officeDocument/2006/relationships/hyperlink" Target="https://www.wealth-matters.co.uk/" TargetMode="External"/><Relationship Id="rId646" Type="http://schemas.openxmlformats.org/officeDocument/2006/relationships/hyperlink" Target="https://find-and-update.company-information.service.gov.uk/company/06549784/filing-history" TargetMode="External"/><Relationship Id="rId1069" Type="http://schemas.openxmlformats.org/officeDocument/2006/relationships/hyperlink" Target="https://www.millerassociates.co.uk/" TargetMode="External"/><Relationship Id="rId1276" Type="http://schemas.openxmlformats.org/officeDocument/2006/relationships/hyperlink" Target="https://markets.ft.com/data/funds/tearsheet/summary?s=GB00BFBFYQ25:GBP" TargetMode="External"/><Relationship Id="rId201" Type="http://schemas.openxmlformats.org/officeDocument/2006/relationships/hyperlink" Target="https://find-and-update.company-information.service.gov.uk/company/09188423/filing-history" TargetMode="External"/><Relationship Id="rId506" Type="http://schemas.openxmlformats.org/officeDocument/2006/relationships/hyperlink" Target="https://systemviewer.kiihub.com/documents/SMIT/G1OB_UnitedKingdom_EN-GB.pdf" TargetMode="External"/><Relationship Id="rId853" Type="http://schemas.openxmlformats.org/officeDocument/2006/relationships/hyperlink" Target="https://www.moneo-ifa.co.uk/our-services-1" TargetMode="External"/><Relationship Id="rId1136" Type="http://schemas.openxmlformats.org/officeDocument/2006/relationships/hyperlink" Target="https://markets.ft.com/data/funds/tearsheet/summary?s=GB00BFBFYQ25:GBP" TargetMode="External"/><Relationship Id="rId713" Type="http://schemas.openxmlformats.org/officeDocument/2006/relationships/hyperlink" Target="https://find-and-update.company-information.service.gov.uk/company/05234265/filing-history" TargetMode="External"/><Relationship Id="rId920" Type="http://schemas.openxmlformats.org/officeDocument/2006/relationships/hyperlink" Target="https://find-and-update.company-information.service.gov.uk/company/03826685/filing-history" TargetMode="External"/><Relationship Id="rId1203" Type="http://schemas.openxmlformats.org/officeDocument/2006/relationships/hyperlink" Target="https://markets.ft.com/data/funds/tearsheet/summary?s=GB00BFBFYQ25:GBP" TargetMode="External"/><Relationship Id="rId296" Type="http://schemas.openxmlformats.org/officeDocument/2006/relationships/hyperlink" Target="https://www.blue-spire.com/how-you-pay-for-our-advice/" TargetMode="External"/><Relationship Id="rId156" Type="http://schemas.openxmlformats.org/officeDocument/2006/relationships/hyperlink" Target="http://www.insight-wealth.co.uk/" TargetMode="External"/><Relationship Id="rId363" Type="http://schemas.openxmlformats.org/officeDocument/2006/relationships/hyperlink" Target="https://www.huwwatts-ifp.co.uk/" TargetMode="External"/><Relationship Id="rId570" Type="http://schemas.openxmlformats.org/officeDocument/2006/relationships/hyperlink" Target="https://www.holden-partners.co.uk/" TargetMode="External"/><Relationship Id="rId223" Type="http://schemas.openxmlformats.org/officeDocument/2006/relationships/hyperlink" Target="https://find-and-update.company-information.service.gov.uk/company/10470609/filing-history" TargetMode="External"/><Relationship Id="rId430" Type="http://schemas.openxmlformats.org/officeDocument/2006/relationships/hyperlink" Target="http://www.titan-fp.com/" TargetMode="External"/><Relationship Id="rId668" Type="http://schemas.openxmlformats.org/officeDocument/2006/relationships/hyperlink" Target="https://find-and-update.company-information.service.gov.uk/company/OC326607/filing-history" TargetMode="External"/><Relationship Id="rId875" Type="http://schemas.openxmlformats.org/officeDocument/2006/relationships/hyperlink" Target="https://roxboro.co.uk/pricing/" TargetMode="External"/><Relationship Id="rId1060" Type="http://schemas.openxmlformats.org/officeDocument/2006/relationships/hyperlink" Target="https://www.kingfurness.co.uk/" TargetMode="External"/><Relationship Id="rId1298" Type="http://schemas.openxmlformats.org/officeDocument/2006/relationships/hyperlink" Target="https://markets.ft.com/data/funds/tearsheet/summary?s=GB00BFBFYQ25:GBP" TargetMode="External"/><Relationship Id="rId528" Type="http://schemas.openxmlformats.org/officeDocument/2006/relationships/hyperlink" Target="https://find-and-update.company-information.service.gov.uk/company/OC369632/filing-history" TargetMode="External"/><Relationship Id="rId735" Type="http://schemas.openxmlformats.org/officeDocument/2006/relationships/hyperlink" Target="https://find-and-update.company-information.service.gov.uk/company/04421513/filing-history" TargetMode="External"/><Relationship Id="rId942" Type="http://schemas.openxmlformats.org/officeDocument/2006/relationships/hyperlink" Target="https://www.basmawealthmanagement.co.uk/" TargetMode="External"/><Relationship Id="rId1158" Type="http://schemas.openxmlformats.org/officeDocument/2006/relationships/hyperlink" Target="https://markets.ft.com/data/funds/tearsheet/summary?s=GB00BFBFYQ25:GBP" TargetMode="External"/><Relationship Id="rId1018" Type="http://schemas.openxmlformats.org/officeDocument/2006/relationships/hyperlink" Target="https://alandonald.co.uk/faqs" TargetMode="External"/><Relationship Id="rId1225" Type="http://schemas.openxmlformats.org/officeDocument/2006/relationships/hyperlink" Target="https://markets.ft.com/data/funds/tearsheet/summary?s=GB00BFBFYQ25:GBP" TargetMode="External"/><Relationship Id="rId71" Type="http://schemas.openxmlformats.org/officeDocument/2006/relationships/hyperlink" Target="http://www.amberriver.com/sw" TargetMode="External"/><Relationship Id="rId802" Type="http://schemas.openxmlformats.org/officeDocument/2006/relationships/hyperlink" Target="https://find-and-update.company-information.service.gov.uk/company/07584487/filing-history" TargetMode="External"/><Relationship Id="rId2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78" Type="http://schemas.openxmlformats.org/officeDocument/2006/relationships/hyperlink" Target="https://www.professionaladviser.com/news/4163249/fairstone-changes-fees-80-bps-moves-single-charging-structure" TargetMode="External"/><Relationship Id="rId385" Type="http://schemas.openxmlformats.org/officeDocument/2006/relationships/hyperlink" Target="https://find-and-update.company-information.service.gov.uk/company/10380457/filing-history" TargetMode="External"/><Relationship Id="rId592" Type="http://schemas.openxmlformats.org/officeDocument/2006/relationships/hyperlink" Target="https://find-and-update.company-information.service.gov.uk/company/08013456/filing-history" TargetMode="External"/><Relationship Id="rId245" Type="http://schemas.openxmlformats.org/officeDocument/2006/relationships/hyperlink" Target="https://redkitewm.co.uk/fees/" TargetMode="External"/><Relationship Id="rId452" Type="http://schemas.openxmlformats.org/officeDocument/2006/relationships/hyperlink" Target="https://digital.feprecisionplus.com/aegonc" TargetMode="External"/><Relationship Id="rId897" Type="http://schemas.openxmlformats.org/officeDocument/2006/relationships/hyperlink" Target="https://content.rathbones.com/Rathbones/Rathbones%20Private%20Client%20Brochure.PDF" TargetMode="External"/><Relationship Id="rId1082" Type="http://schemas.openxmlformats.org/officeDocument/2006/relationships/hyperlink" Target="https://www.valu-trac.com/administration-services/clients/esprit/tb/VT%20Esprit%20Tactical%20Balanced%20-%20February%202026.pdf" TargetMode="External"/><Relationship Id="rId105" Type="http://schemas.openxmlformats.org/officeDocument/2006/relationships/hyperlink" Target="https://www.amberriver.com/cm" TargetMode="External"/><Relationship Id="rId312" Type="http://schemas.openxmlformats.org/officeDocument/2006/relationships/hyperlink" Target="https://baronandgrant.com/services/" TargetMode="External"/><Relationship Id="rId757" Type="http://schemas.openxmlformats.org/officeDocument/2006/relationships/hyperlink" Target="https://find-and-update.company-information.service.gov.uk/company/03370019/filing-history" TargetMode="External"/><Relationship Id="rId964" Type="http://schemas.openxmlformats.org/officeDocument/2006/relationships/hyperlink" Target="https://pfmdental.co.uk/financial-planning/wealth-management/" TargetMode="External"/><Relationship Id="rId93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617" Type="http://schemas.openxmlformats.org/officeDocument/2006/relationships/hyperlink" Target="http://www.quilter.com/" TargetMode="External"/><Relationship Id="rId824" Type="http://schemas.openxmlformats.org/officeDocument/2006/relationships/hyperlink" Target="https://find-and-update.company-information.service.gov.uk/company/11283101/filing-history" TargetMode="External"/><Relationship Id="rId1247" Type="http://schemas.openxmlformats.org/officeDocument/2006/relationships/hyperlink" Target="https://markets.ft.com/data/funds/tearsheet/summary?s=GB00BFBFYQ25:GBP" TargetMode="External"/><Relationship Id="rId1107" Type="http://schemas.openxmlformats.org/officeDocument/2006/relationships/hyperlink" Target="https://markets.ft.com/data/funds/tearsheet/summary?s=GB00BFBFYQ25:GBP" TargetMode="External"/><Relationship Id="rId1314" Type="http://schemas.openxmlformats.org/officeDocument/2006/relationships/hyperlink" Target="https://markets.ft.com/data/funds/tearsheet/summary?s=GB00BFBFYQ25:GBP" TargetMode="External"/><Relationship Id="rId20" Type="http://schemas.openxmlformats.org/officeDocument/2006/relationships/hyperlink" Target="https://www.strategicwealth.co.uk/our-fees" TargetMode="External"/><Relationship Id="rId267" Type="http://schemas.openxmlformats.org/officeDocument/2006/relationships/hyperlink" Target="https://www.rock-wealth.co.uk/our-fees/" TargetMode="External"/><Relationship Id="rId474" Type="http://schemas.openxmlformats.org/officeDocument/2006/relationships/hyperlink" Target="https://www.evowealth.co.uk/" TargetMode="External"/><Relationship Id="rId127" Type="http://schemas.openxmlformats.org/officeDocument/2006/relationships/hyperlink" Target="https://goodmoneyguide.com/investing/wealth-management/?utm_source=copilot.com" TargetMode="External"/><Relationship Id="rId681" Type="http://schemas.openxmlformats.org/officeDocument/2006/relationships/hyperlink" Target="https://find-and-update.company-information.service.gov.uk/company/NI040537/filing-history" TargetMode="External"/><Relationship Id="rId779" Type="http://schemas.openxmlformats.org/officeDocument/2006/relationships/hyperlink" Target="https://find-and-update.company-information.service.gov.uk/company/07584487/filing-history" TargetMode="External"/><Relationship Id="rId986" Type="http://schemas.openxmlformats.org/officeDocument/2006/relationships/hyperlink" Target="http://www.hamishleng.co.uk/" TargetMode="External"/><Relationship Id="rId334" Type="http://schemas.openxmlformats.org/officeDocument/2006/relationships/hyperlink" Target="https://courtneyhavers.co.uk/fees/" TargetMode="External"/><Relationship Id="rId541" Type="http://schemas.openxmlformats.org/officeDocument/2006/relationships/hyperlink" Target="https://find-and-update.company-information.service.gov.uk/company/03361861/filing-history" TargetMode="External"/><Relationship Id="rId639" Type="http://schemas.openxmlformats.org/officeDocument/2006/relationships/hyperlink" Target="https://find-and-update.company-information.service.gov.uk/company/SC638934/filing-history" TargetMode="External"/><Relationship Id="rId1171" Type="http://schemas.openxmlformats.org/officeDocument/2006/relationships/hyperlink" Target="https://markets.ft.com/data/funds/tearsheet/summary?s=GB00BFBFYQ25:GBP" TargetMode="External"/><Relationship Id="rId1269" Type="http://schemas.openxmlformats.org/officeDocument/2006/relationships/hyperlink" Target="https://markets.ft.com/data/funds/tearsheet/summary?s=GB00BFBFYQ25:GBP" TargetMode="External"/><Relationship Id="rId401" Type="http://schemas.openxmlformats.org/officeDocument/2006/relationships/hyperlink" Target="https://www.successionwealth.co.uk/about-us/our-fees" TargetMode="External"/><Relationship Id="rId846" Type="http://schemas.openxmlformats.org/officeDocument/2006/relationships/hyperlink" Target="https://justfinancialplanning.co.uk/our-fees/" TargetMode="External"/><Relationship Id="rId1031" Type="http://schemas.openxmlformats.org/officeDocument/2006/relationships/hyperlink" Target="https://www.ifslfunds.com/funds/ifsl-ascot-lloyd-3?citicode=Q6KX" TargetMode="External"/><Relationship Id="rId1129" Type="http://schemas.openxmlformats.org/officeDocument/2006/relationships/hyperlink" Target="https://markets.ft.com/data/funds/tearsheet/summary?s=GB00BFBFYQ25:GBP" TargetMode="External"/><Relationship Id="rId706" Type="http://schemas.openxmlformats.org/officeDocument/2006/relationships/hyperlink" Target="https://www.brigroup.co.uk/" TargetMode="External"/><Relationship Id="rId913" Type="http://schemas.openxmlformats.org/officeDocument/2006/relationships/hyperlink" Target="https://www.riverglenifa.co.uk/wp-content/uploads/2024/03/Main-IDD-V10-02-2024.pdf" TargetMode="External"/><Relationship Id="rId4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91" Type="http://schemas.openxmlformats.org/officeDocument/2006/relationships/hyperlink" Target="https://balancewealth.uk/financial-planning/fees/" TargetMode="External"/><Relationship Id="rId289" Type="http://schemas.openxmlformats.org/officeDocument/2006/relationships/hyperlink" Target="https://find-and-update.company-information.service.gov.uk/company/07008093/filing-history" TargetMode="External"/><Relationship Id="rId496" Type="http://schemas.openxmlformats.org/officeDocument/2006/relationships/hyperlink" Target="https://www.eldonfinancial.co.uk/fees/" TargetMode="External"/><Relationship Id="rId149" Type="http://schemas.openxmlformats.org/officeDocument/2006/relationships/hyperlink" Target="https://www.pensionfreedom.co.uk/wp-content/uploads/2024/11/2024-11-Pension-Freedom-Client-Agreement.pdf" TargetMode="External"/><Relationship Id="rId356" Type="http://schemas.openxmlformats.org/officeDocument/2006/relationships/hyperlink" Target="https://www.perrinsfp.co.uk/" TargetMode="External"/><Relationship Id="rId563" Type="http://schemas.openxmlformats.org/officeDocument/2006/relationships/hyperlink" Target="https://find-and-update.company-information.service.gov.uk/company/02355062/filing-history" TargetMode="External"/><Relationship Id="rId770" Type="http://schemas.openxmlformats.org/officeDocument/2006/relationships/hyperlink" Target="https://find-and-update.company-information.service.gov.uk/company/07584487/filing-history" TargetMode="External"/><Relationship Id="rId1193" Type="http://schemas.openxmlformats.org/officeDocument/2006/relationships/hyperlink" Target="https://markets.ft.com/data/funds/tearsheet/summary?s=GB00BFBFYQ25:GBP" TargetMode="External"/><Relationship Id="rId216" Type="http://schemas.openxmlformats.org/officeDocument/2006/relationships/hyperlink" Target="https://find-and-update.company-information.service.gov.uk/company/11938051/filing-history" TargetMode="External"/><Relationship Id="rId423" Type="http://schemas.openxmlformats.org/officeDocument/2006/relationships/hyperlink" Target="https://titanpi.co.uk/wp-content/uploads/2026/01/Platform-Terms-of-Business.pdf" TargetMode="External"/><Relationship Id="rId868" Type="http://schemas.openxmlformats.org/officeDocument/2006/relationships/hyperlink" Target="https://oakfour.co.uk/pricing" TargetMode="External"/><Relationship Id="rId1053" Type="http://schemas.openxmlformats.org/officeDocument/2006/relationships/hyperlink" Target="https://www.horlockholdcroft.co.uk/" TargetMode="External"/><Relationship Id="rId1260" Type="http://schemas.openxmlformats.org/officeDocument/2006/relationships/hyperlink" Target="https://markets.ft.com/data/funds/tearsheet/summary?s=GB00BFBFYQ25:GBP" TargetMode="External"/><Relationship Id="rId630" Type="http://schemas.openxmlformats.org/officeDocument/2006/relationships/hyperlink" Target="https://www.rosan-ifa.com/wp-content/uploads/2025/04/Client-Agreement-2025.pdf" TargetMode="External"/><Relationship Id="rId728" Type="http://schemas.openxmlformats.org/officeDocument/2006/relationships/hyperlink" Target="https://find-and-update.company-information.service.gov.uk/company/08351329/filing-history" TargetMode="External"/><Relationship Id="rId935" Type="http://schemas.openxmlformats.org/officeDocument/2006/relationships/hyperlink" Target="https://find-and-update.company-information.service.gov.uk/company/04454027/filing-history" TargetMode="External"/><Relationship Id="rId64" Type="http://schemas.openxmlformats.org/officeDocument/2006/relationships/hyperlink" Target="https://www.tamassetmanagement.com/data/uploads/factsheets/active-balanced-q4-2025.pdf" TargetMode="External"/><Relationship Id="rId1120" Type="http://schemas.openxmlformats.org/officeDocument/2006/relationships/hyperlink" Target="https://markets.ft.com/data/funds/tearsheet/summary?s=GB00BFBFYQ25:GBP" TargetMode="External"/><Relationship Id="rId1218" Type="http://schemas.openxmlformats.org/officeDocument/2006/relationships/hyperlink" Target="https://markets.ft.com/data/funds/tearsheet/summary?s=GB00BFBFYQ25:GBP" TargetMode="External"/><Relationship Id="rId280" Type="http://schemas.openxmlformats.org/officeDocument/2006/relationships/hyperlink" Target="https://www.ethicalmoney.org/Portals/0/Guide%20to%20our%20fees%20and%20services%20v4%201124.pdf?ver=AJTNU6f5sxlWUpmpumP2cw%3D%3D" TargetMode="External"/><Relationship Id="rId140" Type="http://schemas.openxmlformats.org/officeDocument/2006/relationships/hyperlink" Target="https://find-and-update.company-information.service.gov.uk/company/07485042/filing-history" TargetMode="External"/><Relationship Id="rId378" Type="http://schemas.openxmlformats.org/officeDocument/2006/relationships/hyperlink" Target="https://www.norfolkandsuffolk.co.uk/" TargetMode="External"/><Relationship Id="rId585" Type="http://schemas.openxmlformats.org/officeDocument/2006/relationships/hyperlink" Target="http://www.labourse.co.uk/" TargetMode="External"/><Relationship Id="rId792" Type="http://schemas.openxmlformats.org/officeDocument/2006/relationships/hyperlink" Target="https://find-and-update.company-information.service.gov.uk/company/07584487/filing-history" TargetMode="External"/><Relationship Id="rId6" Type="http://schemas.openxmlformats.org/officeDocument/2006/relationships/hyperlink" Target="https://find-and-update.company-information.service.gov.uk/company/NI023143/filing-history" TargetMode="External"/><Relationship Id="rId238" Type="http://schemas.openxmlformats.org/officeDocument/2006/relationships/hyperlink" Target="https://cityandtrust.co.uk/" TargetMode="External"/><Relationship Id="rId445" Type="http://schemas.openxmlformats.org/officeDocument/2006/relationships/hyperlink" Target="https://wiseinvestment.co.uk/wp-content/uploads/2026/01/12-2025-Balanced-Model-Portfolio-Factsheet-Pershing.pdf" TargetMode="External"/><Relationship Id="rId652" Type="http://schemas.openxmlformats.org/officeDocument/2006/relationships/hyperlink" Target="https://www.schroders.com/en/us/wealth%20-%20management/" TargetMode="External"/><Relationship Id="rId1075" Type="http://schemas.openxmlformats.org/officeDocument/2006/relationships/hyperlink" Target="https://www.pfgl.co.uk/pcel" TargetMode="External"/><Relationship Id="rId1282" Type="http://schemas.openxmlformats.org/officeDocument/2006/relationships/hyperlink" Target="https://markets.ft.com/data/funds/tearsheet/summary?s=GB00BFBFYQ25:GBP" TargetMode="External"/><Relationship Id="rId291" Type="http://schemas.openxmlformats.org/officeDocument/2006/relationships/hyperlink" Target="https://find-and-update.company-information.service.gov.uk/company/OC352712/filing-history" TargetMode="External"/><Relationship Id="rId305" Type="http://schemas.openxmlformats.org/officeDocument/2006/relationships/hyperlink" Target="https://find-and-update.company-information.service.gov.uk/company/04405679/filing-history" TargetMode="External"/><Relationship Id="rId512" Type="http://schemas.openxmlformats.org/officeDocument/2006/relationships/hyperlink" Target="https://systemviewer.kiihub.com/documents/SMIT/G1OB_UnitedKingdom_EN-GB.pdf" TargetMode="External"/><Relationship Id="rId957" Type="http://schemas.openxmlformats.org/officeDocument/2006/relationships/hyperlink" Target="https://find-and-update.company-information.service.gov.uk/company/09997413/filing-history" TargetMode="External"/><Relationship Id="rId1142" Type="http://schemas.openxmlformats.org/officeDocument/2006/relationships/hyperlink" Target="https://markets.ft.com/data/funds/tearsheet/summary?s=GB00BFBFYQ25:GBP" TargetMode="External"/><Relationship Id="rId8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51" Type="http://schemas.openxmlformats.org/officeDocument/2006/relationships/hyperlink" Target="https://www.tailoredfp.co.uk/client-agreement-policy-arrangement-disclosure/" TargetMode="External"/><Relationship Id="rId389" Type="http://schemas.openxmlformats.org/officeDocument/2006/relationships/hyperlink" Target="https://paretofp.co.uk/wp-content/uploads/2025/06/Acknowledgments-and-Agreements-2025.pdf" TargetMode="External"/><Relationship Id="rId596" Type="http://schemas.openxmlformats.org/officeDocument/2006/relationships/hyperlink" Target="https://www.miltonpj.net/Pies/Balanced%20Portfolio.pdf" TargetMode="External"/><Relationship Id="rId817" Type="http://schemas.openxmlformats.org/officeDocument/2006/relationships/hyperlink" Target="http://www.evanshart.co.uk/Client-Agreement.pdf" TargetMode="External"/><Relationship Id="rId1002" Type="http://schemas.openxmlformats.org/officeDocument/2006/relationships/hyperlink" Target="http://www.tslombard.com/" TargetMode="External"/><Relationship Id="rId249" Type="http://schemas.openxmlformats.org/officeDocument/2006/relationships/hyperlink" Target="https://www.verdantfp.co.uk/fees" TargetMode="External"/><Relationship Id="rId456" Type="http://schemas.openxmlformats.org/officeDocument/2006/relationships/hyperlink" Target="https://digital.feprecisionplus.com/aegonc" TargetMode="External"/><Relationship Id="rId663" Type="http://schemas.openxmlformats.org/officeDocument/2006/relationships/hyperlink" Target="http://www.advantawealth.co.uk/" TargetMode="External"/><Relationship Id="rId870" Type="http://schemas.openxmlformats.org/officeDocument/2006/relationships/hyperlink" Target="https://www.thankswp.com/pricing" TargetMode="External"/><Relationship Id="rId1086" Type="http://schemas.openxmlformats.org/officeDocument/2006/relationships/hyperlink" Target="https://www.saltus.co.uk/partnership-programme" TargetMode="External"/><Relationship Id="rId1293" Type="http://schemas.openxmlformats.org/officeDocument/2006/relationships/hyperlink" Target="https://markets.ft.com/data/funds/tearsheet/summary?s=GB00BFBFYQ25:GBP" TargetMode="External"/><Relationship Id="rId1307" Type="http://schemas.openxmlformats.org/officeDocument/2006/relationships/hyperlink" Target="https://markets.ft.com/data/funds/tearsheet/summary?s=GB00BFBFYQ25:GBP" TargetMode="External"/><Relationship Id="rId13" Type="http://schemas.openxmlformats.org/officeDocument/2006/relationships/hyperlink" Target="https://mgllp.uk/" TargetMode="External"/><Relationship Id="rId109" Type="http://schemas.openxmlformats.org/officeDocument/2006/relationships/hyperlink" Target="https://goodmoneyguide.com/investing/wealth-management/?utm_source=copilot.com" TargetMode="External"/><Relationship Id="rId316" Type="http://schemas.openxmlformats.org/officeDocument/2006/relationships/hyperlink" Target="https://find-and-update.company-information.service.gov.uk/company/04162004/filing-history" TargetMode="External"/><Relationship Id="rId523" Type="http://schemas.openxmlformats.org/officeDocument/2006/relationships/hyperlink" Target="https://midasfp.co.uk/meet-the-team/" TargetMode="External"/><Relationship Id="rId968" Type="http://schemas.openxmlformats.org/officeDocument/2006/relationships/hyperlink" Target="../../../../../Downloads/AWIPR0029_UK_Adviser_Charges_Summary_EN_0325.pdf" TargetMode="External"/><Relationship Id="rId1153" Type="http://schemas.openxmlformats.org/officeDocument/2006/relationships/hyperlink" Target="https://markets.ft.com/data/funds/tearsheet/summary?s=GB00BFBFYQ25:GBP" TargetMode="External"/><Relationship Id="rId97" Type="http://schemas.openxmlformats.org/officeDocument/2006/relationships/hyperlink" Target="https://find-and-update.company-information.service.gov.uk/company/09634747/filing-history" TargetMode="External"/><Relationship Id="rId730" Type="http://schemas.openxmlformats.org/officeDocument/2006/relationships/hyperlink" Target="https://www.fivewaysfp.co.uk/" TargetMode="External"/><Relationship Id="rId828" Type="http://schemas.openxmlformats.org/officeDocument/2006/relationships/hyperlink" Target="https://find-and-update.company-information.service.gov.uk/company/12962917/filing-history" TargetMode="External"/><Relationship Id="rId1013" Type="http://schemas.openxmlformats.org/officeDocument/2006/relationships/hyperlink" Target="http://www.thornbridge.com/" TargetMode="External"/><Relationship Id="rId162" Type="http://schemas.openxmlformats.org/officeDocument/2006/relationships/hyperlink" Target="https://www.wbbaxter.co.uk/" TargetMode="External"/><Relationship Id="rId467" Type="http://schemas.openxmlformats.org/officeDocument/2006/relationships/hyperlink" Target="https://find-and-update.company-information.service.gov.uk/company/OC309012/filing-history" TargetMode="External"/><Relationship Id="rId1097" Type="http://schemas.openxmlformats.org/officeDocument/2006/relationships/hyperlink" Target="https://markets.ft.com/data/funds/tearsheet/summary?s=GB00BFBFYQ25:GBP" TargetMode="External"/><Relationship Id="rId1220" Type="http://schemas.openxmlformats.org/officeDocument/2006/relationships/hyperlink" Target="https://markets.ft.com/data/funds/tearsheet/summary?s=GB00BFBFYQ25:GBP" TargetMode="External"/><Relationship Id="rId1318" Type="http://schemas.openxmlformats.org/officeDocument/2006/relationships/hyperlink" Target="https://markets.ft.com/data/funds/tearsheet/summary?s=GB00BFBFYQ25:GBP" TargetMode="External"/><Relationship Id="rId674" Type="http://schemas.openxmlformats.org/officeDocument/2006/relationships/hyperlink" Target="https://www.westminster-wealth.com/prices" TargetMode="External"/><Relationship Id="rId881" Type="http://schemas.openxmlformats.org/officeDocument/2006/relationships/hyperlink" Target="http://www.westsidellp.com/" TargetMode="External"/><Relationship Id="rId979" Type="http://schemas.openxmlformats.org/officeDocument/2006/relationships/hyperlink" Target="http://www.asperandwealth.co.uk/" TargetMode="External"/><Relationship Id="rId24" Type="http://schemas.openxmlformats.org/officeDocument/2006/relationships/hyperlink" Target="https://find-and-update.company-information.service.gov.uk/company/11479520/filing-history" TargetMode="External"/><Relationship Id="rId327" Type="http://schemas.openxmlformats.org/officeDocument/2006/relationships/hyperlink" Target="https://co-navigate.co.uk/wp-content/uploads/2024/06/Terms-of-Business-FP.pdf" TargetMode="External"/><Relationship Id="rId534" Type="http://schemas.openxmlformats.org/officeDocument/2006/relationships/hyperlink" Target="https://www.fidelity.co.uk/factsheet-data/factsheet/GB00BF8DCB08-fidelity-select-50-balanced-pi-acc/key-statistics" TargetMode="External"/><Relationship Id="rId741" Type="http://schemas.openxmlformats.org/officeDocument/2006/relationships/hyperlink" Target="http://www.plan-money.co.uk/" TargetMode="External"/><Relationship Id="rId839" Type="http://schemas.openxmlformats.org/officeDocument/2006/relationships/hyperlink" Target="https://www.bluefinchwealth.com/our-fees" TargetMode="External"/><Relationship Id="rId1164" Type="http://schemas.openxmlformats.org/officeDocument/2006/relationships/hyperlink" Target="https://markets.ft.com/data/funds/tearsheet/summary?s=GB00BFBFYQ25:GBP" TargetMode="External"/><Relationship Id="rId173" Type="http://schemas.openxmlformats.org/officeDocument/2006/relationships/hyperlink" Target="https://find-and-update.company-information.service.gov.uk/company/10740028/filing-history" TargetMode="External"/><Relationship Id="rId380" Type="http://schemas.openxmlformats.org/officeDocument/2006/relationships/hyperlink" Target="https://find-and-update.company-information.service.gov.uk/company/01183300/filing-history" TargetMode="External"/><Relationship Id="rId601" Type="http://schemas.openxmlformats.org/officeDocument/2006/relationships/hyperlink" Target="https://www.rbs.co.uk/content/dam/royal_bank_of_scotland/personal/current-accounts/documents/PersonalXandXPrivateXCurrentXAccountXTerms.pdf" TargetMode="External"/><Relationship Id="rId1024" Type="http://schemas.openxmlformats.org/officeDocument/2006/relationships/hyperlink" Target="http://www.bastowandco.ltd.uk/" TargetMode="External"/><Relationship Id="rId1231" Type="http://schemas.openxmlformats.org/officeDocument/2006/relationships/hyperlink" Target="https://markets.ft.com/data/funds/tearsheet/summary?s=GB00BFBFYQ25:GBP" TargetMode="External"/><Relationship Id="rId240" Type="http://schemas.openxmlformats.org/officeDocument/2006/relationships/hyperlink" Target="https://find-and-update.company-information.service.gov.uk/company/01499679/filing-history" TargetMode="External"/><Relationship Id="rId478" Type="http://schemas.openxmlformats.org/officeDocument/2006/relationships/hyperlink" Target="https://www.blgwealth.com/wp-content/uploads/2023/07/Glossary-of-Terms-for-Consumers-2.pdf" TargetMode="External"/><Relationship Id="rId685" Type="http://schemas.openxmlformats.org/officeDocument/2006/relationships/hyperlink" Target="http://www.lift-financial.com/" TargetMode="External"/><Relationship Id="rId892" Type="http://schemas.openxmlformats.org/officeDocument/2006/relationships/hyperlink" Target="https://content.rathbones.com/Rathbones/Rathbones%20Private%20Client%20Brochure.PDF" TargetMode="External"/><Relationship Id="rId906" Type="http://schemas.openxmlformats.org/officeDocument/2006/relationships/hyperlink" Target="https://www.santorinifinancialplanning.co.uk/" TargetMode="External"/><Relationship Id="rId1329" Type="http://schemas.openxmlformats.org/officeDocument/2006/relationships/hyperlink" Target="https://markets.ft.com/data/funds/tearsheet/summary?s=GB00BFBFYQ25:GBP" TargetMode="External"/><Relationship Id="rId35" Type="http://schemas.openxmlformats.org/officeDocument/2006/relationships/hyperlink" Target="https://find-and-update.company-information.service.gov.uk/company/SC108188/filing-history" TargetMode="External"/><Relationship Id="rId100" Type="http://schemas.openxmlformats.org/officeDocument/2006/relationships/hyperlink" Target="https://find-and-update.company-information.service.gov.uk/company/SC314177/filing-history" TargetMode="External"/><Relationship Id="rId338" Type="http://schemas.openxmlformats.org/officeDocument/2006/relationships/hyperlink" Target="https://find-and-update.company-information.service.gov.uk/company/09928412/filing-history" TargetMode="External"/><Relationship Id="rId545" Type="http://schemas.openxmlformats.org/officeDocument/2006/relationships/hyperlink" Target="http://www.midlandfinancialsolutions.co.uk/" TargetMode="External"/><Relationship Id="rId752" Type="http://schemas.openxmlformats.org/officeDocument/2006/relationships/hyperlink" Target="https://find-and-update.company-information.service.gov.uk/company/06621998/filing-history" TargetMode="External"/><Relationship Id="rId1175" Type="http://schemas.openxmlformats.org/officeDocument/2006/relationships/hyperlink" Target="https://markets.ft.com/data/funds/tearsheet/summary?s=GB00BFBFYQ25:GBP" TargetMode="External"/><Relationship Id="rId184" Type="http://schemas.openxmlformats.org/officeDocument/2006/relationships/hyperlink" Target="https://find-and-update.company-information.service.gov.uk/company/01140032/filing-history" TargetMode="External"/><Relationship Id="rId391" Type="http://schemas.openxmlformats.org/officeDocument/2006/relationships/hyperlink" Target="https://rowleyturton.com/how-we-are-paid/" TargetMode="External"/><Relationship Id="rId405" Type="http://schemas.openxmlformats.org/officeDocument/2006/relationships/hyperlink" Target="https://shackletonadvisers.co.uk/why-were-different/fair-and-transparent-charges/" TargetMode="External"/><Relationship Id="rId612" Type="http://schemas.openxmlformats.org/officeDocument/2006/relationships/hyperlink" Target="https://www.pwcltd.co.uk/wp-content/uploads/2023/10/Client-Agreement-CDR-July-2023-1-8.pdf" TargetMode="External"/><Relationship Id="rId1035" Type="http://schemas.openxmlformats.org/officeDocument/2006/relationships/hyperlink" Target="http://www.clarityifa.com/" TargetMode="External"/><Relationship Id="rId1242" Type="http://schemas.openxmlformats.org/officeDocument/2006/relationships/hyperlink" Target="https://markets.ft.com/data/funds/tearsheet/summary?s=GB00BFBFYQ25:GBP" TargetMode="External"/><Relationship Id="rId251" Type="http://schemas.openxmlformats.org/officeDocument/2006/relationships/hyperlink" Target="https://oakprivatewealth.com/fees-and-charges/" TargetMode="External"/><Relationship Id="rId489" Type="http://schemas.openxmlformats.org/officeDocument/2006/relationships/hyperlink" Target="https://www.cotonfinancial.co.uk/howpaid.php" TargetMode="External"/><Relationship Id="rId696" Type="http://schemas.openxmlformats.org/officeDocument/2006/relationships/hyperlink" Target="https://modernmoney.co.uk/clientforms/Modern_Money_Client_Service_Agreement.pdf" TargetMode="External"/><Relationship Id="rId917" Type="http://schemas.openxmlformats.org/officeDocument/2006/relationships/hyperlink" Target="https://www.watchornfs.co.uk/" TargetMode="External"/><Relationship Id="rId1102" Type="http://schemas.openxmlformats.org/officeDocument/2006/relationships/hyperlink" Target="https://markets.ft.com/data/funds/tearsheet/summary?s=GB00BFBFYQ25:GBP" TargetMode="External"/><Relationship Id="rId4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49" Type="http://schemas.openxmlformats.org/officeDocument/2006/relationships/hyperlink" Target="https://www.gsigroup.co.uk/" TargetMode="External"/><Relationship Id="rId556" Type="http://schemas.openxmlformats.org/officeDocument/2006/relationships/hyperlink" Target="https://find-and-update.company-information.service.gov.uk/company/02355062/filing-history" TargetMode="External"/><Relationship Id="rId763" Type="http://schemas.openxmlformats.org/officeDocument/2006/relationships/hyperlink" Target="http://www.aberdeenpersonal.com/" TargetMode="External"/><Relationship Id="rId1186" Type="http://schemas.openxmlformats.org/officeDocument/2006/relationships/hyperlink" Target="https://markets.ft.com/data/funds/tearsheet/summary?s=GB00BFBFYQ25:GBP" TargetMode="External"/><Relationship Id="rId111" Type="http://schemas.openxmlformats.org/officeDocument/2006/relationships/hyperlink" Target="https://find-and-update.company-information.service.gov.uk/company/05772581/filing-history" TargetMode="External"/><Relationship Id="rId195" Type="http://schemas.openxmlformats.org/officeDocument/2006/relationships/hyperlink" Target="https://www.begleybrown.co.uk/fees/" TargetMode="External"/><Relationship Id="rId209" Type="http://schemas.openxmlformats.org/officeDocument/2006/relationships/hyperlink" Target="https://www.forecastfp.co.uk/fees/" TargetMode="External"/><Relationship Id="rId416" Type="http://schemas.openxmlformats.org/officeDocument/2006/relationships/hyperlink" Target="https://static1.squarespace.com/static/5d91f13aed9a60047a7c1635/t/665723268b4ed0149f360571/1721307440082/MFS+Fees+for+Services+.pdf" TargetMode="External"/><Relationship Id="rId970" Type="http://schemas.openxmlformats.org/officeDocument/2006/relationships/hyperlink" Target="https://www.ellisdaviesfp.co.uk/what-it-costs" TargetMode="External"/><Relationship Id="rId1046" Type="http://schemas.openxmlformats.org/officeDocument/2006/relationships/hyperlink" Target="https://www.faradayfinancial.co.uk/" TargetMode="External"/><Relationship Id="rId1253" Type="http://schemas.openxmlformats.org/officeDocument/2006/relationships/hyperlink" Target="https://markets.ft.com/data/funds/tearsheet/summary?s=GB00BFBFYQ25:GBP" TargetMode="External"/><Relationship Id="rId623" Type="http://schemas.openxmlformats.org/officeDocument/2006/relationships/hyperlink" Target="https://find-and-update.company-information.service.gov.uk/company/06784783/filing-history" TargetMode="External"/><Relationship Id="rId830" Type="http://schemas.openxmlformats.org/officeDocument/2006/relationships/hyperlink" Target="https://find-and-update.company-information.service.gov.uk/company/08210361/filing-history" TargetMode="External"/><Relationship Id="rId928" Type="http://schemas.openxmlformats.org/officeDocument/2006/relationships/hyperlink" Target="https://www.successionwealth.co.uk/about-us/our-fees" TargetMode="External"/><Relationship Id="rId57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262" Type="http://schemas.openxmlformats.org/officeDocument/2006/relationships/hyperlink" Target="https://www.brewin.co.uk/wp-content/uploads/sites/10/2023/10/RBC-Brewin-Dolphin-MPS-factsheet-Balanced.pdf" TargetMode="External"/><Relationship Id="rId567" Type="http://schemas.openxmlformats.org/officeDocument/2006/relationships/hyperlink" Target="https://www.hl.co.uk/financial-advice" TargetMode="External"/><Relationship Id="rId1113" Type="http://schemas.openxmlformats.org/officeDocument/2006/relationships/hyperlink" Target="https://markets.ft.com/data/funds/tearsheet/summary?s=GB00BFBFYQ25:GBP" TargetMode="External"/><Relationship Id="rId1197" Type="http://schemas.openxmlformats.org/officeDocument/2006/relationships/hyperlink" Target="https://markets.ft.com/data/funds/tearsheet/summary?s=GB00BFBFYQ25:GBP" TargetMode="External"/><Relationship Id="rId1320" Type="http://schemas.openxmlformats.org/officeDocument/2006/relationships/hyperlink" Target="https://markets.ft.com/data/funds/tearsheet/summary?s=GB00BFBFYQ25:GBP" TargetMode="External"/><Relationship Id="rId122" Type="http://schemas.openxmlformats.org/officeDocument/2006/relationships/hyperlink" Target="https://www.watsonsweb.co.uk/?utm_source=copilot.com" TargetMode="External"/><Relationship Id="rId774" Type="http://schemas.openxmlformats.org/officeDocument/2006/relationships/hyperlink" Target="https://find-and-update.company-information.service.gov.uk/company/07584487/filing-history" TargetMode="External"/><Relationship Id="rId981" Type="http://schemas.openxmlformats.org/officeDocument/2006/relationships/hyperlink" Target="https://www.campbellmackie.co.uk/" TargetMode="External"/><Relationship Id="rId1057" Type="http://schemas.openxmlformats.org/officeDocument/2006/relationships/hyperlink" Target="https://www.valu-trac.com/administration-services/clients/esprit/tb/VT%20Esprit%20Tactical%20Balanced%20-%20February%202026.pdf" TargetMode="External"/><Relationship Id="rId427" Type="http://schemas.openxmlformats.org/officeDocument/2006/relationships/hyperlink" Target="http://www.titanwh.com/" TargetMode="External"/><Relationship Id="rId634" Type="http://schemas.openxmlformats.org/officeDocument/2006/relationships/hyperlink" Target="https://find-and-update.company-information.service.gov.uk/company/02036944/filing-history" TargetMode="External"/><Relationship Id="rId841" Type="http://schemas.openxmlformats.org/officeDocument/2006/relationships/hyperlink" Target="https://www.ellisbates.com/?trk=organization-update_share-update_update-text" TargetMode="External"/><Relationship Id="rId1264" Type="http://schemas.openxmlformats.org/officeDocument/2006/relationships/hyperlink" Target="https://markets.ft.com/data/funds/tearsheet/summary?s=GB00BFBFYQ25:GBP" TargetMode="External"/><Relationship Id="rId273" Type="http://schemas.openxmlformats.org/officeDocument/2006/relationships/hyperlink" Target="https://www.nfumutual.co.uk/globalassets/projects/direct-online/financial-planning-terms-of-business.pdf" TargetMode="External"/><Relationship Id="rId480" Type="http://schemas.openxmlformats.org/officeDocument/2006/relationships/hyperlink" Target="https://www.carterpearl.co.uk/" TargetMode="External"/><Relationship Id="rId701" Type="http://schemas.openxmlformats.org/officeDocument/2006/relationships/hyperlink" Target="https://novawm.com/" TargetMode="External"/><Relationship Id="rId939" Type="http://schemas.openxmlformats.org/officeDocument/2006/relationships/hyperlink" Target="https://find-and-update.company-information.service.gov.uk/company/15103462/filing-history" TargetMode="External"/><Relationship Id="rId1124" Type="http://schemas.openxmlformats.org/officeDocument/2006/relationships/hyperlink" Target="https://markets.ft.com/data/funds/tearsheet/summary?s=GB00BFBFYQ25:GBP" TargetMode="External"/><Relationship Id="rId1331" Type="http://schemas.openxmlformats.org/officeDocument/2006/relationships/hyperlink" Target="https://markets.ft.com/data/funds/tearsheet/summary?s=GB00BFBFYQ25:GBP" TargetMode="External"/><Relationship Id="rId68" Type="http://schemas.openxmlformats.org/officeDocument/2006/relationships/hyperlink" Target="https://www.amberwealth.co.uk/" TargetMode="External"/><Relationship Id="rId133" Type="http://schemas.openxmlformats.org/officeDocument/2006/relationships/hyperlink" Target="https://rootes.co.uk/charges-and-fees/" TargetMode="External"/><Relationship Id="rId340" Type="http://schemas.openxmlformats.org/officeDocument/2006/relationships/hyperlink" Target="https://find-and-update.company-information.service.gov.uk/company/01651212/filing-history" TargetMode="External"/><Relationship Id="rId578" Type="http://schemas.openxmlformats.org/officeDocument/2006/relationships/hyperlink" Target="https://find-and-update.company-information.service.gov.uk/company/03948922/filing-history" TargetMode="External"/><Relationship Id="rId785" Type="http://schemas.openxmlformats.org/officeDocument/2006/relationships/hyperlink" Target="https://www.ascotlloyd.co.uk/our-service/fees/" TargetMode="External"/><Relationship Id="rId992" Type="http://schemas.openxmlformats.org/officeDocument/2006/relationships/hyperlink" Target="https://aib.ie/fxcentre/resource-centre/regulatory-information/london-branch" TargetMode="External"/><Relationship Id="rId200" Type="http://schemas.openxmlformats.org/officeDocument/2006/relationships/hyperlink" Target="https://citygatefp.co.uk/fees/" TargetMode="External"/><Relationship Id="rId438" Type="http://schemas.openxmlformats.org/officeDocument/2006/relationships/hyperlink" Target="https://find-and-update.company-information.service.gov.uk/company/02020674/filing-history" TargetMode="External"/><Relationship Id="rId645" Type="http://schemas.openxmlformats.org/officeDocument/2006/relationships/hyperlink" Target="https://www.southdevonfinancialplanning.co.uk/" TargetMode="External"/><Relationship Id="rId852" Type="http://schemas.openxmlformats.org/officeDocument/2006/relationships/hyperlink" Target="http://www.moneo-ifa.co.uk/" TargetMode="External"/><Relationship Id="rId1068" Type="http://schemas.openxmlformats.org/officeDocument/2006/relationships/hyperlink" Target="https://www.michaelforward.co.uk/" TargetMode="External"/><Relationship Id="rId1275" Type="http://schemas.openxmlformats.org/officeDocument/2006/relationships/hyperlink" Target="https://markets.ft.com/data/funds/tearsheet/summary?s=GB00BFBFYQ25:GBP" TargetMode="External"/><Relationship Id="rId284" Type="http://schemas.openxmlformats.org/officeDocument/2006/relationships/hyperlink" Target="https://www.gracechurchwm.com/how-we-can-help/" TargetMode="External"/><Relationship Id="rId491" Type="http://schemas.openxmlformats.org/officeDocument/2006/relationships/hyperlink" Target="https://www.fairstonegroup.co.uk/guide/fairstone-introduces-new-streamlined-client-proposition/?utm_source=copilot.com" TargetMode="External"/><Relationship Id="rId505" Type="http://schemas.openxmlformats.org/officeDocument/2006/relationships/hyperlink" Target="https://www.evelyn.com/fees-charges/" TargetMode="External"/><Relationship Id="rId712" Type="http://schemas.openxmlformats.org/officeDocument/2006/relationships/hyperlink" Target="https://mclayjames.co.uk/our-fees/" TargetMode="External"/><Relationship Id="rId1135" Type="http://schemas.openxmlformats.org/officeDocument/2006/relationships/hyperlink" Target="https://markets.ft.com/data/funds/tearsheet/summary?s=GB00BFBFYQ25:GBP" TargetMode="External"/><Relationship Id="rId79" Type="http://schemas.openxmlformats.org/officeDocument/2006/relationships/hyperlink" Target="http://www.amberriver.com/true-bearing" TargetMode="External"/><Relationship Id="rId144" Type="http://schemas.openxmlformats.org/officeDocument/2006/relationships/hyperlink" Target="https://www.rgwifa.co.uk/wp-content/uploads/2024/02/RGW-Client-Agreement-Consumer-Duty-December-2023.pdf" TargetMode="External"/><Relationship Id="rId589" Type="http://schemas.openxmlformats.org/officeDocument/2006/relationships/hyperlink" Target="https://www.lfpassetmanagement.com/lfp-asset-management-fee-structure/" TargetMode="External"/><Relationship Id="rId796" Type="http://schemas.openxmlformats.org/officeDocument/2006/relationships/hyperlink" Target="https://www.ifslfunds.com/funds/ifsl-ascot-lloyd-3?citicode=Q6KX" TargetMode="External"/><Relationship Id="rId1202" Type="http://schemas.openxmlformats.org/officeDocument/2006/relationships/hyperlink" Target="https://markets.ft.com/data/funds/tearsheet/summary?s=GB00BFBFYQ25:GBP" TargetMode="External"/><Relationship Id="rId351" Type="http://schemas.openxmlformats.org/officeDocument/2006/relationships/hyperlink" Target="https://find-and-update.company-information.service.gov.uk/company/05126341/filing-history" TargetMode="External"/><Relationship Id="rId449" Type="http://schemas.openxmlformats.org/officeDocument/2006/relationships/hyperlink" Target="https://find-and-update.company-information.service.gov.uk/company/SC215343/filing-history" TargetMode="External"/><Relationship Id="rId656" Type="http://schemas.openxmlformats.org/officeDocument/2006/relationships/hyperlink" Target="https://find-and-update.company-information.service.gov.uk/company/11722983/filing-history" TargetMode="External"/><Relationship Id="rId863" Type="http://schemas.openxmlformats.org/officeDocument/2006/relationships/hyperlink" Target="https://bosworthwm.co.uk/pensions-investments/" TargetMode="External"/><Relationship Id="rId1079" Type="http://schemas.openxmlformats.org/officeDocument/2006/relationships/hyperlink" Target="https://savvywealth.wales/" TargetMode="External"/><Relationship Id="rId1286" Type="http://schemas.openxmlformats.org/officeDocument/2006/relationships/hyperlink" Target="https://markets.ft.com/data/funds/tearsheet/summary?s=GB00BFBFYQ25:GBP" TargetMode="External"/><Relationship Id="rId211" Type="http://schemas.openxmlformats.org/officeDocument/2006/relationships/hyperlink" Target="https://gag-ltd.com/fees/" TargetMode="External"/><Relationship Id="rId295" Type="http://schemas.openxmlformats.org/officeDocument/2006/relationships/hyperlink" Target="https://find-and-update.company-information.service.gov.uk/company/09712439/filing-history" TargetMode="External"/><Relationship Id="rId309" Type="http://schemas.openxmlformats.org/officeDocument/2006/relationships/hyperlink" Target="https://find-and-update.company-information.service.gov.uk/company/OC317451/filing-history" TargetMode="External"/><Relationship Id="rId516" Type="http://schemas.openxmlformats.org/officeDocument/2006/relationships/hyperlink" Target="https://systemviewer.kiihub.com/documents/SMIT/G1OB_UnitedKingdom_EN-GB.pdf" TargetMode="External"/><Relationship Id="rId1146" Type="http://schemas.openxmlformats.org/officeDocument/2006/relationships/hyperlink" Target="https://markets.ft.com/data/funds/tearsheet/summary?s=GB00BFBFYQ25:GBP" TargetMode="External"/><Relationship Id="rId723" Type="http://schemas.openxmlformats.org/officeDocument/2006/relationships/hyperlink" Target="https://chapterhousewealthmanagement.co.uk/our-fees/" TargetMode="External"/><Relationship Id="rId930" Type="http://schemas.openxmlformats.org/officeDocument/2006/relationships/hyperlink" Target="https://find-and-update.company-information.service.gov.uk/company/04454027/filing-history" TargetMode="External"/><Relationship Id="rId1006" Type="http://schemas.openxmlformats.org/officeDocument/2006/relationships/hyperlink" Target="https://www.mislandcapital.com/" TargetMode="External"/><Relationship Id="rId155" Type="http://schemas.openxmlformats.org/officeDocument/2006/relationships/hyperlink" Target="https://find-and-update.company-information.service.gov.uk/company/02486396/filing-history" TargetMode="External"/><Relationship Id="rId362" Type="http://schemas.openxmlformats.org/officeDocument/2006/relationships/hyperlink" Target="https://find-and-update.company-information.service.gov.uk/company/02355062/filing-history" TargetMode="External"/><Relationship Id="rId1213" Type="http://schemas.openxmlformats.org/officeDocument/2006/relationships/hyperlink" Target="https://markets.ft.com/data/funds/tearsheet/summary?s=GB00BFBFYQ25:GBP" TargetMode="External"/><Relationship Id="rId1297" Type="http://schemas.openxmlformats.org/officeDocument/2006/relationships/hyperlink" Target="https://markets.ft.com/data/funds/tearsheet/summary?s=GB00BFBFYQ25:GBP" TargetMode="External"/><Relationship Id="rId222" Type="http://schemas.openxmlformats.org/officeDocument/2006/relationships/hyperlink" Target="https://sweenywealth.co.uk/fees/" TargetMode="External"/><Relationship Id="rId667" Type="http://schemas.openxmlformats.org/officeDocument/2006/relationships/hyperlink" Target="https://www.truepotential.co.uk/wp-content/uploads/2026/02/True-Potential-Allianz-Balanced-20260217.pdf" TargetMode="External"/><Relationship Id="rId874" Type="http://schemas.openxmlformats.org/officeDocument/2006/relationships/hyperlink" Target="https://ucapgroup.com/what-we-do/wealth-planning/" TargetMode="External"/><Relationship Id="rId17" Type="http://schemas.openxmlformats.org/officeDocument/2006/relationships/hyperlink" Target="https://find-and-update.company-information.service.gov.uk/company/00014259/filing-history" TargetMode="External"/><Relationship Id="rId527" Type="http://schemas.openxmlformats.org/officeDocument/2006/relationships/hyperlink" Target="https://systemviewer.kiihub.com/documents/SMIT/G1OB_UnitedKingdom_EN-GB.pdf" TargetMode="External"/><Relationship Id="rId734" Type="http://schemas.openxmlformats.org/officeDocument/2006/relationships/hyperlink" Target="https://fyfefinancial.co.uk/our-fees/" TargetMode="External"/><Relationship Id="rId941" Type="http://schemas.openxmlformats.org/officeDocument/2006/relationships/hyperlink" Target="https://find-and-update.company-information.service.gov.uk/company/09883876/filing-history" TargetMode="External"/><Relationship Id="rId1157" Type="http://schemas.openxmlformats.org/officeDocument/2006/relationships/hyperlink" Target="https://markets.ft.com/data/funds/tearsheet/summary?s=GB00BFBFYQ25:GBP" TargetMode="External"/><Relationship Id="rId70" Type="http://schemas.openxmlformats.org/officeDocument/2006/relationships/hyperlink" Target="https://find-and-update.company-information.service.gov.uk/company/04870073/filing-history" TargetMode="External"/><Relationship Id="rId166" Type="http://schemas.openxmlformats.org/officeDocument/2006/relationships/hyperlink" Target="https://www.cartlidgemorland.com/wp-content/uploads/2025/01/CML-TCMP-Private-Client-Agreement-2025-22-01.pdf" TargetMode="External"/><Relationship Id="rId373" Type="http://schemas.openxmlformats.org/officeDocument/2006/relationships/hyperlink" Target="https://www.pfgl.co.uk/our-locations/north-west/" TargetMode="External"/><Relationship Id="rId580" Type="http://schemas.openxmlformats.org/officeDocument/2006/relationships/hyperlink" Target="https://find-and-update.company-information.service.gov.uk/company/04284325/filing-history" TargetMode="External"/><Relationship Id="rId801" Type="http://schemas.openxmlformats.org/officeDocument/2006/relationships/hyperlink" Target="https://www.ifslfunds.com/funds/ifsl-ascot-lloyd-3?citicode=Q6KX" TargetMode="External"/><Relationship Id="rId1017" Type="http://schemas.openxmlformats.org/officeDocument/2006/relationships/hyperlink" Target="http://www.alandonald.co.uk/" TargetMode="External"/><Relationship Id="rId1224" Type="http://schemas.openxmlformats.org/officeDocument/2006/relationships/hyperlink" Target="https://markets.ft.com/data/funds/tearsheet/summary?s=GB00BFBFYQ25:GBP" TargetMode="External"/><Relationship Id="rId1" Type="http://schemas.openxmlformats.org/officeDocument/2006/relationships/hyperlink" Target="https://www.wildinaccountants.co.uk/" TargetMode="External"/><Relationship Id="rId233" Type="http://schemas.openxmlformats.org/officeDocument/2006/relationships/hyperlink" Target="https://find-and-update.company-information.service.gov.uk/company/08926661/filing-history" TargetMode="External"/><Relationship Id="rId440" Type="http://schemas.openxmlformats.org/officeDocument/2006/relationships/hyperlink" Target="https://wealth-matters.co.uk/financial-planning/fees/" TargetMode="External"/><Relationship Id="rId678" Type="http://schemas.openxmlformats.org/officeDocument/2006/relationships/hyperlink" Target="https://wolfrockfp.co.uk/initial-fees/" TargetMode="External"/><Relationship Id="rId885" Type="http://schemas.openxmlformats.org/officeDocument/2006/relationships/hyperlink" Target="https://find-and-update.company-information.service.gov.uk/company/02090838/filing-history" TargetMode="External"/><Relationship Id="rId1070" Type="http://schemas.openxmlformats.org/officeDocument/2006/relationships/hyperlink" Target="https://www.mitchellprockter.co.uk/" TargetMode="External"/><Relationship Id="rId28" Type="http://schemas.openxmlformats.org/officeDocument/2006/relationships/hyperlink" Target="http://www.amberriver.com/hda" TargetMode="External"/><Relationship Id="rId300" Type="http://schemas.openxmlformats.org/officeDocument/2006/relationships/hyperlink" Target="https://find-and-update.company-information.service.gov.uk/company/07404854/filing-history" TargetMode="External"/><Relationship Id="rId538" Type="http://schemas.openxmlformats.org/officeDocument/2006/relationships/hyperlink" Target="https://www.generatewealth.co.uk/wp/how-we-charge/" TargetMode="External"/><Relationship Id="rId745" Type="http://schemas.openxmlformats.org/officeDocument/2006/relationships/hyperlink" Target="https://www.rosecut.com/fees" TargetMode="External"/><Relationship Id="rId952" Type="http://schemas.openxmlformats.org/officeDocument/2006/relationships/hyperlink" Target="https://www.chadwicks.co.uk/fees/" TargetMode="External"/><Relationship Id="rId1168" Type="http://schemas.openxmlformats.org/officeDocument/2006/relationships/hyperlink" Target="https://markets.ft.com/data/funds/tearsheet/summary?s=GB00BFBFYQ25:GBP" TargetMode="External"/><Relationship Id="rId81" Type="http://schemas.openxmlformats.org/officeDocument/2006/relationships/hyperlink" Target="https://www.tamassetmanagement.com/data/uploads/factsheets/active-balanced-q4-2025.pdf" TargetMode="External"/><Relationship Id="rId177" Type="http://schemas.openxmlformats.org/officeDocument/2006/relationships/hyperlink" Target="https://www.fairstone.co.uk/" TargetMode="External"/><Relationship Id="rId384" Type="http://schemas.openxmlformats.org/officeDocument/2006/relationships/hyperlink" Target="https://omnygroup.co.uk/wp-content/uploads/2025/11/Omny-Personal-Finance-IDD-V2-Nov25.pdf" TargetMode="External"/><Relationship Id="rId591" Type="http://schemas.openxmlformats.org/officeDocument/2006/relationships/hyperlink" Target="https://www.lowco.uk/wp-content/uploads/2017/11/LOWCO-TERMS-CONDITIONS.pdf" TargetMode="External"/><Relationship Id="rId605" Type="http://schemas.openxmlformats.org/officeDocument/2006/relationships/hyperlink" Target="https://www.natwest.com/investments/five-ready-made-funds.html" TargetMode="External"/><Relationship Id="rId812" Type="http://schemas.openxmlformats.org/officeDocument/2006/relationships/hyperlink" Target="https://www.philpottfinancial.com/" TargetMode="External"/><Relationship Id="rId1028" Type="http://schemas.openxmlformats.org/officeDocument/2006/relationships/hyperlink" Target="https://capelcourt.cliftonwp.co.uk/" TargetMode="External"/><Relationship Id="rId1235" Type="http://schemas.openxmlformats.org/officeDocument/2006/relationships/hyperlink" Target="https://markets.ft.com/data/funds/tearsheet/summary?s=GB00BFBFYQ25:GBP" TargetMode="External"/><Relationship Id="rId244" Type="http://schemas.openxmlformats.org/officeDocument/2006/relationships/hyperlink" Target="https://find-and-update.company-information.service.gov.uk/company/10080134/filing-history" TargetMode="External"/><Relationship Id="rId689" Type="http://schemas.openxmlformats.org/officeDocument/2006/relationships/hyperlink" Target="http://www.rightadvice.co.uk/" TargetMode="External"/><Relationship Id="rId896" Type="http://schemas.openxmlformats.org/officeDocument/2006/relationships/hyperlink" Target="https://find-and-update.company-information.service.gov.uk/company/01448919/filing-history" TargetMode="External"/><Relationship Id="rId1081" Type="http://schemas.openxmlformats.org/officeDocument/2006/relationships/hyperlink" Target="https://shackletonadvisers.co.uk/why-were-different/fair-and-transparent-charges/" TargetMode="External"/><Relationship Id="rId1302" Type="http://schemas.openxmlformats.org/officeDocument/2006/relationships/hyperlink" Target="https://markets.ft.com/data/funds/tearsheet/summary?s=GB00BFBFYQ25:GBP" TargetMode="External"/><Relationship Id="rId3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451" Type="http://schemas.openxmlformats.org/officeDocument/2006/relationships/hyperlink" Target="https://www.aegon.co.uk/content/dam/auk/assets/publication/marketing-support/afp-overview-of-charges.pdf" TargetMode="External"/><Relationship Id="rId549" Type="http://schemas.openxmlformats.org/officeDocument/2006/relationships/hyperlink" Target="https://www.henleylifeandpensions.com/cost-of-advice" TargetMode="External"/><Relationship Id="rId756" Type="http://schemas.openxmlformats.org/officeDocument/2006/relationships/hyperlink" Target="https://homecroftwealth.co.uk/about-us/fees-we-charge/" TargetMode="External"/><Relationship Id="rId1179" Type="http://schemas.openxmlformats.org/officeDocument/2006/relationships/hyperlink" Target="https://markets.ft.com/data/funds/tearsheet/summary?s=GB00BFBFYQ25:GBP" TargetMode="External"/><Relationship Id="rId104" Type="http://schemas.openxmlformats.org/officeDocument/2006/relationships/hyperlink" Target="http://www.pwsfc.co.uk/" TargetMode="External"/><Relationship Id="rId188" Type="http://schemas.openxmlformats.org/officeDocument/2006/relationships/hyperlink" Target="http://www.cooperparrywealth.com/" TargetMode="External"/><Relationship Id="rId311" Type="http://schemas.openxmlformats.org/officeDocument/2006/relationships/hyperlink" Target="https://find-and-update.company-information.service.gov.uk/company/04033512/filing-history" TargetMode="External"/><Relationship Id="rId395" Type="http://schemas.openxmlformats.org/officeDocument/2006/relationships/hyperlink" Target="https://shackletonadvisers.co.uk/why-were-different/fair-and-transparent-charges/" TargetMode="External"/><Relationship Id="rId409" Type="http://schemas.openxmlformats.org/officeDocument/2006/relationships/hyperlink" Target="https://smithandwardle.co.uk/wp-content/uploads/2020/08/Complaints-Policy.pdf" TargetMode="External"/><Relationship Id="rId963" Type="http://schemas.openxmlformats.org/officeDocument/2006/relationships/hyperlink" Target="https://find-and-update.company-information.service.gov.uk/company/07366158" TargetMode="External"/><Relationship Id="rId1039" Type="http://schemas.openxmlformats.org/officeDocument/2006/relationships/hyperlink" Target="https://delaunaywealth.com/our-fees/" TargetMode="External"/><Relationship Id="rId1246" Type="http://schemas.openxmlformats.org/officeDocument/2006/relationships/hyperlink" Target="https://markets.ft.com/data/funds/tearsheet/summary?s=GB00BFBFYQ25:GBP" TargetMode="External"/><Relationship Id="rId92" Type="http://schemas.openxmlformats.org/officeDocument/2006/relationships/hyperlink" Target="http://www.amberriver.com/" TargetMode="External"/><Relationship Id="rId616" Type="http://schemas.openxmlformats.org/officeDocument/2006/relationships/hyperlink" Target="https://www.fca.org.uk/news/press-releases/fca-censures-lighthouse-advisory-services-limited-serious-failings-relation-british-steel-pension" TargetMode="External"/><Relationship Id="rId823" Type="http://schemas.openxmlformats.org/officeDocument/2006/relationships/hyperlink" Target="https://markets.ft.com/data/funds/tearsheet/summary?s=LU2594915410:USD" TargetMode="External"/><Relationship Id="rId255" Type="http://schemas.openxmlformats.org/officeDocument/2006/relationships/hyperlink" Target="https://www.heritagews.co.uk/fees-and-charges/" TargetMode="External"/><Relationship Id="rId462" Type="http://schemas.openxmlformats.org/officeDocument/2006/relationships/hyperlink" Target="http://www.ainv.co.uk/" TargetMode="External"/><Relationship Id="rId1092" Type="http://schemas.openxmlformats.org/officeDocument/2006/relationships/hyperlink" Target="https://zomiwealth.com/" TargetMode="External"/><Relationship Id="rId1106" Type="http://schemas.openxmlformats.org/officeDocument/2006/relationships/hyperlink" Target="https://markets.ft.com/data/funds/tearsheet/summary?s=GB00BFBFYQ25:GBP" TargetMode="External"/><Relationship Id="rId1313" Type="http://schemas.openxmlformats.org/officeDocument/2006/relationships/hyperlink" Target="https://markets.ft.com/data/funds/tearsheet/summary?s=GB00BFBFYQ25:GBP" TargetMode="External"/><Relationship Id="rId115" Type="http://schemas.openxmlformats.org/officeDocument/2006/relationships/hyperlink" Target="https://www.gm2.co.uk/%20Saltus" TargetMode="External"/><Relationship Id="rId322" Type="http://schemas.openxmlformats.org/officeDocument/2006/relationships/hyperlink" Target="http://www.ipsfinancial.co.uk/" TargetMode="External"/><Relationship Id="rId767" Type="http://schemas.openxmlformats.org/officeDocument/2006/relationships/hyperlink" Target="http://www.ascotlloyd.co.uk/" TargetMode="External"/><Relationship Id="rId974" Type="http://schemas.openxmlformats.org/officeDocument/2006/relationships/hyperlink" Target="https://find-and-update.company-information.service.gov.uk/company/01541630/filing-history" TargetMode="External"/><Relationship Id="rId199" Type="http://schemas.openxmlformats.org/officeDocument/2006/relationships/hyperlink" Target="https://find-and-update.company-information.service.gov.uk/company/10853464/filing-history" TargetMode="External"/><Relationship Id="rId627" Type="http://schemas.openxmlformats.org/officeDocument/2006/relationships/hyperlink" Target="https://find-and-update.company-information.service.gov.uk/company/02854159/filing-history" TargetMode="External"/><Relationship Id="rId834" Type="http://schemas.openxmlformats.org/officeDocument/2006/relationships/hyperlink" Target="https://www.craufurdhalewealth.co.uk/" TargetMode="External"/><Relationship Id="rId1257" Type="http://schemas.openxmlformats.org/officeDocument/2006/relationships/hyperlink" Target="https://markets.ft.com/data/funds/tearsheet/summary?s=GB00BFBFYQ25:GBP" TargetMode="External"/><Relationship Id="rId266" Type="http://schemas.openxmlformats.org/officeDocument/2006/relationships/hyperlink" Target="https://find-and-update.company-information.service.gov.uk/company/01903304/filing-history" TargetMode="External"/><Relationship Id="rId473" Type="http://schemas.openxmlformats.org/officeDocument/2006/relationships/hyperlink" Target="https://find-and-update.company-information.service.gov.uk/company/04490633/filing-history" TargetMode="External"/><Relationship Id="rId680" Type="http://schemas.openxmlformats.org/officeDocument/2006/relationships/hyperlink" Target="https://lanyonfp.com/fees/" TargetMode="External"/><Relationship Id="rId901" Type="http://schemas.openxmlformats.org/officeDocument/2006/relationships/hyperlink" Target="https://markets.ft.com/data/funds/tearsheet/summary?s=GB00BYXHQX09:GBX" TargetMode="External"/><Relationship Id="rId1117" Type="http://schemas.openxmlformats.org/officeDocument/2006/relationships/hyperlink" Target="https://markets.ft.com/data/funds/tearsheet/summary?s=GB00BFBFYQ25:GBP" TargetMode="External"/><Relationship Id="rId1324" Type="http://schemas.openxmlformats.org/officeDocument/2006/relationships/hyperlink" Target="https://markets.ft.com/data/funds/tearsheet/summary?s=GB00BFBFYQ25:GBP" TargetMode="External"/><Relationship Id="rId30" Type="http://schemas.openxmlformats.org/officeDocument/2006/relationships/hyperlink" Target="https://www.tamassetmanagement.com/data/uploads/factsheets/active-balanced-q4-2025.pdf" TargetMode="External"/><Relationship Id="rId126" Type="http://schemas.openxmlformats.org/officeDocument/2006/relationships/hyperlink" Target="https://www.deltafinancial.co.uk/" TargetMode="External"/><Relationship Id="rId333" Type="http://schemas.openxmlformats.org/officeDocument/2006/relationships/hyperlink" Target="https://find-and-update.company-information.service.gov.uk/company/11283101/filing-history" TargetMode="External"/><Relationship Id="rId540" Type="http://schemas.openxmlformats.org/officeDocument/2006/relationships/hyperlink" Target="https://www.gwfm.co.uk/" TargetMode="External"/><Relationship Id="rId778" Type="http://schemas.openxmlformats.org/officeDocument/2006/relationships/hyperlink" Target="https://www.ifslfunds.com/funds/ifsl-ascot-lloyd-3?citicode=Q6KX" TargetMode="External"/><Relationship Id="rId985" Type="http://schemas.openxmlformats.org/officeDocument/2006/relationships/hyperlink" Target="https://www.polearnold.co.uk/%20mattioliwoods" TargetMode="External"/><Relationship Id="rId1170" Type="http://schemas.openxmlformats.org/officeDocument/2006/relationships/hyperlink" Target="https://markets.ft.com/data/funds/tearsheet/summary?s=GB00BFBFYQ25:GBP" TargetMode="External"/><Relationship Id="rId638" Type="http://schemas.openxmlformats.org/officeDocument/2006/relationships/hyperlink" Target="https://www.seedfp.co.uk/" TargetMode="External"/><Relationship Id="rId845" Type="http://schemas.openxmlformats.org/officeDocument/2006/relationships/hyperlink" Target="https://find-and-update.company-information.service.gov.uk/company/14319486" TargetMode="External"/><Relationship Id="rId1030" Type="http://schemas.openxmlformats.org/officeDocument/2006/relationships/hyperlink" Target="https://www.ascotlloyd.co.uk/our-service/fees/" TargetMode="External"/><Relationship Id="rId1268" Type="http://schemas.openxmlformats.org/officeDocument/2006/relationships/hyperlink" Target="https://markets.ft.com/data/funds/tearsheet/summary?s=GB00BFBFYQ25:GBP" TargetMode="External"/><Relationship Id="rId277" Type="http://schemas.openxmlformats.org/officeDocument/2006/relationships/hyperlink" Target="https://www.ubs.com/uk/en/wealthmanagement/who-we-serve/individuals-and-families.html" TargetMode="External"/><Relationship Id="rId400" Type="http://schemas.openxmlformats.org/officeDocument/2006/relationships/hyperlink" Target="https://www.successionwealth.co.uk/about-us/our-fees" TargetMode="External"/><Relationship Id="rId484" Type="http://schemas.openxmlformats.org/officeDocument/2006/relationships/hyperlink" Target="https://www.cockburnlucas.co.uk/our-fees/" TargetMode="External"/><Relationship Id="rId705" Type="http://schemas.openxmlformats.org/officeDocument/2006/relationships/hyperlink" Target="https://find-and-update.company-information.service.gov.uk/company/12420753/filing-history" TargetMode="External"/><Relationship Id="rId1128" Type="http://schemas.openxmlformats.org/officeDocument/2006/relationships/hyperlink" Target="https://markets.ft.com/data/funds/tearsheet/summary?s=GB00BFBFYQ25:GBP" TargetMode="External"/><Relationship Id="rId137" Type="http://schemas.openxmlformats.org/officeDocument/2006/relationships/hyperlink" Target="https://find-and-update.company-information.service.gov.uk/company/07071622/filing-history" TargetMode="External"/><Relationship Id="rId344" Type="http://schemas.openxmlformats.org/officeDocument/2006/relationships/hyperlink" Target="https://george-square.co.uk/faqs/" TargetMode="External"/><Relationship Id="rId691" Type="http://schemas.openxmlformats.org/officeDocument/2006/relationships/hyperlink" Target="https://www.med-ex.co.uk/fees" TargetMode="External"/><Relationship Id="rId789" Type="http://schemas.openxmlformats.org/officeDocument/2006/relationships/hyperlink" Target="https://register.fca.org.uk/s/firm?id=001b000000NMXZ4AAP" TargetMode="External"/><Relationship Id="rId912" Type="http://schemas.openxmlformats.org/officeDocument/2006/relationships/hyperlink" Target="https://find-and-update.company-information.service.gov.uk/company/02061670/filing-history" TargetMode="External"/><Relationship Id="rId996" Type="http://schemas.openxmlformats.org/officeDocument/2006/relationships/hyperlink" Target="https://www.cfp.energy/" TargetMode="External"/><Relationship Id="rId41" Type="http://schemas.openxmlformats.org/officeDocument/2006/relationships/hyperlink" Target="https://www.amberriverdbwood.com/" TargetMode="External"/><Relationship Id="rId551" Type="http://schemas.openxmlformats.org/officeDocument/2006/relationships/hyperlink" Target="http://www.thomsonferrie.co.uk/" TargetMode="External"/><Relationship Id="rId649" Type="http://schemas.openxmlformats.org/officeDocument/2006/relationships/hyperlink" Target="https://find-and-update.company-information.service.gov.uk/company/02280926/filing-history" TargetMode="External"/><Relationship Id="rId856" Type="http://schemas.openxmlformats.org/officeDocument/2006/relationships/hyperlink" Target="https://find-and-update.company-information.service.gov.uk/company/09568543/filing-history" TargetMode="External"/><Relationship Id="rId1181" Type="http://schemas.openxmlformats.org/officeDocument/2006/relationships/hyperlink" Target="https://markets.ft.com/data/funds/tearsheet/summary?s=GB00BFBFYQ25:GBP" TargetMode="External"/><Relationship Id="rId1279" Type="http://schemas.openxmlformats.org/officeDocument/2006/relationships/hyperlink" Target="https://markets.ft.com/data/funds/tearsheet/summary?s=GB00BFBFYQ25:GBP" TargetMode="External"/><Relationship Id="rId190" Type="http://schemas.openxmlformats.org/officeDocument/2006/relationships/hyperlink" Target="https://acwealth.co.uk/about-us/fees/" TargetMode="External"/><Relationship Id="rId204" Type="http://schemas.openxmlformats.org/officeDocument/2006/relationships/hyperlink" Target="https://ebsuk.com/fees/" TargetMode="External"/><Relationship Id="rId288" Type="http://schemas.openxmlformats.org/officeDocument/2006/relationships/hyperlink" Target="https://informedfinancialplanning.co.uk/how-we-charge/" TargetMode="External"/><Relationship Id="rId411" Type="http://schemas.openxmlformats.org/officeDocument/2006/relationships/hyperlink" Target="https://srcwealthmanagement.co.uk/how-we-work/" TargetMode="External"/><Relationship Id="rId509" Type="http://schemas.openxmlformats.org/officeDocument/2006/relationships/hyperlink" Target="https://find-and-update.company-information.service.gov.uk/company/OC369632/filing-history" TargetMode="External"/><Relationship Id="rId1041" Type="http://schemas.openxmlformats.org/officeDocument/2006/relationships/hyperlink" Target="http://www.dhfm.co.uk/" TargetMode="External"/><Relationship Id="rId1139" Type="http://schemas.openxmlformats.org/officeDocument/2006/relationships/hyperlink" Target="https://markets.ft.com/data/funds/tearsheet/summary?s=GB00BFBFYQ25:GBP" TargetMode="External"/><Relationship Id="rId495" Type="http://schemas.openxmlformats.org/officeDocument/2006/relationships/hyperlink" Target="https://www.eldonfinancial.co.uk/" TargetMode="External"/><Relationship Id="rId716" Type="http://schemas.openxmlformats.org/officeDocument/2006/relationships/hyperlink" Target="https://www.aisa.co.uk/about-us/our-fees/" TargetMode="External"/><Relationship Id="rId923" Type="http://schemas.openxmlformats.org/officeDocument/2006/relationships/hyperlink" Target="https://find-and-update.company-information.service.gov.uk/company/04113955/filing-history" TargetMode="External"/><Relationship Id="rId5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48" Type="http://schemas.openxmlformats.org/officeDocument/2006/relationships/hyperlink" Target="http://www.pensionfreedom.co.uk/" TargetMode="External"/><Relationship Id="rId355" Type="http://schemas.openxmlformats.org/officeDocument/2006/relationships/hyperlink" Target="https://simpson-wood.co.uk/" TargetMode="External"/><Relationship Id="rId562" Type="http://schemas.openxmlformats.org/officeDocument/2006/relationships/hyperlink" Target="https://find-and-update.company-information.service.gov.uk/company/02355062/filing-history" TargetMode="External"/><Relationship Id="rId1192" Type="http://schemas.openxmlformats.org/officeDocument/2006/relationships/hyperlink" Target="https://markets.ft.com/data/funds/tearsheet/summary?s=GB00BFBFYQ25:GBP" TargetMode="External"/><Relationship Id="rId1206" Type="http://schemas.openxmlformats.org/officeDocument/2006/relationships/hyperlink" Target="https://markets.ft.com/data/funds/tearsheet/summary?s=GB00BFBFYQ25:GBP" TargetMode="External"/><Relationship Id="rId215" Type="http://schemas.openxmlformats.org/officeDocument/2006/relationships/hyperlink" Target="https://rubyredfp.co.uk/fees/" TargetMode="External"/><Relationship Id="rId422" Type="http://schemas.openxmlformats.org/officeDocument/2006/relationships/hyperlink" Target="http://www.titanprivatewealth.com/" TargetMode="External"/><Relationship Id="rId867" Type="http://schemas.openxmlformats.org/officeDocument/2006/relationships/hyperlink" Target="https://find-and-update.company-information.service.gov.uk/company/07571920/filing-history" TargetMode="External"/><Relationship Id="rId1052" Type="http://schemas.openxmlformats.org/officeDocument/2006/relationships/hyperlink" Target="https://find-and-update.company-information.service.gov.uk/company/01377493/filing-history" TargetMode="External"/><Relationship Id="rId299" Type="http://schemas.openxmlformats.org/officeDocument/2006/relationships/hyperlink" Target="http://jenningswm.com/fees/" TargetMode="External"/><Relationship Id="rId727" Type="http://schemas.openxmlformats.org/officeDocument/2006/relationships/hyperlink" Target="https://www.dwifa.co.uk/fees" TargetMode="External"/><Relationship Id="rId934" Type="http://schemas.openxmlformats.org/officeDocument/2006/relationships/hyperlink" Target="https://www.successionwealth.co.uk/about-us/our-fees" TargetMode="External"/><Relationship Id="rId63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59" Type="http://schemas.openxmlformats.org/officeDocument/2006/relationships/hyperlink" Target="http://www.andrewbourne.co.uk/" TargetMode="External"/><Relationship Id="rId366" Type="http://schemas.openxmlformats.org/officeDocument/2006/relationships/hyperlink" Target="http://www.swallow-financial.co.uk/" TargetMode="External"/><Relationship Id="rId573" Type="http://schemas.openxmlformats.org/officeDocument/2006/relationships/hyperlink" Target="https://www.holden-partners.co.uk/fees/" TargetMode="External"/><Relationship Id="rId780" Type="http://schemas.openxmlformats.org/officeDocument/2006/relationships/hyperlink" Target="http://www.ascotlloyd.co.uk/" TargetMode="External"/><Relationship Id="rId1217" Type="http://schemas.openxmlformats.org/officeDocument/2006/relationships/hyperlink" Target="https://markets.ft.com/data/funds/tearsheet/summary?s=GB00BFBFYQ25:GBP" TargetMode="External"/><Relationship Id="rId226" Type="http://schemas.openxmlformats.org/officeDocument/2006/relationships/hyperlink" Target="https://adelpfs.co.uk/fees-advice-costs/" TargetMode="External"/><Relationship Id="rId433" Type="http://schemas.openxmlformats.org/officeDocument/2006/relationships/hyperlink" Target="https://trulyifa.co.uk/wp-content/uploads/2026/01/TIPS-Magazine-JanFeb-2026.pdf" TargetMode="External"/><Relationship Id="rId878" Type="http://schemas.openxmlformats.org/officeDocument/2006/relationships/hyperlink" Target="https://www.titanwealthsolutions.com/terms-of-use/" TargetMode="External"/><Relationship Id="rId1063" Type="http://schemas.openxmlformats.org/officeDocument/2006/relationships/hyperlink" Target="https://www.ritewealth.co.uk/" TargetMode="External"/><Relationship Id="rId1270" Type="http://schemas.openxmlformats.org/officeDocument/2006/relationships/hyperlink" Target="https://markets.ft.com/data/funds/tearsheet/summary?s=GB00BFBFYQ25:GBP" TargetMode="External"/><Relationship Id="rId640" Type="http://schemas.openxmlformats.org/officeDocument/2006/relationships/hyperlink" Target="http://www.absolutewm.co.uk/" TargetMode="External"/><Relationship Id="rId738" Type="http://schemas.openxmlformats.org/officeDocument/2006/relationships/hyperlink" Target="https://www.macbethscottinvestments.co.uk/" TargetMode="External"/><Relationship Id="rId945" Type="http://schemas.openxmlformats.org/officeDocument/2006/relationships/hyperlink" Target="http://www.mpwealth.co.uk/" TargetMode="External"/><Relationship Id="rId74" Type="http://schemas.openxmlformats.org/officeDocument/2006/relationships/hyperlink" Target="https://find-and-update.company-information.service.gov.uk/company/02837635/filing-history" TargetMode="External"/><Relationship Id="rId377" Type="http://schemas.openxmlformats.org/officeDocument/2006/relationships/hyperlink" Target="https://find-and-update.company-information.service.gov.uk/company/13521233/filing-history" TargetMode="External"/><Relationship Id="rId500" Type="http://schemas.openxmlformats.org/officeDocument/2006/relationships/hyperlink" Target="https://find-and-update.company-information.service.gov.uk/company/04688919/filing-history" TargetMode="External"/><Relationship Id="rId584" Type="http://schemas.openxmlformats.org/officeDocument/2006/relationships/hyperlink" Target="https://find-and-update.company-information.service.gov.uk/company/02113065/filing-history" TargetMode="External"/><Relationship Id="rId805" Type="http://schemas.openxmlformats.org/officeDocument/2006/relationships/hyperlink" Target="https://find-and-update.company-information.service.gov.uk/company/OC436701/filing-history" TargetMode="External"/><Relationship Id="rId1130" Type="http://schemas.openxmlformats.org/officeDocument/2006/relationships/hyperlink" Target="https://markets.ft.com/data/funds/tearsheet/summary?s=GB00BFBFYQ25:GBP" TargetMode="External"/><Relationship Id="rId1228" Type="http://schemas.openxmlformats.org/officeDocument/2006/relationships/hyperlink" Target="https://markets.ft.com/data/funds/tearsheet/summary?s=GB00BFBFYQ25:GBP" TargetMode="External"/><Relationship Id="rId5" Type="http://schemas.openxmlformats.org/officeDocument/2006/relationships/hyperlink" Target="https://downloads.ctfassets.net/qqwro44pe5rn/1iT24gWOKDoRri9Jnd2gBb/fe595b97333915aae525d1b4882b9e5e/301000020_Law_Society_Services_and_Fees_Brochure_digital_v6_VA.pdf" TargetMode="External"/><Relationship Id="rId237" Type="http://schemas.openxmlformats.org/officeDocument/2006/relationships/hyperlink" Target="https://find-and-update.company-information.service.gov.uk/company/10975976/filing-history" TargetMode="External"/><Relationship Id="rId791" Type="http://schemas.openxmlformats.org/officeDocument/2006/relationships/hyperlink" Target="https://www.ifslfunds.com/funds/ifsl-ascot-lloyd-3?citicode=Q6KX" TargetMode="External"/><Relationship Id="rId889" Type="http://schemas.openxmlformats.org/officeDocument/2006/relationships/hyperlink" Target="https://www.csensefs.com/" TargetMode="External"/><Relationship Id="rId1074" Type="http://schemas.openxmlformats.org/officeDocument/2006/relationships/hyperlink" Target="https://www.stableinvestment.co.uk/" TargetMode="External"/><Relationship Id="rId444" Type="http://schemas.openxmlformats.org/officeDocument/2006/relationships/hyperlink" Target="https://wiseinvestment.co.uk/wp-content/uploads/2023/06/Fee-Schedule-July23.pdf" TargetMode="External"/><Relationship Id="rId651" Type="http://schemas.openxmlformats.org/officeDocument/2006/relationships/hyperlink" Target="https://find-and-update.company-information.service.gov.uk/company/11722983/filing-history" TargetMode="External"/><Relationship Id="rId749" Type="http://schemas.openxmlformats.org/officeDocument/2006/relationships/hyperlink" Target="https://www.baggette.co.uk/about/our-fees/" TargetMode="External"/><Relationship Id="rId1281" Type="http://schemas.openxmlformats.org/officeDocument/2006/relationships/hyperlink" Target="https://markets.ft.com/data/funds/tearsheet/summary?s=GB00BFBFYQ25:GBP" TargetMode="External"/><Relationship Id="rId290" Type="http://schemas.openxmlformats.org/officeDocument/2006/relationships/hyperlink" Target="https://www.pkfs.co.uk/about/how-we-charge/" TargetMode="External"/><Relationship Id="rId304" Type="http://schemas.openxmlformats.org/officeDocument/2006/relationships/hyperlink" Target="https://afm.org.uk/client-agreement/" TargetMode="External"/><Relationship Id="rId388" Type="http://schemas.openxmlformats.org/officeDocument/2006/relationships/hyperlink" Target="https://www.ludco.co.uk/" TargetMode="External"/><Relationship Id="rId511" Type="http://schemas.openxmlformats.org/officeDocument/2006/relationships/hyperlink" Target="https://www.evelyn.com/fees-charges/" TargetMode="External"/><Relationship Id="rId609" Type="http://schemas.openxmlformats.org/officeDocument/2006/relationships/hyperlink" Target="https://find-and-update.company-information.service.gov.uk/company/08049488/filing-history" TargetMode="External"/><Relationship Id="rId956" Type="http://schemas.openxmlformats.org/officeDocument/2006/relationships/hyperlink" Target="https://polariswealth.co.uk/fees/" TargetMode="External"/><Relationship Id="rId1141" Type="http://schemas.openxmlformats.org/officeDocument/2006/relationships/hyperlink" Target="https://markets.ft.com/data/funds/tearsheet/summary?s=GB00BFBFYQ25:GBP" TargetMode="External"/><Relationship Id="rId1239" Type="http://schemas.openxmlformats.org/officeDocument/2006/relationships/hyperlink" Target="https://markets.ft.com/data/funds/tearsheet/summary?s=GB00BFBFYQ25:GBP" TargetMode="External"/><Relationship Id="rId85" Type="http://schemas.openxmlformats.org/officeDocument/2006/relationships/hyperlink" Target="http://www.amberriver.com/" TargetMode="External"/><Relationship Id="rId150" Type="http://schemas.openxmlformats.org/officeDocument/2006/relationships/hyperlink" Target="http://www.tailoredfp.co.uk/" TargetMode="External"/><Relationship Id="rId595" Type="http://schemas.openxmlformats.org/officeDocument/2006/relationships/hyperlink" Target="https://www.miltonpj.net/our-charges/" TargetMode="External"/><Relationship Id="rId816" Type="http://schemas.openxmlformats.org/officeDocument/2006/relationships/hyperlink" Target="https://find-and-update.company-information.service.gov.uk/company/07808602/filing-history" TargetMode="External"/><Relationship Id="rId1001" Type="http://schemas.openxmlformats.org/officeDocument/2006/relationships/hyperlink" Target="https://juliemcgee.co.uk/" TargetMode="External"/><Relationship Id="rId248" Type="http://schemas.openxmlformats.org/officeDocument/2006/relationships/hyperlink" Target="https://find-and-update.company-information.service.gov.uk/company/10609552/filing-history" TargetMode="External"/><Relationship Id="rId455" Type="http://schemas.openxmlformats.org/officeDocument/2006/relationships/hyperlink" Target="https://www.aegon.co.uk/content/dam/auk/assets/publication/marketing-support/afp-overview-of-charges.pdf" TargetMode="External"/><Relationship Id="rId662" Type="http://schemas.openxmlformats.org/officeDocument/2006/relationships/hyperlink" Target="https://find-and-update.company-information.service.gov.uk/company/03730470/filing-history" TargetMode="External"/><Relationship Id="rId1085" Type="http://schemas.openxmlformats.org/officeDocument/2006/relationships/hyperlink" Target="https://www.abacusadvisers.co.uk/" TargetMode="External"/><Relationship Id="rId1292" Type="http://schemas.openxmlformats.org/officeDocument/2006/relationships/hyperlink" Target="https://markets.ft.com/data/funds/tearsheet/summary?s=GB00BFBFYQ25:GBP" TargetMode="External"/><Relationship Id="rId1306" Type="http://schemas.openxmlformats.org/officeDocument/2006/relationships/hyperlink" Target="https://markets.ft.com/data/funds/tearsheet/summary?s=GB00BFBFYQ25:GBP" TargetMode="External"/><Relationship Id="rId12" Type="http://schemas.openxmlformats.org/officeDocument/2006/relationships/hyperlink" Target="https://find-and-update.company-information.service.gov.uk/company/08590046" TargetMode="External"/><Relationship Id="rId108" Type="http://schemas.openxmlformats.org/officeDocument/2006/relationships/hyperlink" Target="http://www.jmfinn.com/" TargetMode="External"/><Relationship Id="rId315" Type="http://schemas.openxmlformats.org/officeDocument/2006/relationships/hyperlink" Target="https://bsandb.co.uk/how-we-work/" TargetMode="External"/><Relationship Id="rId522" Type="http://schemas.openxmlformats.org/officeDocument/2006/relationships/hyperlink" Target="https://www.fairstonegroup.co.uk/guide/fairstone-introduces-new-streamlined-client-proposition/?utm_source=copilot.com" TargetMode="External"/><Relationship Id="rId967" Type="http://schemas.openxmlformats.org/officeDocument/2006/relationships/hyperlink" Target="https://find-and-update.company-information.service.gov.uk/company/02943300/filing-history" TargetMode="External"/><Relationship Id="rId1152" Type="http://schemas.openxmlformats.org/officeDocument/2006/relationships/hyperlink" Target="https://markets.ft.com/data/funds/tearsheet/summary?s=GB00BFBFYQ25:GBP" TargetMode="External"/><Relationship Id="rId9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61" Type="http://schemas.openxmlformats.org/officeDocument/2006/relationships/hyperlink" Target="https://find-and-update.company-information.service.gov.uk/company/07383187/filing-history" TargetMode="External"/><Relationship Id="rId399" Type="http://schemas.openxmlformats.org/officeDocument/2006/relationships/hyperlink" Target="https://www.valu-trac.com/administration-services/clients/esprit/tb/VT%20Esprit%20Tactical%20Balanced%20-%20February%202026.pdf" TargetMode="External"/><Relationship Id="rId827" Type="http://schemas.openxmlformats.org/officeDocument/2006/relationships/hyperlink" Target="https://www.montgomeryep.co.uk/our-relationship/our-fees" TargetMode="External"/><Relationship Id="rId1012" Type="http://schemas.openxmlformats.org/officeDocument/2006/relationships/hyperlink" Target="https://simplymortgages.co.uk/" TargetMode="External"/><Relationship Id="rId25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466" Type="http://schemas.openxmlformats.org/officeDocument/2006/relationships/hyperlink" Target="https://www.belmayne-ifa.com/fees/" TargetMode="External"/><Relationship Id="rId673" Type="http://schemas.openxmlformats.org/officeDocument/2006/relationships/hyperlink" Target="https://www.westminster-wealth.com/" TargetMode="External"/><Relationship Id="rId880" Type="http://schemas.openxmlformats.org/officeDocument/2006/relationships/hyperlink" Target="https://find-and-update.company-information.service.gov.uk/company/05252645/filing-history" TargetMode="External"/><Relationship Id="rId1096" Type="http://schemas.openxmlformats.org/officeDocument/2006/relationships/hyperlink" Target="https://markets.ft.com/data/funds/tearsheet/summary?s=GB00BFBFYQ25:GBP" TargetMode="External"/><Relationship Id="rId1317" Type="http://schemas.openxmlformats.org/officeDocument/2006/relationships/hyperlink" Target="https://markets.ft.com/data/funds/tearsheet/summary?s=GB00BFBFYQ25:GBP" TargetMode="External"/><Relationship Id="rId23" Type="http://schemas.openxmlformats.org/officeDocument/2006/relationships/hyperlink" Target="https://humboldtfinancial.co.uk/pricing/" TargetMode="External"/><Relationship Id="rId119" Type="http://schemas.openxmlformats.org/officeDocument/2006/relationships/hyperlink" Target="https://goodmoneyguide.com/investing/wealth-management/?utm_source=copilot.com" TargetMode="External"/><Relationship Id="rId326" Type="http://schemas.openxmlformats.org/officeDocument/2006/relationships/hyperlink" Target="https://find-and-update.company-information.service.gov.uk/company/07880489/filing-history" TargetMode="External"/><Relationship Id="rId533" Type="http://schemas.openxmlformats.org/officeDocument/2006/relationships/hyperlink" Target="https://www.fidelity.co.uk/media/PI%20UK/pdf/fidelity-wealth-management-tob.pdf" TargetMode="External"/><Relationship Id="rId978" Type="http://schemas.openxmlformats.org/officeDocument/2006/relationships/hyperlink" Target="https://www.londonandcapital.com/?utm_medium=referral&amp;utm_source=financialadvisers.co.uk" TargetMode="External"/><Relationship Id="rId1163" Type="http://schemas.openxmlformats.org/officeDocument/2006/relationships/hyperlink" Target="https://markets.ft.com/data/funds/tearsheet/summary?s=GB00BFBFYQ25:GBP" TargetMode="External"/><Relationship Id="rId740" Type="http://schemas.openxmlformats.org/officeDocument/2006/relationships/hyperlink" Target="https://find-and-update.company-information.service.gov.uk/company/01144365/filing-history" TargetMode="External"/><Relationship Id="rId838" Type="http://schemas.openxmlformats.org/officeDocument/2006/relationships/hyperlink" Target="https://find-and-update.company-information.service.gov.uk/company/13122310/filing-history" TargetMode="External"/><Relationship Id="rId1023" Type="http://schemas.openxmlformats.org/officeDocument/2006/relationships/hyperlink" Target="http://www.barclays.com/" TargetMode="External"/><Relationship Id="rId172" Type="http://schemas.openxmlformats.org/officeDocument/2006/relationships/hyperlink" Target="https://imperialchartered.co.uk/costs-charges/" TargetMode="External"/><Relationship Id="rId477" Type="http://schemas.openxmlformats.org/officeDocument/2006/relationships/hyperlink" Target="http://www.blgwealth.com/" TargetMode="External"/><Relationship Id="rId600" Type="http://schemas.openxmlformats.org/officeDocument/2006/relationships/hyperlink" Target="https://www.natwest.com/investments/five-ready-made-funds.html" TargetMode="External"/><Relationship Id="rId684" Type="http://schemas.openxmlformats.org/officeDocument/2006/relationships/hyperlink" Target="https://find-and-update.company-information.service.gov.uk/company/SC544555/filing-history" TargetMode="External"/><Relationship Id="rId1230" Type="http://schemas.openxmlformats.org/officeDocument/2006/relationships/hyperlink" Target="https://markets.ft.com/data/funds/tearsheet/summary?s=GB00BFBFYQ25:GBP" TargetMode="External"/><Relationship Id="rId1328" Type="http://schemas.openxmlformats.org/officeDocument/2006/relationships/hyperlink" Target="https://markets.ft.com/data/funds/tearsheet/summary?s=GB00BFBFYQ25:GBP" TargetMode="External"/><Relationship Id="rId337" Type="http://schemas.openxmlformats.org/officeDocument/2006/relationships/hyperlink" Target="https://doc.morningstar.com/Document/bc8bb4d3cae483975e9b4291450e4b07.msdoc/?key=6d3ad7cced83e966eb033a99485759465b00047aee79de5f" TargetMode="External"/><Relationship Id="rId891" Type="http://schemas.openxmlformats.org/officeDocument/2006/relationships/hyperlink" Target="https://www.rathbones.com/saunderson%20-%20house%20-%20part%20-%20rathbones%20-%20group%20-%20plc" TargetMode="External"/><Relationship Id="rId905" Type="http://schemas.openxmlformats.org/officeDocument/2006/relationships/hyperlink" Target="https://find-and-update.company-information.service.gov.uk/company/OC390700/filing-history" TargetMode="External"/><Relationship Id="rId989" Type="http://schemas.openxmlformats.org/officeDocument/2006/relationships/hyperlink" Target="http://www.abovewealth.com/" TargetMode="External"/><Relationship Id="rId34" Type="http://schemas.openxmlformats.org/officeDocument/2006/relationships/hyperlink" Target="https://www.tamassetmanagement.com/data/uploads/factsheets/active-balanced-q4-2025.pdf" TargetMode="External"/><Relationship Id="rId544" Type="http://schemas.openxmlformats.org/officeDocument/2006/relationships/hyperlink" Target="https://find-and-update.company-information.service.gov.uk/company/03690206/filing-history" TargetMode="External"/><Relationship Id="rId751" Type="http://schemas.openxmlformats.org/officeDocument/2006/relationships/hyperlink" Target="https://www.v2vfp.co.uk/our-fees" TargetMode="External"/><Relationship Id="rId849" Type="http://schemas.openxmlformats.org/officeDocument/2006/relationships/hyperlink" Target="https://find-and-update.company-information.service.gov.uk/company/11580541" TargetMode="External"/><Relationship Id="rId1174" Type="http://schemas.openxmlformats.org/officeDocument/2006/relationships/hyperlink" Target="https://markets.ft.com/data/funds/tearsheet/summary?s=GB00BFBFYQ25:GBP" TargetMode="External"/><Relationship Id="rId183" Type="http://schemas.openxmlformats.org/officeDocument/2006/relationships/hyperlink" Target="https://www.backhouseifs.co.uk/services/fee-structure/" TargetMode="External"/><Relationship Id="rId390" Type="http://schemas.openxmlformats.org/officeDocument/2006/relationships/hyperlink" Target="https://find-and-update.company-information.service.gov.uk/company/06582775/filing-history" TargetMode="External"/><Relationship Id="rId404" Type="http://schemas.openxmlformats.org/officeDocument/2006/relationships/hyperlink" Target="https://www.valu-trac.com/administration-services/clients/esprit/tb/VT%20Esprit%20Tactical%20Balanced%20-%20February%202026.pdf" TargetMode="External"/><Relationship Id="rId611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1034" Type="http://schemas.openxmlformats.org/officeDocument/2006/relationships/hyperlink" Target="https://www.chaldonfoxassociates.co.uk/" TargetMode="External"/><Relationship Id="rId1241" Type="http://schemas.openxmlformats.org/officeDocument/2006/relationships/hyperlink" Target="https://markets.ft.com/data/funds/tearsheet/summary?s=GB00BFBFYQ25:GBP" TargetMode="External"/><Relationship Id="rId250" Type="http://schemas.openxmlformats.org/officeDocument/2006/relationships/hyperlink" Target="https://find-and-update.company-information.service.gov.uk/company/12638819/filing-history" TargetMode="External"/><Relationship Id="rId488" Type="http://schemas.openxmlformats.org/officeDocument/2006/relationships/hyperlink" Target="http://www.cotonfinancial.co.uk/" TargetMode="External"/><Relationship Id="rId695" Type="http://schemas.openxmlformats.org/officeDocument/2006/relationships/hyperlink" Target="http://www.modernmoney.co.uk/" TargetMode="External"/><Relationship Id="rId709" Type="http://schemas.openxmlformats.org/officeDocument/2006/relationships/hyperlink" Target="https://find-and-update.company-information.service.gov.uk/company/06979255/filing-history" TargetMode="External"/><Relationship Id="rId916" Type="http://schemas.openxmlformats.org/officeDocument/2006/relationships/hyperlink" Target="https://find-and-update.company-information.service.gov.uk/company/01723058" TargetMode="External"/><Relationship Id="rId1101" Type="http://schemas.openxmlformats.org/officeDocument/2006/relationships/hyperlink" Target="https://markets.ft.com/data/funds/tearsheet/summary?s=GB00BFBFYQ25:GBP" TargetMode="External"/><Relationship Id="rId45" Type="http://schemas.openxmlformats.org/officeDocument/2006/relationships/hyperlink" Target="http://www.amberriver.com/" TargetMode="External"/><Relationship Id="rId110" Type="http://schemas.openxmlformats.org/officeDocument/2006/relationships/hyperlink" Target="https://yealand.com/wp-content/uploads/2026/02/YFS-JM-Finn-Moderate-Portfolio-Class-A-Income.pdf" TargetMode="External"/><Relationship Id="rId348" Type="http://schemas.openxmlformats.org/officeDocument/2006/relationships/hyperlink" Target="https://find-and-update.company-information.service.gov.uk/company/04721726/filing-history" TargetMode="External"/><Relationship Id="rId555" Type="http://schemas.openxmlformats.org/officeDocument/2006/relationships/hyperlink" Target="https://www.hfmcwealth.com/wp-content/uploads/2025/02/HFMC-Important-Information-2025.pdf" TargetMode="External"/><Relationship Id="rId762" Type="http://schemas.openxmlformats.org/officeDocument/2006/relationships/hyperlink" Target="https://www.successionwealth.co.uk/about-us/our-fees" TargetMode="External"/><Relationship Id="rId1185" Type="http://schemas.openxmlformats.org/officeDocument/2006/relationships/hyperlink" Target="https://markets.ft.com/data/funds/tearsheet/summary?s=GB00BFBFYQ25:GBP" TargetMode="External"/><Relationship Id="rId194" Type="http://schemas.openxmlformats.org/officeDocument/2006/relationships/hyperlink" Target="https://www.begleybrown.co.uk/" TargetMode="External"/><Relationship Id="rId208" Type="http://schemas.openxmlformats.org/officeDocument/2006/relationships/hyperlink" Target="https://find-and-update.company-information.service.gov.uk/company/11236048/filing-history" TargetMode="External"/><Relationship Id="rId415" Type="http://schemas.openxmlformats.org/officeDocument/2006/relationships/hyperlink" Target="https://www.face-uk.com/" TargetMode="External"/><Relationship Id="rId622" Type="http://schemas.openxmlformats.org/officeDocument/2006/relationships/hyperlink" Target="https://find-and-update.company-information.service.gov.uk/company/05506637/filing-history" TargetMode="External"/><Relationship Id="rId1045" Type="http://schemas.openxmlformats.org/officeDocument/2006/relationships/hyperlink" Target="http://www.euro.capital/" TargetMode="External"/><Relationship Id="rId1252" Type="http://schemas.openxmlformats.org/officeDocument/2006/relationships/hyperlink" Target="https://markets.ft.com/data/funds/tearsheet/summary?s=GB00BFBFYQ25:GBP" TargetMode="External"/><Relationship Id="rId261" Type="http://schemas.openxmlformats.org/officeDocument/2006/relationships/hyperlink" Target="https://www.brewin.co.uk/wp-content/uploads/sites/10/2023/10/fees-brochure-charges.pdf" TargetMode="External"/><Relationship Id="rId499" Type="http://schemas.openxmlformats.org/officeDocument/2006/relationships/hyperlink" Target="https://www.estatecapital.co.uk/financial-charges/" TargetMode="External"/><Relationship Id="rId927" Type="http://schemas.openxmlformats.org/officeDocument/2006/relationships/hyperlink" Target="https://find-and-update.company-information.service.gov.uk/company/04454027/filing-history" TargetMode="External"/><Relationship Id="rId1112" Type="http://schemas.openxmlformats.org/officeDocument/2006/relationships/hyperlink" Target="https://markets.ft.com/data/funds/tearsheet/summary?s=GB00BFBFYQ25:GBP" TargetMode="External"/><Relationship Id="rId56" Type="http://schemas.openxmlformats.org/officeDocument/2006/relationships/hyperlink" Target="https://register.fca.org.uk/s/firm?id=001b000000MfI0DAAV" TargetMode="External"/><Relationship Id="rId359" Type="http://schemas.openxmlformats.org/officeDocument/2006/relationships/hyperlink" Target="https://find-and-update.company-information.service.gov.uk/company/11949169/filing-history" TargetMode="External"/><Relationship Id="rId566" Type="http://schemas.openxmlformats.org/officeDocument/2006/relationships/hyperlink" Target="https://find-and-update.company-information.service.gov.uk/company/03411108/filing-history" TargetMode="External"/><Relationship Id="rId773" Type="http://schemas.openxmlformats.org/officeDocument/2006/relationships/hyperlink" Target="https://abrdn.kurtosysweb.com/pdfs/F_STDR_en-GB-NN_GB00B632C647.pdf" TargetMode="External"/><Relationship Id="rId1196" Type="http://schemas.openxmlformats.org/officeDocument/2006/relationships/hyperlink" Target="https://markets.ft.com/data/funds/tearsheet/summary?s=GB00BFBFYQ25:GBP" TargetMode="External"/><Relationship Id="rId121" Type="http://schemas.openxmlformats.org/officeDocument/2006/relationships/hyperlink" Target="https://find-and-update.company-information.service.gov.uk/company/09516087/filing-history" TargetMode="External"/><Relationship Id="rId219" Type="http://schemas.openxmlformats.org/officeDocument/2006/relationships/hyperlink" Target="https://find-and-update.company-information.service.gov.uk/company/03920586/filing-history" TargetMode="External"/><Relationship Id="rId426" Type="http://schemas.openxmlformats.org/officeDocument/2006/relationships/hyperlink" Target="https://www.prismadvice.co.uk/%20%20Titan" TargetMode="External"/><Relationship Id="rId633" Type="http://schemas.openxmlformats.org/officeDocument/2006/relationships/hyperlink" Target="https://www.salisbury.co.uk/terms-resources/" TargetMode="External"/><Relationship Id="rId980" Type="http://schemas.openxmlformats.org/officeDocument/2006/relationships/hyperlink" Target="https://find-and-update.company-information.service.gov.uk/company/09498223/filing-history" TargetMode="External"/><Relationship Id="rId1056" Type="http://schemas.openxmlformats.org/officeDocument/2006/relationships/hyperlink" Target="https://shackletonadvisers.co.uk/why-were-different/fair-and-transparent-charges/" TargetMode="External"/><Relationship Id="rId1263" Type="http://schemas.openxmlformats.org/officeDocument/2006/relationships/hyperlink" Target="https://markets.ft.com/data/funds/tearsheet/summary?s=GB00BFBFYQ25:GBP" TargetMode="External"/><Relationship Id="rId840" Type="http://schemas.openxmlformats.org/officeDocument/2006/relationships/hyperlink" Target="https://find-and-update.company-information.service.gov.uk/company/10206285/filing-history" TargetMode="External"/><Relationship Id="rId938" Type="http://schemas.openxmlformats.org/officeDocument/2006/relationships/hyperlink" Target="https://www.callabas.com/fees/" TargetMode="External"/><Relationship Id="rId67" Type="http://schemas.openxmlformats.org/officeDocument/2006/relationships/hyperlink" Target="http://www.evanshart.co.uk/Client-Agreement.pdf" TargetMode="External"/><Relationship Id="rId272" Type="http://schemas.openxmlformats.org/officeDocument/2006/relationships/hyperlink" Target="https://careers.nfumutual.co.uk/what-you-could-be-doing/financial-advisers" TargetMode="External"/><Relationship Id="rId577" Type="http://schemas.openxmlformats.org/officeDocument/2006/relationships/hyperlink" Target="https://www.investing-ethically.co.uk/new-wordpress/wp-content/uploads/2024/01/investing-ethically-client-fee-agreement-v11-march-2023-st0072.pdf" TargetMode="External"/><Relationship Id="rId700" Type="http://schemas.openxmlformats.org/officeDocument/2006/relationships/hyperlink" Target="https://find-and-update.company-information.service.gov.uk/company/09493628/filing-history" TargetMode="External"/><Relationship Id="rId1123" Type="http://schemas.openxmlformats.org/officeDocument/2006/relationships/hyperlink" Target="https://markets.ft.com/data/funds/tearsheet/summary?s=GB00BFBFYQ25:GBP" TargetMode="External"/><Relationship Id="rId1330" Type="http://schemas.openxmlformats.org/officeDocument/2006/relationships/hyperlink" Target="https://markets.ft.com/data/funds/tearsheet/summary?s=GB00BFBFYQ25:GBP" TargetMode="External"/><Relationship Id="rId132" Type="http://schemas.openxmlformats.org/officeDocument/2006/relationships/hyperlink" Target="https://www.rootes.co.uk/" TargetMode="External"/><Relationship Id="rId784" Type="http://schemas.openxmlformats.org/officeDocument/2006/relationships/hyperlink" Target="https://www.ascotlloyd.co.uk/" TargetMode="External"/><Relationship Id="rId991" Type="http://schemas.openxmlformats.org/officeDocument/2006/relationships/hyperlink" Target="https://aibgb.co.uk/" TargetMode="External"/><Relationship Id="rId1067" Type="http://schemas.openxmlformats.org/officeDocument/2006/relationships/hyperlink" Target="https://www.mha.co.uk/" TargetMode="External"/><Relationship Id="rId437" Type="http://schemas.openxmlformats.org/officeDocument/2006/relationships/hyperlink" Target="https://wealthandtax.co.uk/our-fees/" TargetMode="External"/><Relationship Id="rId644" Type="http://schemas.openxmlformats.org/officeDocument/2006/relationships/hyperlink" Target="https://find-and-update.company-information.service.gov.uk/company/04479650/filing-history" TargetMode="External"/><Relationship Id="rId851" Type="http://schemas.openxmlformats.org/officeDocument/2006/relationships/hyperlink" Target="https://find-and-update.company-information.service.gov.uk/company/09088155/filing-history" TargetMode="External"/><Relationship Id="rId1274" Type="http://schemas.openxmlformats.org/officeDocument/2006/relationships/hyperlink" Target="https://markets.ft.com/data/funds/tearsheet/summary?s=GB00BFBFYQ25:GBP" TargetMode="External"/><Relationship Id="rId283" Type="http://schemas.openxmlformats.org/officeDocument/2006/relationships/hyperlink" Target="https://find-and-update.company-information.service.gov.uk/company/03485003/filing-history" TargetMode="External"/><Relationship Id="rId490" Type="http://schemas.openxmlformats.org/officeDocument/2006/relationships/hyperlink" Target="https://find-and-update.company-information.service.gov.uk/company/04538614/filing-history" TargetMode="External"/><Relationship Id="rId504" Type="http://schemas.openxmlformats.org/officeDocument/2006/relationships/hyperlink" Target="https://www.isio.com/solutions/financial-advisers/" TargetMode="External"/><Relationship Id="rId711" Type="http://schemas.openxmlformats.org/officeDocument/2006/relationships/hyperlink" Target="https://find-and-update.company-information.service.gov.uk/company/12571988/filing-history" TargetMode="External"/><Relationship Id="rId949" Type="http://schemas.openxmlformats.org/officeDocument/2006/relationships/hyperlink" Target="https://find-and-update.company-information.service.gov.uk/company/10722496/filing-history" TargetMode="External"/><Relationship Id="rId1134" Type="http://schemas.openxmlformats.org/officeDocument/2006/relationships/hyperlink" Target="https://markets.ft.com/data/funds/tearsheet/summary?s=GB00BFBFYQ25:GBP" TargetMode="External"/><Relationship Id="rId78" Type="http://schemas.openxmlformats.org/officeDocument/2006/relationships/hyperlink" Target="https://find-and-update.company-information.service.gov.uk/company/06458184/filing-history" TargetMode="External"/><Relationship Id="rId143" Type="http://schemas.openxmlformats.org/officeDocument/2006/relationships/hyperlink" Target="http://www.rgwifa.co.uk/" TargetMode="External"/><Relationship Id="rId350" Type="http://schemas.openxmlformats.org/officeDocument/2006/relationships/hyperlink" Target="https://gsigroup.co.uk/our-service-proposition/" TargetMode="External"/><Relationship Id="rId588" Type="http://schemas.openxmlformats.org/officeDocument/2006/relationships/hyperlink" Target="http://www.holbeinpartners.com/" TargetMode="External"/><Relationship Id="rId795" Type="http://schemas.openxmlformats.org/officeDocument/2006/relationships/hyperlink" Target="https://www.ascotlloyd.co.uk/our-service/fees/" TargetMode="External"/><Relationship Id="rId809" Type="http://schemas.openxmlformats.org/officeDocument/2006/relationships/hyperlink" Target="https://www.intelligentpensions.com/" TargetMode="External"/><Relationship Id="rId1201" Type="http://schemas.openxmlformats.org/officeDocument/2006/relationships/hyperlink" Target="https://markets.ft.com/data/funds/tearsheet/summary?s=GB00BFBFYQ25:GBP" TargetMode="External"/><Relationship Id="rId9" Type="http://schemas.openxmlformats.org/officeDocument/2006/relationships/hyperlink" Target="https://find-and-update.company-information.service.gov.uk/company/03878887/filing-history" TargetMode="External"/><Relationship Id="rId210" Type="http://schemas.openxmlformats.org/officeDocument/2006/relationships/hyperlink" Target="https://find-and-update.company-information.service.gov.uk/company/12132753/filing-history" TargetMode="External"/><Relationship Id="rId448" Type="http://schemas.openxmlformats.org/officeDocument/2006/relationships/hyperlink" Target="https://www.acumenfp.com/about-us/our-financial-planning-fees/" TargetMode="External"/><Relationship Id="rId655" Type="http://schemas.openxmlformats.org/officeDocument/2006/relationships/hyperlink" Target="https://www.spw.com/our-fees/" TargetMode="External"/><Relationship Id="rId862" Type="http://schemas.openxmlformats.org/officeDocument/2006/relationships/hyperlink" Target="https://find-and-update.company-information.service.gov.uk/company/00873463/filing-history" TargetMode="External"/><Relationship Id="rId1078" Type="http://schemas.openxmlformats.org/officeDocument/2006/relationships/hyperlink" Target="https://www.rosefinancialservices.co.uk/" TargetMode="External"/><Relationship Id="rId1285" Type="http://schemas.openxmlformats.org/officeDocument/2006/relationships/hyperlink" Target="https://markets.ft.com/data/funds/tearsheet/summary?s=GB00BFBFYQ25:GBP" TargetMode="External"/><Relationship Id="rId294" Type="http://schemas.openxmlformats.org/officeDocument/2006/relationships/hyperlink" Target="https://financialcaresolutions.co.uk/how-we-work/" TargetMode="External"/><Relationship Id="rId308" Type="http://schemas.openxmlformats.org/officeDocument/2006/relationships/hyperlink" Target="https://aspireonline.co.uk/sites/default/files/clients/130/0623-Client-Proposition.pdf" TargetMode="External"/><Relationship Id="rId515" Type="http://schemas.openxmlformats.org/officeDocument/2006/relationships/hyperlink" Target="https://www.evelyn.com/fees-charges/" TargetMode="External"/><Relationship Id="rId722" Type="http://schemas.openxmlformats.org/officeDocument/2006/relationships/hyperlink" Target="https://find-and-update.company-information.service.gov.uk/company/OC341149/filing-history" TargetMode="External"/><Relationship Id="rId1145" Type="http://schemas.openxmlformats.org/officeDocument/2006/relationships/hyperlink" Target="https://markets.ft.com/data/funds/tearsheet/summary?s=GB00BFBFYQ25:GBP" TargetMode="External"/><Relationship Id="rId89" Type="http://schemas.openxmlformats.org/officeDocument/2006/relationships/hyperlink" Target="http://www.amberriverchancery.com/" TargetMode="External"/><Relationship Id="rId154" Type="http://schemas.openxmlformats.org/officeDocument/2006/relationships/hyperlink" Target="https://altorfer.co.uk/wp-content/uploads/Client-Agreement.pdf" TargetMode="External"/><Relationship Id="rId361" Type="http://schemas.openxmlformats.org/officeDocument/2006/relationships/hyperlink" Target="https://hhfm.co.uk/our-fees/" TargetMode="External"/><Relationship Id="rId599" Type="http://schemas.openxmlformats.org/officeDocument/2006/relationships/hyperlink" Target="https://www.rbs.co.uk/content/dam/royal_bank_of_scotland/personal/current-accounts/documents/PersonalXandXPrivateXCurrentXAccountXTerms.pdf" TargetMode="External"/><Relationship Id="rId1005" Type="http://schemas.openxmlformats.org/officeDocument/2006/relationships/hyperlink" Target="https://mcdowellfs.com/" TargetMode="External"/><Relationship Id="rId1212" Type="http://schemas.openxmlformats.org/officeDocument/2006/relationships/hyperlink" Target="https://markets.ft.com/data/funds/tearsheet/summary?s=GB00BFBFYQ25:GBP" TargetMode="External"/><Relationship Id="rId459" Type="http://schemas.openxmlformats.org/officeDocument/2006/relationships/hyperlink" Target="http://www.affinityfinance.co.uk/" TargetMode="External"/><Relationship Id="rId666" Type="http://schemas.openxmlformats.org/officeDocument/2006/relationships/hyperlink" Target="https://www.truepotential.co.uk/our-fees/https:/www.truepotential.co.uk/our-fees/" TargetMode="External"/><Relationship Id="rId873" Type="http://schemas.openxmlformats.org/officeDocument/2006/relationships/hyperlink" Target="https://downloads.spw.com/public/Factsheets/FS-GB00BJRSQM30.pdf" TargetMode="External"/><Relationship Id="rId1089" Type="http://schemas.openxmlformats.org/officeDocument/2006/relationships/hyperlink" Target="https://www.marygoldandco.uk/" TargetMode="External"/><Relationship Id="rId1296" Type="http://schemas.openxmlformats.org/officeDocument/2006/relationships/hyperlink" Target="https://markets.ft.com/data/funds/tearsheet/summary?s=GB00BFBFYQ25:GBP" TargetMode="External"/><Relationship Id="rId16" Type="http://schemas.openxmlformats.org/officeDocument/2006/relationships/hyperlink" Target="https://doc.morningstar.com/Document/bc8bb4d3cae483975e9b4291450e4b07.msdoc/?key=6d3ad7cced83e966eb033a99485759465b00047aee79de5f" TargetMode="External"/><Relationship Id="rId221" Type="http://schemas.openxmlformats.org/officeDocument/2006/relationships/hyperlink" Target="https://www.ubp.com/uk" TargetMode="External"/><Relationship Id="rId319" Type="http://schemas.openxmlformats.org/officeDocument/2006/relationships/hyperlink" Target="https://cdn.simplyplatform.co.uk/wp-content/uploads/sites/322/2022/08/03102639/13363_-_Responsible_Wealth_Client_Brochure_v14_PR-20.7.22-compressed.pdf" TargetMode="External"/><Relationship Id="rId526" Type="http://schemas.openxmlformats.org/officeDocument/2006/relationships/hyperlink" Target="https://www.evelyn.com/fees-charges/" TargetMode="External"/><Relationship Id="rId1156" Type="http://schemas.openxmlformats.org/officeDocument/2006/relationships/hyperlink" Target="https://markets.ft.com/data/funds/tearsheet/summary?s=GB00BFBFYQ25:GBP" TargetMode="External"/><Relationship Id="rId733" Type="http://schemas.openxmlformats.org/officeDocument/2006/relationships/hyperlink" Target="https://mw-fs.com/" TargetMode="External"/><Relationship Id="rId940" Type="http://schemas.openxmlformats.org/officeDocument/2006/relationships/hyperlink" Target="https://waterbridgewealth.com/our-fees/" TargetMode="External"/><Relationship Id="rId1016" Type="http://schemas.openxmlformats.org/officeDocument/2006/relationships/hyperlink" Target="http://www.uk.kfh.com/" TargetMode="External"/><Relationship Id="rId165" Type="http://schemas.openxmlformats.org/officeDocument/2006/relationships/hyperlink" Target="http://www.cartlidgemorland.com/" TargetMode="External"/><Relationship Id="rId372" Type="http://schemas.openxmlformats.org/officeDocument/2006/relationships/hyperlink" Target="https://find-and-update.company-information.service.gov.uk/company/04371002/filing-history" TargetMode="External"/><Relationship Id="rId677" Type="http://schemas.openxmlformats.org/officeDocument/2006/relationships/hyperlink" Target="https://find-and-update.company-information.service.gov.uk/company/03445703/filing-history" TargetMode="External"/><Relationship Id="rId800" Type="http://schemas.openxmlformats.org/officeDocument/2006/relationships/hyperlink" Target="https://www.ascotlloyd.co.uk/our-service/fees/" TargetMode="External"/><Relationship Id="rId1223" Type="http://schemas.openxmlformats.org/officeDocument/2006/relationships/hyperlink" Target="https://markets.ft.com/data/funds/tearsheet/summary?s=GB00BFBFYQ25:GBP" TargetMode="External"/><Relationship Id="rId232" Type="http://schemas.openxmlformats.org/officeDocument/2006/relationships/hyperlink" Target="https://redwoodfinancial.co.uk/fees/" TargetMode="External"/><Relationship Id="rId884" Type="http://schemas.openxmlformats.org/officeDocument/2006/relationships/hyperlink" Target="https://www.charles-stanley-direct.co.uk/ViewFund?Sedol=BD89MH0%20&amp;Name=MI_Charles_Stanley_Multi_Asset_3_Moderate_" TargetMode="External"/><Relationship Id="rId27" Type="http://schemas.openxmlformats.org/officeDocument/2006/relationships/hyperlink" Target="https://find-and-update.company-information.service.gov.uk/company/OC415262/filing-history" TargetMode="External"/><Relationship Id="rId537" Type="http://schemas.openxmlformats.org/officeDocument/2006/relationships/hyperlink" Target="https://find-and-update.company-information.service.gov.uk/company/03029164/filing-history" TargetMode="External"/><Relationship Id="rId744" Type="http://schemas.openxmlformats.org/officeDocument/2006/relationships/hyperlink" Target="http://www.rosecut.com/" TargetMode="External"/><Relationship Id="rId951" Type="http://schemas.openxmlformats.org/officeDocument/2006/relationships/hyperlink" Target="http://www.chadwicks.co.uk/" TargetMode="External"/><Relationship Id="rId1167" Type="http://schemas.openxmlformats.org/officeDocument/2006/relationships/hyperlink" Target="https://markets.ft.com/data/funds/tearsheet/summary?s=GB00BFBFYQ25:GBP" TargetMode="External"/><Relationship Id="rId80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76" Type="http://schemas.openxmlformats.org/officeDocument/2006/relationships/hyperlink" Target="https://find-and-update.company-information.service.gov.uk/company/00818135/filing-history" TargetMode="External"/><Relationship Id="rId383" Type="http://schemas.openxmlformats.org/officeDocument/2006/relationships/hyperlink" Target="https://find-and-update.company-information.service.gov.uk/company/13205258/filing-history" TargetMode="External"/><Relationship Id="rId590" Type="http://schemas.openxmlformats.org/officeDocument/2006/relationships/hyperlink" Target="https://find-and-update.company-information.service.gov.uk/company/04732588/filing-history" TargetMode="External"/><Relationship Id="rId604" Type="http://schemas.openxmlformats.org/officeDocument/2006/relationships/hyperlink" Target="https://www.natwest.com/premier-banking/financial-advice/investment-advice.html" TargetMode="External"/><Relationship Id="rId811" Type="http://schemas.openxmlformats.org/officeDocument/2006/relationships/hyperlink" Target="https://find-and-update.company-information.service.gov.uk/company/SC107284/filing-history" TargetMode="External"/><Relationship Id="rId1027" Type="http://schemas.openxmlformats.org/officeDocument/2006/relationships/hyperlink" Target="http://www.cantabam.com/" TargetMode="External"/><Relationship Id="rId1234" Type="http://schemas.openxmlformats.org/officeDocument/2006/relationships/hyperlink" Target="https://markets.ft.com/data/funds/tearsheet/summary?s=GB00BFBFYQ25:GBP" TargetMode="External"/><Relationship Id="rId243" Type="http://schemas.openxmlformats.org/officeDocument/2006/relationships/hyperlink" Target="https://www.mkfa.co.uk/fees" TargetMode="External"/><Relationship Id="rId450" Type="http://schemas.openxmlformats.org/officeDocument/2006/relationships/hyperlink" Target="https://www.nationwide.co.uk/" TargetMode="External"/><Relationship Id="rId688" Type="http://schemas.openxmlformats.org/officeDocument/2006/relationships/hyperlink" Target="https://find-and-update.company-information.service.gov.uk/company/04759951/filing-history" TargetMode="External"/><Relationship Id="rId895" Type="http://schemas.openxmlformats.org/officeDocument/2006/relationships/hyperlink" Target="https://www.rathbones.com/en-gb/asset-management/individual-investor/fund-centre?utm_source=copilot.com" TargetMode="External"/><Relationship Id="rId909" Type="http://schemas.openxmlformats.org/officeDocument/2006/relationships/hyperlink" Target="https://www.abacuswealthplanning.com/" TargetMode="External"/><Relationship Id="rId1080" Type="http://schemas.openxmlformats.org/officeDocument/2006/relationships/hyperlink" Target="https://www.shackletonadvisers.co.uk/" TargetMode="External"/><Relationship Id="rId1301" Type="http://schemas.openxmlformats.org/officeDocument/2006/relationships/hyperlink" Target="https://markets.ft.com/data/funds/tearsheet/summary?s=GB00BFBFYQ25:GBP" TargetMode="External"/><Relationship Id="rId38" Type="http://schemas.openxmlformats.org/officeDocument/2006/relationships/hyperlink" Target="https://www.amberriver.com/midlands" TargetMode="External"/><Relationship Id="rId103" Type="http://schemas.openxmlformats.org/officeDocument/2006/relationships/hyperlink" Target="https://find-and-update.company-information.service.gov.uk/company/11283101/filing-history" TargetMode="External"/><Relationship Id="rId310" Type="http://schemas.openxmlformats.org/officeDocument/2006/relationships/hyperlink" Target="https://atawny.co.uk/wp-content/uploads/2024/09/Aaron-Tawny-Transparent-Approach-17.9.24.pdf" TargetMode="External"/><Relationship Id="rId548" Type="http://schemas.openxmlformats.org/officeDocument/2006/relationships/hyperlink" Target="https://register.fca.org.uk/s/firm?id=001b000000MfFfKAAV" TargetMode="External"/><Relationship Id="rId755" Type="http://schemas.openxmlformats.org/officeDocument/2006/relationships/hyperlink" Target="https://www.homecroftwealth.co.uk/" TargetMode="External"/><Relationship Id="rId962" Type="http://schemas.openxmlformats.org/officeDocument/2006/relationships/hyperlink" Target="https://luminwealth.co.uk/value-of-our-expertise/" TargetMode="External"/><Relationship Id="rId1178" Type="http://schemas.openxmlformats.org/officeDocument/2006/relationships/hyperlink" Target="https://markets.ft.com/data/funds/tearsheet/summary?s=GB00BFBFYQ25:GBP" TargetMode="External"/><Relationship Id="rId91" Type="http://schemas.openxmlformats.org/officeDocument/2006/relationships/hyperlink" Target="https://find-and-update.company-information.service.gov.uk/company/OC388382/filing-history" TargetMode="External"/><Relationship Id="rId187" Type="http://schemas.openxmlformats.org/officeDocument/2006/relationships/hyperlink" Target="https://find-and-update.company-information.service.gov.uk/company/07101143/filing-history" TargetMode="External"/><Relationship Id="rId394" Type="http://schemas.openxmlformats.org/officeDocument/2006/relationships/hyperlink" Target="https://www.valu-trac.com/administration-services/clients/esprit/tb/VT%20Esprit%20Tactical%20Balanced%20-%20February%202026.pdf" TargetMode="External"/><Relationship Id="rId408" Type="http://schemas.openxmlformats.org/officeDocument/2006/relationships/hyperlink" Target="https://www.valu-trac.com/administration-services/clients/esprit/tb/VT%20Esprit%20Tactical%20Balanced%20-%20February%202026.pdf" TargetMode="External"/><Relationship Id="rId615" Type="http://schemas.openxmlformats.org/officeDocument/2006/relationships/hyperlink" Target="https://www.quilter.com/" TargetMode="External"/><Relationship Id="rId822" Type="http://schemas.openxmlformats.org/officeDocument/2006/relationships/hyperlink" Target="https://www.privatebank.citibank.com/ivc/docs/cpwm-regulation-best-interest.pdf" TargetMode="External"/><Relationship Id="rId1038" Type="http://schemas.openxmlformats.org/officeDocument/2006/relationships/hyperlink" Target="http://www.delaunaywealth.com/" TargetMode="External"/><Relationship Id="rId1245" Type="http://schemas.openxmlformats.org/officeDocument/2006/relationships/hyperlink" Target="https://markets.ft.com/data/funds/tearsheet/summary?s=GB00BFBFYQ25:GBP" TargetMode="External"/><Relationship Id="rId254" Type="http://schemas.openxmlformats.org/officeDocument/2006/relationships/hyperlink" Target="https://www.herbertscott.co.uk/" TargetMode="External"/><Relationship Id="rId699" Type="http://schemas.openxmlformats.org/officeDocument/2006/relationships/hyperlink" Target="https://www.netwealth.com/about/fees/" TargetMode="External"/><Relationship Id="rId1091" Type="http://schemas.openxmlformats.org/officeDocument/2006/relationships/hyperlink" Target="https://www.tyburnam.co.uk/" TargetMode="External"/><Relationship Id="rId1105" Type="http://schemas.openxmlformats.org/officeDocument/2006/relationships/hyperlink" Target="https://markets.ft.com/data/funds/tearsheet/summary?s=GB00BFBFYQ25:GBP" TargetMode="External"/><Relationship Id="rId1312" Type="http://schemas.openxmlformats.org/officeDocument/2006/relationships/hyperlink" Target="https://markets.ft.com/data/funds/tearsheet/summary?s=GB00BFBFYQ25:GBP" TargetMode="External"/><Relationship Id="rId4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14" Type="http://schemas.openxmlformats.org/officeDocument/2006/relationships/hyperlink" Target="http://www.piawm.net/" TargetMode="External"/><Relationship Id="rId461" Type="http://schemas.openxmlformats.org/officeDocument/2006/relationships/hyperlink" Target="https://www.affinityfinance.co.uk/CSA.pdf" TargetMode="External"/><Relationship Id="rId559" Type="http://schemas.openxmlformats.org/officeDocument/2006/relationships/hyperlink" Target="https://www.hfmcwealth.com/wp-content/uploads/2025/02/HFMC-Important-Information-2025.pdf" TargetMode="External"/><Relationship Id="rId766" Type="http://schemas.openxmlformats.org/officeDocument/2006/relationships/hyperlink" Target="https://find-and-update.company-information.service.gov.uk/company/07584487/filing-history" TargetMode="External"/><Relationship Id="rId1189" Type="http://schemas.openxmlformats.org/officeDocument/2006/relationships/hyperlink" Target="https://markets.ft.com/data/funds/tearsheet/summary?s=GB00BFBFYQ25:GBP" TargetMode="External"/><Relationship Id="rId198" Type="http://schemas.openxmlformats.org/officeDocument/2006/relationships/hyperlink" Target="https://www.capw.co.uk/fees" TargetMode="External"/><Relationship Id="rId321" Type="http://schemas.openxmlformats.org/officeDocument/2006/relationships/hyperlink" Target="http://www.maskellmoss.co.uk/%20Attivo" TargetMode="External"/><Relationship Id="rId419" Type="http://schemas.openxmlformats.org/officeDocument/2006/relationships/hyperlink" Target="https://titanpi.co.uk/wp-content/uploads/2026/01/Platform-Terms-of-Business.pdf" TargetMode="External"/><Relationship Id="rId626" Type="http://schemas.openxmlformats.org/officeDocument/2006/relationships/hyperlink" Target="https://www.rdsfinancial.co.uk/sites/rdsfinancial/files/2023-08/RDS-Terms-May-23.pdf" TargetMode="External"/><Relationship Id="rId973" Type="http://schemas.openxmlformats.org/officeDocument/2006/relationships/hyperlink" Target="https://www.howardwright.co.uk/what-we-do-how-we-charge/" TargetMode="External"/><Relationship Id="rId1049" Type="http://schemas.openxmlformats.org/officeDocument/2006/relationships/hyperlink" Target="https://www.gnoscofp.com/" TargetMode="External"/><Relationship Id="rId1256" Type="http://schemas.openxmlformats.org/officeDocument/2006/relationships/hyperlink" Target="https://markets.ft.com/data/funds/tearsheet/summary?s=GB00BFBFYQ25:GBP" TargetMode="External"/><Relationship Id="rId833" Type="http://schemas.openxmlformats.org/officeDocument/2006/relationships/hyperlink" Target="https://find-and-update.company-information.service.gov.uk/company/08716953/filing-history" TargetMode="External"/><Relationship Id="rId1116" Type="http://schemas.openxmlformats.org/officeDocument/2006/relationships/hyperlink" Target="https://markets.ft.com/data/funds/tearsheet/summary?s=GB00BFBFYQ25:GBP" TargetMode="External"/><Relationship Id="rId265" Type="http://schemas.openxmlformats.org/officeDocument/2006/relationships/hyperlink" Target="https://www.charles-stanley-direct.co.uk/InvestmentSearch/Search?SearchText=Charles%20Stanley%20Multi-Asset%20Moderate%20Fund&amp;_gl=1*2ypi3r*_gcl_au*MTY4NzQ3MjQwLjE3NzMyNjU5MDI.*_ga*MTY4NTI3NzgxNS4xNzY1MjM0NjY5*_ga_3VR54ETYY8*czE3NzMyNjU5MDEkbzIkZzAkdDE3NzM" TargetMode="External"/><Relationship Id="rId472" Type="http://schemas.openxmlformats.org/officeDocument/2006/relationships/hyperlink" Target="https://www.benchmarkcapital.co.uk/en-gb/uk/individual/process-and-costs/" TargetMode="External"/><Relationship Id="rId900" Type="http://schemas.openxmlformats.org/officeDocument/2006/relationships/hyperlink" Target="https://cdn.mediavalet.com/eunl/equilibrium/1RhYNvw3zEShfBf12GUS0Q/OaHqL1loxEaQzvJpM4R1qA/Original/Retail%20Client%20Agreement%20-%20May%202022.pdf" TargetMode="External"/><Relationship Id="rId1323" Type="http://schemas.openxmlformats.org/officeDocument/2006/relationships/hyperlink" Target="https://markets.ft.com/data/funds/tearsheet/summary?s=GB00BFBFYQ25:GBP" TargetMode="External"/><Relationship Id="rId125" Type="http://schemas.openxmlformats.org/officeDocument/2006/relationships/hyperlink" Target="https://find-and-update.company-information.service.gov.uk/company/09516087/filing-history" TargetMode="External"/><Relationship Id="rId332" Type="http://schemas.openxmlformats.org/officeDocument/2006/relationships/hyperlink" Target="https://markets.ft.com/data/funds/tearsheet/summary?s=LU2594915410:USD" TargetMode="External"/><Relationship Id="rId777" Type="http://schemas.openxmlformats.org/officeDocument/2006/relationships/hyperlink" Target="https://www.ascotlloyd.co.uk/our-service/fees/" TargetMode="External"/><Relationship Id="rId984" Type="http://schemas.openxmlformats.org/officeDocument/2006/relationships/hyperlink" Target="https://www.fulcrum.london/%20insightifa." TargetMode="External"/><Relationship Id="rId637" Type="http://schemas.openxmlformats.org/officeDocument/2006/relationships/hyperlink" Target="https://find-and-update.company-information.service.gov.uk/company/02294747/filing-history" TargetMode="External"/><Relationship Id="rId844" Type="http://schemas.openxmlformats.org/officeDocument/2006/relationships/hyperlink" Target="https://www.pyrfordfp.com/our-fees" TargetMode="External"/><Relationship Id="rId1267" Type="http://schemas.openxmlformats.org/officeDocument/2006/relationships/hyperlink" Target="https://markets.ft.com/data/funds/tearsheet/summary?s=GB00BFBFYQ25:GBP" TargetMode="External"/><Relationship Id="rId276" Type="http://schemas.openxmlformats.org/officeDocument/2006/relationships/hyperlink" Target="https://www.pifinancial.co.uk/" TargetMode="External"/><Relationship Id="rId483" Type="http://schemas.openxmlformats.org/officeDocument/2006/relationships/hyperlink" Target="http://www.cockburnlucas.co.uk/" TargetMode="External"/><Relationship Id="rId690" Type="http://schemas.openxmlformats.org/officeDocument/2006/relationships/hyperlink" Target="https://www.med-ex.co.uk/" TargetMode="External"/><Relationship Id="rId704" Type="http://schemas.openxmlformats.org/officeDocument/2006/relationships/hyperlink" Target="https://ospreywealth.co.uk/approach/" TargetMode="External"/><Relationship Id="rId911" Type="http://schemas.openxmlformats.org/officeDocument/2006/relationships/hyperlink" Target="https://www.abacuswealthplanning.com/AWP-Our-Services.pdf" TargetMode="External"/><Relationship Id="rId1127" Type="http://schemas.openxmlformats.org/officeDocument/2006/relationships/hyperlink" Target="https://markets.ft.com/data/funds/tearsheet/summary?s=GB00BFBFYQ25:GBP" TargetMode="External"/><Relationship Id="rId40" Type="http://schemas.openxmlformats.org/officeDocument/2006/relationships/hyperlink" Target="https://find-and-update.company-information.service.gov.uk/company/02190964/filing-history" TargetMode="External"/><Relationship Id="rId136" Type="http://schemas.openxmlformats.org/officeDocument/2006/relationships/hyperlink" Target="https://www.cheethamjackson.com/what-we-do/our-fees/" TargetMode="External"/><Relationship Id="rId343" Type="http://schemas.openxmlformats.org/officeDocument/2006/relationships/hyperlink" Target="https://find-and-update.company-information.service.gov.uk/company/04384956/filing-history" TargetMode="External"/><Relationship Id="rId550" Type="http://schemas.openxmlformats.org/officeDocument/2006/relationships/hyperlink" Target="https://find-and-update.company-information.service.gov.uk/company/04448384/filing-history" TargetMode="External"/><Relationship Id="rId788" Type="http://schemas.openxmlformats.org/officeDocument/2006/relationships/hyperlink" Target="http://www.ascotlloyd.co.uk/" TargetMode="External"/><Relationship Id="rId995" Type="http://schemas.openxmlformats.org/officeDocument/2006/relationships/hyperlink" Target="https://huntercapital.co.uk/" TargetMode="External"/><Relationship Id="rId1180" Type="http://schemas.openxmlformats.org/officeDocument/2006/relationships/hyperlink" Target="https://markets.ft.com/data/funds/tearsheet/summary?s=GB00BFBFYQ25:GBP" TargetMode="External"/><Relationship Id="rId203" Type="http://schemas.openxmlformats.org/officeDocument/2006/relationships/hyperlink" Target="https://find-and-update.company-information.service.gov.uk/company/10376509/filing-history" TargetMode="External"/><Relationship Id="rId648" Type="http://schemas.openxmlformats.org/officeDocument/2006/relationships/hyperlink" Target="https://downloads.spw.com/public/Factsheets/FS-GB00BJRSQM30.pdf" TargetMode="External"/><Relationship Id="rId855" Type="http://schemas.openxmlformats.org/officeDocument/2006/relationships/hyperlink" Target="https://dartingtonwealth.co.uk/our-services-fees/" TargetMode="External"/><Relationship Id="rId1040" Type="http://schemas.openxmlformats.org/officeDocument/2006/relationships/hyperlink" Target="https://find-and-update.company-information.service.gov.uk/company/08107472/filing-history" TargetMode="External"/><Relationship Id="rId1278" Type="http://schemas.openxmlformats.org/officeDocument/2006/relationships/hyperlink" Target="https://markets.ft.com/data/funds/tearsheet/summary?s=GB00BFBFYQ25:GBP" TargetMode="External"/><Relationship Id="rId287" Type="http://schemas.openxmlformats.org/officeDocument/2006/relationships/hyperlink" Target="https://find-and-update.company-information.service.gov.uk/company/13162956/filing-history" TargetMode="External"/><Relationship Id="rId410" Type="http://schemas.openxmlformats.org/officeDocument/2006/relationships/hyperlink" Target="https://find-and-update.company-information.service.gov.uk/company/OC398850/filing-history" TargetMode="External"/><Relationship Id="rId494" Type="http://schemas.openxmlformats.org/officeDocument/2006/relationships/hyperlink" Target="https://find-and-update.company-information.service.gov.uk/company/05288526/filing-history" TargetMode="External"/><Relationship Id="rId508" Type="http://schemas.openxmlformats.org/officeDocument/2006/relationships/hyperlink" Target="https://systemviewer.kiihub.com/documents/SMIT/G1OB_UnitedKingdom_EN-GB.pdf" TargetMode="External"/><Relationship Id="rId715" Type="http://schemas.openxmlformats.org/officeDocument/2006/relationships/hyperlink" Target="https://find-and-update.company-information.service.gov.uk/company/04985940/filing-history" TargetMode="External"/><Relationship Id="rId922" Type="http://schemas.openxmlformats.org/officeDocument/2006/relationships/hyperlink" Target="https://www.sjp.co.uk/sites/sjp-corp/files/SJP/our-charges/SJPCAT15600_DS_B5_Annual_Charges_Document_RGB_Online.pdf" TargetMode="External"/><Relationship Id="rId1138" Type="http://schemas.openxmlformats.org/officeDocument/2006/relationships/hyperlink" Target="https://markets.ft.com/data/funds/tearsheet/summary?s=GB00BFBFYQ25:GBP" TargetMode="External"/><Relationship Id="rId147" Type="http://schemas.openxmlformats.org/officeDocument/2006/relationships/hyperlink" Target="https://www.pfaoffice.co.uk/investment/" TargetMode="External"/><Relationship Id="rId354" Type="http://schemas.openxmlformats.org/officeDocument/2006/relationships/hyperlink" Target="https://find-and-update.company-information.service.gov.uk/company/05884747/filing-history" TargetMode="External"/><Relationship Id="rId799" Type="http://schemas.openxmlformats.org/officeDocument/2006/relationships/hyperlink" Target="https://register.fca.org.uk/s/firm?id=0010X000046DIxEQAW" TargetMode="External"/><Relationship Id="rId1191" Type="http://schemas.openxmlformats.org/officeDocument/2006/relationships/hyperlink" Target="https://markets.ft.com/data/funds/tearsheet/summary?s=GB00BFBFYQ25:GBP" TargetMode="External"/><Relationship Id="rId1205" Type="http://schemas.openxmlformats.org/officeDocument/2006/relationships/hyperlink" Target="https://markets.ft.com/data/funds/tearsheet/summary?s=GB00BFBFYQ25:GBP" TargetMode="External"/><Relationship Id="rId51" Type="http://schemas.openxmlformats.org/officeDocument/2006/relationships/hyperlink" Target="https://www.amberriver.com/midlands" TargetMode="External"/><Relationship Id="rId561" Type="http://schemas.openxmlformats.org/officeDocument/2006/relationships/hyperlink" Target="https://www.hfmcwealth.com/wp-content/uploads/2025/02/HFMC-Important-Information-2025.pdf" TargetMode="External"/><Relationship Id="rId659" Type="http://schemas.openxmlformats.org/officeDocument/2006/relationships/hyperlink" Target="https://find-and-update.company-information.service.gov.uk/company/04390539/filing-history" TargetMode="External"/><Relationship Id="rId866" Type="http://schemas.openxmlformats.org/officeDocument/2006/relationships/hyperlink" Target="https://www.cervellofp.co.uk/pricing/" TargetMode="External"/><Relationship Id="rId1289" Type="http://schemas.openxmlformats.org/officeDocument/2006/relationships/hyperlink" Target="https://markets.ft.com/data/funds/tearsheet/summary?s=GB00BFBFYQ25:GBP" TargetMode="External"/><Relationship Id="rId214" Type="http://schemas.openxmlformats.org/officeDocument/2006/relationships/hyperlink" Target="https://find-and-update.company-information.service.gov.uk/company/02947466/filing-history" TargetMode="External"/><Relationship Id="rId298" Type="http://schemas.openxmlformats.org/officeDocument/2006/relationships/hyperlink" Target="http://aspireonline.co.uk/sites/default/files/clients/130/0623-Client-Proposition.pdf" TargetMode="External"/><Relationship Id="rId421" Type="http://schemas.openxmlformats.org/officeDocument/2006/relationships/hyperlink" Target="https://find-and-update.company-information.service.gov.uk/company/14426688/filing-history" TargetMode="External"/><Relationship Id="rId519" Type="http://schemas.openxmlformats.org/officeDocument/2006/relationships/hyperlink" Target="https://www.evelyn.com/fees-charges/" TargetMode="External"/><Relationship Id="rId1051" Type="http://schemas.openxmlformats.org/officeDocument/2006/relationships/hyperlink" Target="https://optimumpath.co.uk/fees/" TargetMode="External"/><Relationship Id="rId1149" Type="http://schemas.openxmlformats.org/officeDocument/2006/relationships/hyperlink" Target="https://markets.ft.com/data/funds/tearsheet/summary?s=GB00BFBFYQ25:GBP" TargetMode="External"/><Relationship Id="rId158" Type="http://schemas.openxmlformats.org/officeDocument/2006/relationships/hyperlink" Target="https://find-and-update.company-information.service.gov.uk/company/04494355/filing-history" TargetMode="External"/><Relationship Id="rId726" Type="http://schemas.openxmlformats.org/officeDocument/2006/relationships/hyperlink" Target="https://find-and-update.company-information.service.gov.uk/company/05957611/filing-history" TargetMode="External"/><Relationship Id="rId933" Type="http://schemas.openxmlformats.org/officeDocument/2006/relationships/hyperlink" Target="https://find-and-update.company-information.service.gov.uk/company/04454027/filing-history" TargetMode="External"/><Relationship Id="rId1009" Type="http://schemas.openxmlformats.org/officeDocument/2006/relationships/hyperlink" Target="https://trinitycapitalpartners.co.uk/" TargetMode="External"/><Relationship Id="rId62" Type="http://schemas.openxmlformats.org/officeDocument/2006/relationships/hyperlink" Target="http://www.amberriver.com/" TargetMode="External"/><Relationship Id="rId365" Type="http://schemas.openxmlformats.org/officeDocument/2006/relationships/hyperlink" Target="https://find-and-update.company-information.service.gov.uk/company/04648936/filing-history" TargetMode="External"/><Relationship Id="rId572" Type="http://schemas.openxmlformats.org/officeDocument/2006/relationships/hyperlink" Target="https://find-and-update.company-information.service.gov.uk/company/OC362121/filing-history" TargetMode="External"/><Relationship Id="rId1216" Type="http://schemas.openxmlformats.org/officeDocument/2006/relationships/hyperlink" Target="https://markets.ft.com/data/funds/tearsheet/summary?s=GB00BFBFYQ25:GBP" TargetMode="External"/><Relationship Id="rId225" Type="http://schemas.openxmlformats.org/officeDocument/2006/relationships/hyperlink" Target="https://find-and-update.company-information.service.gov.uk/company/08061496/filing-history" TargetMode="External"/><Relationship Id="rId432" Type="http://schemas.openxmlformats.org/officeDocument/2006/relationships/hyperlink" Target="https://www.trulyifa.co.uk/" TargetMode="External"/><Relationship Id="rId877" Type="http://schemas.openxmlformats.org/officeDocument/2006/relationships/hyperlink" Target="https://whitman.co.uk/" TargetMode="External"/><Relationship Id="rId1062" Type="http://schemas.openxmlformats.org/officeDocument/2006/relationships/hyperlink" Target="https://www.kymin.co.uk/" TargetMode="External"/><Relationship Id="rId737" Type="http://schemas.openxmlformats.org/officeDocument/2006/relationships/hyperlink" Target="https://find-and-update.company-information.service.gov.uk/company/OC310023/filing-history" TargetMode="External"/><Relationship Id="rId944" Type="http://schemas.openxmlformats.org/officeDocument/2006/relationships/hyperlink" Target="https://find-and-update.company-information.service.gov.uk/company/OC382849/filing-history" TargetMode="External"/><Relationship Id="rId73" Type="http://schemas.openxmlformats.org/officeDocument/2006/relationships/hyperlink" Target="https://www.tamassetmanagement.com/data/uploads/factsheets/active-balanced-q4-2025.pdf" TargetMode="External"/><Relationship Id="rId169" Type="http://schemas.openxmlformats.org/officeDocument/2006/relationships/hyperlink" Target="https://tfp-fp.com/costs/" TargetMode="External"/><Relationship Id="rId376" Type="http://schemas.openxmlformats.org/officeDocument/2006/relationships/hyperlink" Target="https://missionfinancial.co.uk/wp-content/uploads/2025/12/mission-fees-table-pdf.pdf" TargetMode="External"/><Relationship Id="rId583" Type="http://schemas.openxmlformats.org/officeDocument/2006/relationships/hyperlink" Target="https://www.keyte.co/services/fees-and-charges" TargetMode="External"/><Relationship Id="rId790" Type="http://schemas.openxmlformats.org/officeDocument/2006/relationships/hyperlink" Target="https://www.ascotlloyd.co.uk/our-service/fees/" TargetMode="External"/><Relationship Id="rId804" Type="http://schemas.openxmlformats.org/officeDocument/2006/relationships/hyperlink" Target="https://www.empowerpartners.co.uk/our-fees" TargetMode="External"/><Relationship Id="rId1227" Type="http://schemas.openxmlformats.org/officeDocument/2006/relationships/hyperlink" Target="https://markets.ft.com/data/funds/tearsheet/summary?s=GB00BFBFYQ25:GBP" TargetMode="External"/><Relationship Id="rId4" Type="http://schemas.openxmlformats.org/officeDocument/2006/relationships/hyperlink" Target="http://www.lsnifa.com/" TargetMode="External"/><Relationship Id="rId236" Type="http://schemas.openxmlformats.org/officeDocument/2006/relationships/hyperlink" Target="https://www.belvederewm.com/fees" TargetMode="External"/><Relationship Id="rId443" Type="http://schemas.openxmlformats.org/officeDocument/2006/relationships/hyperlink" Target="https://find-and-update.company-information.service.gov.uk/company/07907502/filing-history" TargetMode="External"/><Relationship Id="rId650" Type="http://schemas.openxmlformats.org/officeDocument/2006/relationships/hyperlink" Target="https://www.spw.com/our-fees/" TargetMode="External"/><Relationship Id="rId888" Type="http://schemas.openxmlformats.org/officeDocument/2006/relationships/hyperlink" Target="https://www.shieldswp.co.uk/information/general/" TargetMode="External"/><Relationship Id="rId1073" Type="http://schemas.openxmlformats.org/officeDocument/2006/relationships/hyperlink" Target="https://www.octavefinancial.co.uk/" TargetMode="External"/><Relationship Id="rId1280" Type="http://schemas.openxmlformats.org/officeDocument/2006/relationships/hyperlink" Target="https://markets.ft.com/data/funds/tearsheet/summary?s=GB00BFBFYQ25:GBP" TargetMode="External"/><Relationship Id="rId303" Type="http://schemas.openxmlformats.org/officeDocument/2006/relationships/hyperlink" Target="https://find-and-update.company-information.service.gov.uk/company/03044873/filing-history" TargetMode="External"/><Relationship Id="rId748" Type="http://schemas.openxmlformats.org/officeDocument/2006/relationships/hyperlink" Target="https://find-and-update.company-information.service.gov.uk/company/05893692/filing-history" TargetMode="External"/><Relationship Id="rId955" Type="http://schemas.openxmlformats.org/officeDocument/2006/relationships/hyperlink" Target="https://find-and-update.company-information.service.gov.uk/company/07121119/filing-history" TargetMode="External"/><Relationship Id="rId1140" Type="http://schemas.openxmlformats.org/officeDocument/2006/relationships/hyperlink" Target="https://markets.ft.com/data/funds/tearsheet/summary?s=GB00BFBFYQ25:GBP" TargetMode="External"/><Relationship Id="rId84" Type="http://schemas.openxmlformats.org/officeDocument/2006/relationships/hyperlink" Target="https://find-and-update.company-information.service.gov.uk/company/03776035/filing-history" TargetMode="External"/><Relationship Id="rId387" Type="http://schemas.openxmlformats.org/officeDocument/2006/relationships/hyperlink" Target="https://find-and-update.company-information.service.gov.uk/company/03830502/filing-history" TargetMode="External"/><Relationship Id="rId510" Type="http://schemas.openxmlformats.org/officeDocument/2006/relationships/hyperlink" Target="https://acuityprofessional.com/wealth-management/" TargetMode="External"/><Relationship Id="rId594" Type="http://schemas.openxmlformats.org/officeDocument/2006/relationships/hyperlink" Target="https://find-and-update.company-information.service.gov.uk/company/13685687/filing-history" TargetMode="External"/><Relationship Id="rId608" Type="http://schemas.openxmlformats.org/officeDocument/2006/relationships/hyperlink" Target="https://find-and-update.company-information.service.gov.uk/company/12075452/filing-history" TargetMode="External"/><Relationship Id="rId815" Type="http://schemas.openxmlformats.org/officeDocument/2006/relationships/hyperlink" Target="https://fivepointconsulting.co.uk/how-we-work/our-fees/" TargetMode="External"/><Relationship Id="rId1238" Type="http://schemas.openxmlformats.org/officeDocument/2006/relationships/hyperlink" Target="https://markets.ft.com/data/funds/tearsheet/summary?s=GB00BFBFYQ25:GBP" TargetMode="External"/><Relationship Id="rId247" Type="http://schemas.openxmlformats.org/officeDocument/2006/relationships/hyperlink" Target="https://www.engagefs.co.uk/fees" TargetMode="External"/><Relationship Id="rId899" Type="http://schemas.openxmlformats.org/officeDocument/2006/relationships/hyperlink" Target="https://www.equilibrium.co.uk/" TargetMode="External"/><Relationship Id="rId1000" Type="http://schemas.openxmlformats.org/officeDocument/2006/relationships/hyperlink" Target="http://www.charcol.co.uk/" TargetMode="External"/><Relationship Id="rId1084" Type="http://schemas.openxmlformats.org/officeDocument/2006/relationships/hyperlink" Target="https://styleinsurance.ifa-web.co.uk/" TargetMode="External"/><Relationship Id="rId1305" Type="http://schemas.openxmlformats.org/officeDocument/2006/relationships/hyperlink" Target="https://markets.ft.com/data/funds/tearsheet/summary?s=GB00BFBFYQ25:GBP" TargetMode="External"/><Relationship Id="rId107" Type="http://schemas.openxmlformats.org/officeDocument/2006/relationships/hyperlink" Target="https://find-and-update.company-information.service.gov.uk/company/OC368475/filing-history" TargetMode="External"/><Relationship Id="rId454" Type="http://schemas.openxmlformats.org/officeDocument/2006/relationships/hyperlink" Target="https://www.origenfs.co.uk/" TargetMode="External"/><Relationship Id="rId661" Type="http://schemas.openxmlformats.org/officeDocument/2006/relationships/hyperlink" Target="https://www.sturdyedwards.co.uk/pdfs/Sturdy-Edwards-Client-Agreement-(Services-Charges).pdf" TargetMode="External"/><Relationship Id="rId759" Type="http://schemas.openxmlformats.org/officeDocument/2006/relationships/hyperlink" Target="https://www.wwealth.co.uk/pricing/" TargetMode="External"/><Relationship Id="rId966" Type="http://schemas.openxmlformats.org/officeDocument/2006/relationships/hyperlink" Target="https://www.weatherbys.bank/app/uploads/2026/01/Weatherbys-Private-Bank-Investment-and-Wealth-Advice-Schedule-of-Charges.pdf" TargetMode="External"/><Relationship Id="rId1291" Type="http://schemas.openxmlformats.org/officeDocument/2006/relationships/hyperlink" Target="https://markets.ft.com/data/funds/tearsheet/summary?s=GB00BFBFYQ25:GBP" TargetMode="External"/><Relationship Id="rId11" Type="http://schemas.openxmlformats.org/officeDocument/2006/relationships/hyperlink" Target="https://static1.squarespace.com/static/5ce3beca9851ae000114d9e3/t/627bc7a35370c66f2b6694d1/1652279204476/A+Fresh+Approach+To+Fees.pdf" TargetMode="External"/><Relationship Id="rId314" Type="http://schemas.openxmlformats.org/officeDocument/2006/relationships/hyperlink" Target="https://find-and-update.company-information.service.gov.uk/company/03467400/filing-history" TargetMode="External"/><Relationship Id="rId398" Type="http://schemas.openxmlformats.org/officeDocument/2006/relationships/hyperlink" Target="https://shackletonadvisers.co.uk/why-were-different/fair-and-transparent-charges/" TargetMode="External"/><Relationship Id="rId521" Type="http://schemas.openxmlformats.org/officeDocument/2006/relationships/hyperlink" Target="https://find-and-update.company-information.service.gov.uk/company/OC369632/filing-history" TargetMode="External"/><Relationship Id="rId619" Type="http://schemas.openxmlformats.org/officeDocument/2006/relationships/hyperlink" Target="https://find-and-update.company-information.service.gov.uk/company/04500273/filing-history" TargetMode="External"/><Relationship Id="rId1151" Type="http://schemas.openxmlformats.org/officeDocument/2006/relationships/hyperlink" Target="https://markets.ft.com/data/funds/tearsheet/summary?s=GB00BFBFYQ25:GBP" TargetMode="External"/><Relationship Id="rId1249" Type="http://schemas.openxmlformats.org/officeDocument/2006/relationships/hyperlink" Target="https://markets.ft.com/data/funds/tearsheet/summary?s=GB00BFBFYQ25:GBP" TargetMode="External"/><Relationship Id="rId95" Type="http://schemas.openxmlformats.org/officeDocument/2006/relationships/hyperlink" Target="http://www.amberriver.com/" TargetMode="External"/><Relationship Id="rId160" Type="http://schemas.openxmlformats.org/officeDocument/2006/relationships/hyperlink" Target="https://www.andrewbourne.co.uk/wp-content/uploads/2025/12/Client-Agreement-Pensions-Investments-and-Protection-nov25.pdf" TargetMode="External"/><Relationship Id="rId826" Type="http://schemas.openxmlformats.org/officeDocument/2006/relationships/hyperlink" Target="https://find-and-update.company-information.service.gov.uk/company/NI628209/filing-history" TargetMode="External"/><Relationship Id="rId1011" Type="http://schemas.openxmlformats.org/officeDocument/2006/relationships/hyperlink" Target="https://sentinelportfoliomanagement.co.uk/" TargetMode="External"/><Relationship Id="rId1109" Type="http://schemas.openxmlformats.org/officeDocument/2006/relationships/hyperlink" Target="https://markets.ft.com/data/funds/tearsheet/summary?s=GB00BFBFYQ25:GBP" TargetMode="External"/><Relationship Id="rId258" Type="http://schemas.openxmlformats.org/officeDocument/2006/relationships/hyperlink" Target="https://find-and-update.company-information.service.gov.uk/company/SC327000/filing-history" TargetMode="External"/><Relationship Id="rId465" Type="http://schemas.openxmlformats.org/officeDocument/2006/relationships/hyperlink" Target="https://www.belmayne-ifa.com/" TargetMode="External"/><Relationship Id="rId672" Type="http://schemas.openxmlformats.org/officeDocument/2006/relationships/hyperlink" Target="https://find-and-update.company-information.service.gov.uk/company/SC521697" TargetMode="External"/><Relationship Id="rId1095" Type="http://schemas.openxmlformats.org/officeDocument/2006/relationships/hyperlink" Target="https://markets.ft.com/data/funds/tearsheet/summary?s=GB00BFBFYQ25:GBP" TargetMode="External"/><Relationship Id="rId1316" Type="http://schemas.openxmlformats.org/officeDocument/2006/relationships/hyperlink" Target="https://markets.ft.com/data/funds/tearsheet/summary?s=GB00BFBFYQ25:GBP" TargetMode="External"/><Relationship Id="rId22" Type="http://schemas.openxmlformats.org/officeDocument/2006/relationships/hyperlink" Target="http://www.humboldtfinancial.co.uk/" TargetMode="External"/><Relationship Id="rId118" Type="http://schemas.openxmlformats.org/officeDocument/2006/relationships/hyperlink" Target="http://www.saltus.co.uk/" TargetMode="External"/><Relationship Id="rId325" Type="http://schemas.openxmlformats.org/officeDocument/2006/relationships/hyperlink" Target="https://charlesdeanuk.com/wp-content/uploads/2022/02/Disclosure-Pack-Word-V11121-PDF.pdf" TargetMode="External"/><Relationship Id="rId532" Type="http://schemas.openxmlformats.org/officeDocument/2006/relationships/hyperlink" Target="https://find-and-update.company-information.service.gov.uk/company/01629709/filing-history" TargetMode="External"/><Relationship Id="rId977" Type="http://schemas.openxmlformats.org/officeDocument/2006/relationships/hyperlink" Target="https://find-and-update.company-information.service.gov.uk/company/01175953/filing-history" TargetMode="External"/><Relationship Id="rId1162" Type="http://schemas.openxmlformats.org/officeDocument/2006/relationships/hyperlink" Target="https://markets.ft.com/data/funds/tearsheet/summary?s=GB00BFBFYQ25:GBP" TargetMode="External"/><Relationship Id="rId171" Type="http://schemas.openxmlformats.org/officeDocument/2006/relationships/hyperlink" Target="http://www.imperialchartered.co.uk/" TargetMode="External"/><Relationship Id="rId837" Type="http://schemas.openxmlformats.org/officeDocument/2006/relationships/hyperlink" Target="https://stonegatewealth.co.uk/our-fees/" TargetMode="External"/><Relationship Id="rId1022" Type="http://schemas.openxmlformats.org/officeDocument/2006/relationships/hyperlink" Target="http://www.amfsltd.co.uk/" TargetMode="External"/><Relationship Id="rId269" Type="http://schemas.openxmlformats.org/officeDocument/2006/relationships/hyperlink" Target="https://www.needfp.co.uk/about-us/our-fees" TargetMode="External"/><Relationship Id="rId476" Type="http://schemas.openxmlformats.org/officeDocument/2006/relationships/hyperlink" Target="https://find-and-update.company-information.service.gov.uk/company/13439612/filing-history" TargetMode="External"/><Relationship Id="rId683" Type="http://schemas.openxmlformats.org/officeDocument/2006/relationships/hyperlink" Target="https://www.levenwealth.co.uk/fees" TargetMode="External"/><Relationship Id="rId890" Type="http://schemas.openxmlformats.org/officeDocument/2006/relationships/hyperlink" Target="https://hesketh-fp.co.uk/" TargetMode="External"/><Relationship Id="rId904" Type="http://schemas.openxmlformats.org/officeDocument/2006/relationships/hyperlink" Target="https://markets.ft.com/data/funds/tearsheet/summary?s=GB00BYXHQX09:GBX" TargetMode="External"/><Relationship Id="rId1327" Type="http://schemas.openxmlformats.org/officeDocument/2006/relationships/hyperlink" Target="https://markets.ft.com/data/funds/tearsheet/summary?s=GB00BFBFYQ25:GBP" TargetMode="External"/><Relationship Id="rId33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29" Type="http://schemas.openxmlformats.org/officeDocument/2006/relationships/hyperlink" Target="https://www.burfieldfp.co.uk/" TargetMode="External"/><Relationship Id="rId336" Type="http://schemas.openxmlformats.org/officeDocument/2006/relationships/hyperlink" Target="https://dalyhoggett.co.uk/wp-content/uploads/2025/08/FINANCIAL-PLANNING-SERVICES-STANDARD-TERMS-OF-BUSINESS-AUGUST-2025.pdf" TargetMode="External"/><Relationship Id="rId543" Type="http://schemas.openxmlformats.org/officeDocument/2006/relationships/hyperlink" Target="https://www.hbdobbin.com/about-us/our-fees/" TargetMode="External"/><Relationship Id="rId988" Type="http://schemas.openxmlformats.org/officeDocument/2006/relationships/hyperlink" Target="http://www.2tix.ltd/" TargetMode="External"/><Relationship Id="rId1173" Type="http://schemas.openxmlformats.org/officeDocument/2006/relationships/hyperlink" Target="https://markets.ft.com/data/funds/tearsheet/summary?s=GB00BFBFYQ25:GBP" TargetMode="External"/><Relationship Id="rId182" Type="http://schemas.openxmlformats.org/officeDocument/2006/relationships/hyperlink" Target="https://www.backhouseifs.co.uk/" TargetMode="External"/><Relationship Id="rId403" Type="http://schemas.openxmlformats.org/officeDocument/2006/relationships/hyperlink" Target="https://shackletonadvisers.co.uk/why-were-different/fair-and-transparent-charges/" TargetMode="External"/><Relationship Id="rId750" Type="http://schemas.openxmlformats.org/officeDocument/2006/relationships/hyperlink" Target="https://www.v2vfp.co.uk/" TargetMode="External"/><Relationship Id="rId848" Type="http://schemas.openxmlformats.org/officeDocument/2006/relationships/hyperlink" Target="https://www.awmg.co.uk/process" TargetMode="External"/><Relationship Id="rId1033" Type="http://schemas.openxmlformats.org/officeDocument/2006/relationships/hyperlink" Target="http://www.cartwright.co.uk/" TargetMode="External"/><Relationship Id="rId487" Type="http://schemas.openxmlformats.org/officeDocument/2006/relationships/hyperlink" Target="https://find-and-update.company-information.service.gov.uk/company/10956622/filing-history" TargetMode="External"/><Relationship Id="rId610" Type="http://schemas.openxmlformats.org/officeDocument/2006/relationships/hyperlink" Target="https://www.personalinvesting.jpmorgan.com/legal/schedule-of-fees-and-charges" TargetMode="External"/><Relationship Id="rId694" Type="http://schemas.openxmlformats.org/officeDocument/2006/relationships/hyperlink" Target="https://find-and-update.company-information.service.gov.uk/company/07880295/filing-history" TargetMode="External"/><Relationship Id="rId708" Type="http://schemas.openxmlformats.org/officeDocument/2006/relationships/hyperlink" Target="https://brigroup.co.uk/our-approach/" TargetMode="External"/><Relationship Id="rId915" Type="http://schemas.openxmlformats.org/officeDocument/2006/relationships/hyperlink" Target="https://www.medicswealth.com/service-proposition" TargetMode="External"/><Relationship Id="rId1240" Type="http://schemas.openxmlformats.org/officeDocument/2006/relationships/hyperlink" Target="https://markets.ft.com/data/funds/tearsheet/summary?s=GB00BFBFYQ25:GBP" TargetMode="External"/><Relationship Id="rId347" Type="http://schemas.openxmlformats.org/officeDocument/2006/relationships/hyperlink" Target="https://gmtfs.co.uk/sites/default/files/clients/436/GMT-Important-Information-about%20our-Services-Nov-2021.pdf" TargetMode="External"/><Relationship Id="rId999" Type="http://schemas.openxmlformats.org/officeDocument/2006/relationships/hyperlink" Target="http://www.invesco.co.uk/" TargetMode="External"/><Relationship Id="rId1100" Type="http://schemas.openxmlformats.org/officeDocument/2006/relationships/hyperlink" Target="https://markets.ft.com/data/funds/tearsheet/summary?s=GB00BFBFYQ25:GBP" TargetMode="External"/><Relationship Id="rId1184" Type="http://schemas.openxmlformats.org/officeDocument/2006/relationships/hyperlink" Target="https://markets.ft.com/data/funds/tearsheet/summary?s=GB00BFBFYQ25:GBP" TargetMode="External"/><Relationship Id="rId44" Type="http://schemas.openxmlformats.org/officeDocument/2006/relationships/hyperlink" Target="https://find-and-update.company-information.service.gov.uk/company/04312250/filing-history" TargetMode="External"/><Relationship Id="rId554" Type="http://schemas.openxmlformats.org/officeDocument/2006/relationships/hyperlink" Target="https://www.obsidian-financial.com/how-we-are-paid.html" TargetMode="External"/><Relationship Id="rId761" Type="http://schemas.openxmlformats.org/officeDocument/2006/relationships/hyperlink" Target="http://www.successionwealth.co.uk/corporate-benefit-solutions" TargetMode="External"/><Relationship Id="rId859" Type="http://schemas.openxmlformats.org/officeDocument/2006/relationships/hyperlink" Target="http://www.pensionpotential.co.uk/" TargetMode="External"/><Relationship Id="rId193" Type="http://schemas.openxmlformats.org/officeDocument/2006/relationships/hyperlink" Target="http://www.arbuthnotlatham.co.uk/" TargetMode="External"/><Relationship Id="rId207" Type="http://schemas.openxmlformats.org/officeDocument/2006/relationships/hyperlink" Target="https://www.penguinwealth.com/fees/" TargetMode="External"/><Relationship Id="rId414" Type="http://schemas.openxmlformats.org/officeDocument/2006/relationships/hyperlink" Target="https://find-and-update.company-information.service.gov.uk/company/07188122/filing-history" TargetMode="External"/><Relationship Id="rId498" Type="http://schemas.openxmlformats.org/officeDocument/2006/relationships/hyperlink" Target="http://www.estatecapital.co.uk/" TargetMode="External"/><Relationship Id="rId621" Type="http://schemas.openxmlformats.org/officeDocument/2006/relationships/hyperlink" Target="https://www.quilter.com/4a330d/siteassets/documents/platform/guides-and-brochures/18035-making-the-cost-of-investment-clear.pdf" TargetMode="External"/><Relationship Id="rId1044" Type="http://schemas.openxmlformats.org/officeDocument/2006/relationships/hyperlink" Target="https://www.thereviewbusiness.co.uk/" TargetMode="External"/><Relationship Id="rId1251" Type="http://schemas.openxmlformats.org/officeDocument/2006/relationships/hyperlink" Target="https://markets.ft.com/data/funds/tearsheet/summary?s=GB00BFBFYQ25:GBP" TargetMode="External"/><Relationship Id="rId260" Type="http://schemas.openxmlformats.org/officeDocument/2006/relationships/hyperlink" Target="https://www.brewin.co.uk/" TargetMode="External"/><Relationship Id="rId719" Type="http://schemas.openxmlformats.org/officeDocument/2006/relationships/hyperlink" Target="https://find-and-update.company-information.service.gov.uk/company/07921408/filing-history" TargetMode="External"/><Relationship Id="rId926" Type="http://schemas.openxmlformats.org/officeDocument/2006/relationships/hyperlink" Target="https://www.avivainvestors.com/en-gb/capabilities/multi-asset-macro/multi-asset-core-fund-iii/gb00bmgwh353-gbp/" TargetMode="External"/><Relationship Id="rId1111" Type="http://schemas.openxmlformats.org/officeDocument/2006/relationships/hyperlink" Target="https://markets.ft.com/data/funds/tearsheet/summary?s=GB00BFBFYQ25:GBP" TargetMode="External"/><Relationship Id="rId55" Type="http://schemas.openxmlformats.org/officeDocument/2006/relationships/hyperlink" Target="https://www.bwifa.co.uk/%20amber%20river" TargetMode="External"/><Relationship Id="rId120" Type="http://schemas.openxmlformats.org/officeDocument/2006/relationships/hyperlink" Target="../../../../../Downloads/Factsheet-20251231-Saltus-Managed-Plus-Balanced.pdf" TargetMode="External"/><Relationship Id="rId358" Type="http://schemas.openxmlformats.org/officeDocument/2006/relationships/hyperlink" Target="https://gsigroup.co.uk/our-service-proposition/" TargetMode="External"/><Relationship Id="rId565" Type="http://schemas.openxmlformats.org/officeDocument/2006/relationships/hyperlink" Target="https://www.highwood.co.uk/fees/" TargetMode="External"/><Relationship Id="rId772" Type="http://schemas.openxmlformats.org/officeDocument/2006/relationships/hyperlink" Target="https://www.ascotlloyd.co.uk/our-service/fees/" TargetMode="External"/><Relationship Id="rId1195" Type="http://schemas.openxmlformats.org/officeDocument/2006/relationships/hyperlink" Target="https://markets.ft.com/data/funds/tearsheet/summary?s=GB00BFBFYQ25:GBP" TargetMode="External"/><Relationship Id="rId1209" Type="http://schemas.openxmlformats.org/officeDocument/2006/relationships/hyperlink" Target="https://markets.ft.com/data/funds/tearsheet/summary?s=GB00BFBFYQ25:GBP" TargetMode="External"/><Relationship Id="rId218" Type="http://schemas.openxmlformats.org/officeDocument/2006/relationships/hyperlink" Target="https://nottpybus-co-uk.stackstaging.com/wp-content/uploads/2020/11/NP-TCs-1.11.20.pdf" TargetMode="External"/><Relationship Id="rId425" Type="http://schemas.openxmlformats.org/officeDocument/2006/relationships/hyperlink" Target="https://find-and-update.company-information.service.gov.uk/company/04731281/filing-history" TargetMode="External"/><Relationship Id="rId632" Type="http://schemas.openxmlformats.org/officeDocument/2006/relationships/hyperlink" Target="https://www.salisbury.co.uk/" TargetMode="External"/><Relationship Id="rId1055" Type="http://schemas.openxmlformats.org/officeDocument/2006/relationships/hyperlink" Target="https://www.shackletonadvisers.co.uk/" TargetMode="External"/><Relationship Id="rId1262" Type="http://schemas.openxmlformats.org/officeDocument/2006/relationships/hyperlink" Target="https://markets.ft.com/data/funds/tearsheet/summary?s=GB00BFBFYQ25:GBP" TargetMode="External"/><Relationship Id="rId271" Type="http://schemas.openxmlformats.org/officeDocument/2006/relationships/hyperlink" Target="https://www.nfumutual.co.uk/" TargetMode="External"/><Relationship Id="rId937" Type="http://schemas.openxmlformats.org/officeDocument/2006/relationships/hyperlink" Target="https://find-and-update.company-information.service.gov.uk/company/SC535531" TargetMode="External"/><Relationship Id="rId1122" Type="http://schemas.openxmlformats.org/officeDocument/2006/relationships/hyperlink" Target="https://markets.ft.com/data/funds/tearsheet/summary?s=GB00BFBFYQ25:GBP" TargetMode="External"/><Relationship Id="rId66" Type="http://schemas.openxmlformats.org/officeDocument/2006/relationships/hyperlink" Target="https://www.blueshieldcapital.co.uk/about" TargetMode="External"/><Relationship Id="rId131" Type="http://schemas.openxmlformats.org/officeDocument/2006/relationships/hyperlink" Target="https://find-and-update.company-information.service.gov.uk/company/07177075/filing-history" TargetMode="External"/><Relationship Id="rId369" Type="http://schemas.openxmlformats.org/officeDocument/2006/relationships/hyperlink" Target="https://irp.cdn-website.com/2db008a1/files/uploaded/Services%20Inv%20-%20Protection%202022webv2%200423.pdf" TargetMode="External"/><Relationship Id="rId576" Type="http://schemas.openxmlformats.org/officeDocument/2006/relationships/hyperlink" Target="https://find-and-update.company-information.service.gov.uk/company/SC222930/filing-history" TargetMode="External"/><Relationship Id="rId783" Type="http://schemas.openxmlformats.org/officeDocument/2006/relationships/hyperlink" Target="https://find-and-update.company-information.service.gov.uk/company/07584487/filing-history" TargetMode="External"/><Relationship Id="rId990" Type="http://schemas.openxmlformats.org/officeDocument/2006/relationships/hyperlink" Target="https://www.agencypartners.co.uk/" TargetMode="External"/><Relationship Id="rId229" Type="http://schemas.openxmlformats.org/officeDocument/2006/relationships/hyperlink" Target="https://www.middletonprivatecapital.co.uk/fees-charges/" TargetMode="External"/><Relationship Id="rId436" Type="http://schemas.openxmlformats.org/officeDocument/2006/relationships/hyperlink" Target="https://find-and-update.company-information.service.gov.uk/company/OC404121/filing-history" TargetMode="External"/><Relationship Id="rId643" Type="http://schemas.openxmlformats.org/officeDocument/2006/relationships/hyperlink" Target="https://www.skyboundwealth.co.uk/advice-fees" TargetMode="External"/><Relationship Id="rId1066" Type="http://schemas.openxmlformats.org/officeDocument/2006/relationships/hyperlink" Target="https://www.mchb.co.uk/" TargetMode="External"/><Relationship Id="rId1273" Type="http://schemas.openxmlformats.org/officeDocument/2006/relationships/hyperlink" Target="https://markets.ft.com/data/funds/tearsheet/summary?s=GB00BFBFYQ25:GBP" TargetMode="External"/><Relationship Id="rId850" Type="http://schemas.openxmlformats.org/officeDocument/2006/relationships/hyperlink" Target="https://www.moneyfarm.com/uk/our-service/" TargetMode="External"/><Relationship Id="rId948" Type="http://schemas.openxmlformats.org/officeDocument/2006/relationships/hyperlink" Target="https://lifetime-ifa.co.uk/fees/" TargetMode="External"/><Relationship Id="rId1133" Type="http://schemas.openxmlformats.org/officeDocument/2006/relationships/hyperlink" Target="https://markets.ft.com/data/funds/tearsheet/summary?s=GB00BFBFYQ25:GBP" TargetMode="External"/><Relationship Id="rId77" Type="http://schemas.openxmlformats.org/officeDocument/2006/relationships/hyperlink" Target="https://www.tamassetmanagement.com/data/uploads/factsheets/active-balanced-q4-2025.pdf" TargetMode="External"/><Relationship Id="rId282" Type="http://schemas.openxmlformats.org/officeDocument/2006/relationships/hyperlink" Target="https://www.moneyweb-ifa.com/how-we-are-paid/" TargetMode="External"/><Relationship Id="rId503" Type="http://schemas.openxmlformats.org/officeDocument/2006/relationships/hyperlink" Target="https://find-and-update.company-information.service.gov.uk/company/OC369632/filing-history" TargetMode="External"/><Relationship Id="rId587" Type="http://schemas.openxmlformats.org/officeDocument/2006/relationships/hyperlink" Target="https://find-and-update.company-information.service.gov.uk/company/01619124/filing-history" TargetMode="External"/><Relationship Id="rId710" Type="http://schemas.openxmlformats.org/officeDocument/2006/relationships/hyperlink" Target="https://www.fernleighwearden.co.uk/our-costs" TargetMode="External"/><Relationship Id="rId808" Type="http://schemas.openxmlformats.org/officeDocument/2006/relationships/hyperlink" Target="https://find-and-update.company-information.service.gov.uk/company/10710796/filing-history" TargetMode="External"/><Relationship Id="rId8" Type="http://schemas.openxmlformats.org/officeDocument/2006/relationships/hyperlink" Target="https://cdn.prod.website-files.com/5e4690a9fcbf69d94897e14b/5e5e8d926dec9107df4f9ca9_Client%20Agreement%20brochure.pdf" TargetMode="External"/><Relationship Id="rId142" Type="http://schemas.openxmlformats.org/officeDocument/2006/relationships/hyperlink" Target="https://www.coramfinancial.com/" TargetMode="External"/><Relationship Id="rId447" Type="http://schemas.openxmlformats.org/officeDocument/2006/relationships/hyperlink" Target="http://www.excelwealth.co.uk/" TargetMode="External"/><Relationship Id="rId794" Type="http://schemas.openxmlformats.org/officeDocument/2006/relationships/hyperlink" Target="https://register.fca.org.uk/s/firm?id=001b000000c43l7AAA" TargetMode="External"/><Relationship Id="rId1077" Type="http://schemas.openxmlformats.org/officeDocument/2006/relationships/hyperlink" Target="http://www.pipersandler.com/" TargetMode="External"/><Relationship Id="rId1200" Type="http://schemas.openxmlformats.org/officeDocument/2006/relationships/hyperlink" Target="https://markets.ft.com/data/funds/tearsheet/summary?s=GB00BFBFYQ25:GBP" TargetMode="External"/><Relationship Id="rId654" Type="http://schemas.openxmlformats.org/officeDocument/2006/relationships/hyperlink" Target="https://find-and-update.company-information.service.gov.uk/company/11722983/filing-history" TargetMode="External"/><Relationship Id="rId861" Type="http://schemas.openxmlformats.org/officeDocument/2006/relationships/hyperlink" Target="https://media.umbraco.io/canaccord/yhpedyr5/mps-rp4-income-factsheet.pdf" TargetMode="External"/><Relationship Id="rId959" Type="http://schemas.openxmlformats.org/officeDocument/2006/relationships/hyperlink" Target="https://find-and-update.company-information.service.gov.uk/company/04064060/filing-history" TargetMode="External"/><Relationship Id="rId1284" Type="http://schemas.openxmlformats.org/officeDocument/2006/relationships/hyperlink" Target="https://markets.ft.com/data/funds/tearsheet/summary?s=GB00BFBFYQ25:GBP" TargetMode="External"/><Relationship Id="rId293" Type="http://schemas.openxmlformats.org/officeDocument/2006/relationships/hyperlink" Target="https://find-and-update.company-information.service.gov.uk/company/SC406519/filing-history" TargetMode="External"/><Relationship Id="rId307" Type="http://schemas.openxmlformats.org/officeDocument/2006/relationships/hyperlink" Target="https://find-and-update.company-information.service.gov.uk/company/NI029631/filing-history" TargetMode="External"/><Relationship Id="rId514" Type="http://schemas.openxmlformats.org/officeDocument/2006/relationships/hyperlink" Target="https://systemviewer.kiihub.com/documents/SMIT/G1OB_UnitedKingdom_EN-GB.pdf" TargetMode="External"/><Relationship Id="rId721" Type="http://schemas.openxmlformats.org/officeDocument/2006/relationships/hyperlink" Target="https://www.barkerpoland.co.uk/fees/" TargetMode="External"/><Relationship Id="rId1144" Type="http://schemas.openxmlformats.org/officeDocument/2006/relationships/hyperlink" Target="https://markets.ft.com/data/funds/tearsheet/summary?s=GB00BFBFYQ25:GBP" TargetMode="External"/><Relationship Id="rId88" Type="http://schemas.openxmlformats.org/officeDocument/2006/relationships/hyperlink" Target="https://www.hansells.co.uk/" TargetMode="External"/><Relationship Id="rId153" Type="http://schemas.openxmlformats.org/officeDocument/2006/relationships/hyperlink" Target="https://www.altorfer.co.uk/" TargetMode="External"/><Relationship Id="rId360" Type="http://schemas.openxmlformats.org/officeDocument/2006/relationships/hyperlink" Target="http://www.brookfield-fp.co.uk/" TargetMode="External"/><Relationship Id="rId598" Type="http://schemas.openxmlformats.org/officeDocument/2006/relationships/hyperlink" Target="https://www.natwest.com/investments/five-ready-made-funds.html" TargetMode="External"/><Relationship Id="rId819" Type="http://schemas.openxmlformats.org/officeDocument/2006/relationships/hyperlink" Target="https://find-and-update.company-information.service.gov.uk/company/14088618/filing-history" TargetMode="External"/><Relationship Id="rId1004" Type="http://schemas.openxmlformats.org/officeDocument/2006/relationships/hyperlink" Target="http://www.marlowecapital.co.uk/" TargetMode="External"/><Relationship Id="rId1211" Type="http://schemas.openxmlformats.org/officeDocument/2006/relationships/hyperlink" Target="https://markets.ft.com/data/funds/tearsheet/summary?s=GB00BFBFYQ25:GBP" TargetMode="External"/><Relationship Id="rId220" Type="http://schemas.openxmlformats.org/officeDocument/2006/relationships/hyperlink" Target="https://www.ubp.com/uk" TargetMode="External"/><Relationship Id="rId458" Type="http://schemas.openxmlformats.org/officeDocument/2006/relationships/hyperlink" Target="https://iwpfp.co.uk/" TargetMode="External"/><Relationship Id="rId665" Type="http://schemas.openxmlformats.org/officeDocument/2006/relationships/hyperlink" Target="https://find-and-update.company-information.service.gov.uk/company/OC326607/filing-history" TargetMode="External"/><Relationship Id="rId872" Type="http://schemas.openxmlformats.org/officeDocument/2006/relationships/hyperlink" Target="https://www.lloydsbank.com/wealth-management/pricing.html" TargetMode="External"/><Relationship Id="rId1088" Type="http://schemas.openxmlformats.org/officeDocument/2006/relationships/hyperlink" Target="https://find-and-update.company-information.service.gov.uk/company/09516087/filing-history" TargetMode="External"/><Relationship Id="rId1295" Type="http://schemas.openxmlformats.org/officeDocument/2006/relationships/hyperlink" Target="https://markets.ft.com/data/funds/tearsheet/summary?s=GB00BFBFYQ25:GBP" TargetMode="External"/><Relationship Id="rId1309" Type="http://schemas.openxmlformats.org/officeDocument/2006/relationships/hyperlink" Target="https://markets.ft.com/data/funds/tearsheet/summary?s=GB00BFBFYQ25:GBP" TargetMode="External"/><Relationship Id="rId15" Type="http://schemas.openxmlformats.org/officeDocument/2006/relationships/hyperlink" Target="https://www.hsbc.co.uk/investments/advice/financial-advice/" TargetMode="External"/><Relationship Id="rId318" Type="http://schemas.openxmlformats.org/officeDocument/2006/relationships/hyperlink" Target="https://find-and-update.company-information.service.gov.uk/company/09423824/filing-history" TargetMode="External"/><Relationship Id="rId525" Type="http://schemas.openxmlformats.org/officeDocument/2006/relationships/hyperlink" Target="https://systemviewer.kiihub.com/documents/SMIT/G1OB_UnitedKingdom_EN-GB.pdf" TargetMode="External"/><Relationship Id="rId732" Type="http://schemas.openxmlformats.org/officeDocument/2006/relationships/hyperlink" Target="https://find-and-update.company-information.service.gov.uk/company/07879034/filing-history" TargetMode="External"/><Relationship Id="rId1155" Type="http://schemas.openxmlformats.org/officeDocument/2006/relationships/hyperlink" Target="https://markets.ft.com/data/funds/tearsheet/summary?s=GB00BFBFYQ25:GBP" TargetMode="External"/><Relationship Id="rId9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64" Type="http://schemas.openxmlformats.org/officeDocument/2006/relationships/hyperlink" Target="https://find-and-update.company-information.service.gov.uk/company/00277519/filing-history" TargetMode="External"/><Relationship Id="rId371" Type="http://schemas.openxmlformats.org/officeDocument/2006/relationships/hyperlink" Target="https://janesmithfinancial.com/our-fees/" TargetMode="External"/><Relationship Id="rId1015" Type="http://schemas.openxmlformats.org/officeDocument/2006/relationships/hyperlink" Target="https://5581eb61-677a-472c-b5d8-ebf87f51476f.filesusr.com/ugd/2c7088_7e8b931fc0164a56a904ce474e508293.pdf" TargetMode="External"/><Relationship Id="rId1222" Type="http://schemas.openxmlformats.org/officeDocument/2006/relationships/hyperlink" Target="https://markets.ft.com/data/funds/tearsheet/summary?s=GB00BFBFYQ25:GBP" TargetMode="External"/><Relationship Id="rId469" Type="http://schemas.openxmlformats.org/officeDocument/2006/relationships/hyperlink" Target="https://www.belmontassociates.co.uk/Resource/Services%20Costs.pdf" TargetMode="External"/><Relationship Id="rId676" Type="http://schemas.openxmlformats.org/officeDocument/2006/relationships/hyperlink" Target="https://tfagroup.co.uk/services-and-costs/" TargetMode="External"/><Relationship Id="rId883" Type="http://schemas.openxmlformats.org/officeDocument/2006/relationships/hyperlink" Target="https://brochures.chasedevere.co.uk/private-client-terms-of-business" TargetMode="External"/><Relationship Id="rId1099" Type="http://schemas.openxmlformats.org/officeDocument/2006/relationships/hyperlink" Target="https://markets.ft.com/data/funds/tearsheet/summary?s=GB00BFBFYQ25:GBP" TargetMode="External"/><Relationship Id="rId26" Type="http://schemas.openxmlformats.org/officeDocument/2006/relationships/hyperlink" Target="https://altorwealth.com/about-us/" TargetMode="External"/><Relationship Id="rId231" Type="http://schemas.openxmlformats.org/officeDocument/2006/relationships/hyperlink" Target="http://www.versowm.com/" TargetMode="External"/><Relationship Id="rId329" Type="http://schemas.openxmlformats.org/officeDocument/2006/relationships/hyperlink" Target="https://corrigans.co.uk/wp-content/uploads/2025/12/Service-Agreement-25.pdf" TargetMode="External"/><Relationship Id="rId536" Type="http://schemas.openxmlformats.org/officeDocument/2006/relationships/hyperlink" Target="https://www.fiduciawealth.co.uk/about/financial-advisor-fees/" TargetMode="External"/><Relationship Id="rId1166" Type="http://schemas.openxmlformats.org/officeDocument/2006/relationships/hyperlink" Target="https://markets.ft.com/data/funds/tearsheet/summary?s=GB00BFBFYQ25:GBP" TargetMode="External"/><Relationship Id="rId175" Type="http://schemas.openxmlformats.org/officeDocument/2006/relationships/hyperlink" Target="https://www.castlesundborn.co.uk/media/attachments/2024/02/27/csl-client-agreement---feb-24---aw.pdf" TargetMode="External"/><Relationship Id="rId743" Type="http://schemas.openxmlformats.org/officeDocument/2006/relationships/hyperlink" Target="https://find-and-update.company-information.service.gov.uk/company/05583593/filing-history" TargetMode="External"/><Relationship Id="rId950" Type="http://schemas.openxmlformats.org/officeDocument/2006/relationships/hyperlink" Target="https://zodiac.global/financial-planning.php" TargetMode="External"/><Relationship Id="rId1026" Type="http://schemas.openxmlformats.org/officeDocument/2006/relationships/hyperlink" Target="http://www.berryfinancialplanning.co.uk/" TargetMode="External"/><Relationship Id="rId382" Type="http://schemas.openxmlformats.org/officeDocument/2006/relationships/hyperlink" Target="https://oliverfp.co.uk/fees-and-charges%60" TargetMode="External"/><Relationship Id="rId603" Type="http://schemas.openxmlformats.org/officeDocument/2006/relationships/hyperlink" Target="https://www.rbs.co.uk/" TargetMode="External"/><Relationship Id="rId687" Type="http://schemas.openxmlformats.org/officeDocument/2006/relationships/hyperlink" Target="https://www.hrs-am.co.uk/fees-and-charges" TargetMode="External"/><Relationship Id="rId810" Type="http://schemas.openxmlformats.org/officeDocument/2006/relationships/hyperlink" Target="https://intelligentpensions.com/our-fees/" TargetMode="External"/><Relationship Id="rId908" Type="http://schemas.openxmlformats.org/officeDocument/2006/relationships/hyperlink" Target="https://find-and-update.company-information.service.gov.uk/company/02112588/filing-history" TargetMode="External"/><Relationship Id="rId1233" Type="http://schemas.openxmlformats.org/officeDocument/2006/relationships/hyperlink" Target="https://markets.ft.com/data/funds/tearsheet/summary?s=GB00BFBFYQ25:GBP" TargetMode="External"/><Relationship Id="rId242" Type="http://schemas.openxmlformats.org/officeDocument/2006/relationships/hyperlink" Target="https://find-and-update.company-information.service.gov.uk/company/09755704/filing-history" TargetMode="External"/><Relationship Id="rId894" Type="http://schemas.openxmlformats.org/officeDocument/2006/relationships/hyperlink" Target="https://content.rathbones.com/Rathbones/Rathbones%20Private%20Client%20Brochure.PDF" TargetMode="External"/><Relationship Id="rId1177" Type="http://schemas.openxmlformats.org/officeDocument/2006/relationships/hyperlink" Target="https://markets.ft.com/data/funds/tearsheet/summary?s=GB00BFBFYQ25:GBP" TargetMode="External"/><Relationship Id="rId1300" Type="http://schemas.openxmlformats.org/officeDocument/2006/relationships/hyperlink" Target="https://markets.ft.com/data/funds/tearsheet/summary?s=GB00BFBFYQ25:GBP" TargetMode="External"/><Relationship Id="rId37" Type="http://schemas.openxmlformats.org/officeDocument/2006/relationships/hyperlink" Target="https://www.hl.co.uk/financial-advice/cost-of-financial-advice" TargetMode="External"/><Relationship Id="rId102" Type="http://schemas.openxmlformats.org/officeDocument/2006/relationships/hyperlink" Target="https://markets.ft.com/data/funds/tearsheet/summary?s=LU2594915410:USD" TargetMode="External"/><Relationship Id="rId547" Type="http://schemas.openxmlformats.org/officeDocument/2006/relationships/hyperlink" Target="https://find-and-update.company-information.service.gov.uk/company/08734287/filing-history" TargetMode="External"/><Relationship Id="rId754" Type="http://schemas.openxmlformats.org/officeDocument/2006/relationships/hyperlink" Target="https://find-and-update.company-information.service.gov.uk/company/SC281976/filing-history" TargetMode="External"/><Relationship Id="rId961" Type="http://schemas.openxmlformats.org/officeDocument/2006/relationships/hyperlink" Target="https://find-and-update.company-information.service.gov.uk/company/07366158/filing-history" TargetMode="External"/><Relationship Id="rId90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86" Type="http://schemas.openxmlformats.org/officeDocument/2006/relationships/hyperlink" Target="https://aretianwealth.co.uk/fees/" TargetMode="External"/><Relationship Id="rId393" Type="http://schemas.openxmlformats.org/officeDocument/2006/relationships/hyperlink" Target="https://shackletonadvisers.co.uk/why-were-different/fair-and-transparent-charges/" TargetMode="External"/><Relationship Id="rId407" Type="http://schemas.openxmlformats.org/officeDocument/2006/relationships/hyperlink" Target="https://shackletonadvisers.co.uk/why-were-different/fair-and-transparent-charges/" TargetMode="External"/><Relationship Id="rId614" Type="http://schemas.openxmlformats.org/officeDocument/2006/relationships/hyperlink" Target="https://find-and-update.company-information.service.gov.uk/company/03276760/filing-history" TargetMode="External"/><Relationship Id="rId821" Type="http://schemas.openxmlformats.org/officeDocument/2006/relationships/hyperlink" Target="https://find-and-update.company-information.service.gov.uk/company/05343956/filing-history" TargetMode="External"/><Relationship Id="rId1037" Type="http://schemas.openxmlformats.org/officeDocument/2006/relationships/hyperlink" Target="https://www.darnellswm.co.uk/" TargetMode="External"/><Relationship Id="rId1244" Type="http://schemas.openxmlformats.org/officeDocument/2006/relationships/hyperlink" Target="https://markets.ft.com/data/funds/tearsheet/summary?s=GB00BFBFYQ25:GBP" TargetMode="External"/><Relationship Id="rId253" Type="http://schemas.openxmlformats.org/officeDocument/2006/relationships/hyperlink" Target="https://www.wildandcompany.ltd.uk/" TargetMode="External"/><Relationship Id="rId460" Type="http://schemas.openxmlformats.org/officeDocument/2006/relationships/hyperlink" Target="https://register.fca.org.uk/s/firm?id=001b000000Mfbv9AAB" TargetMode="External"/><Relationship Id="rId698" Type="http://schemas.openxmlformats.org/officeDocument/2006/relationships/hyperlink" Target="http://www.netwealth.com/" TargetMode="External"/><Relationship Id="rId919" Type="http://schemas.openxmlformats.org/officeDocument/2006/relationships/hyperlink" Target="https://www.mwalimited.com/blank-2" TargetMode="External"/><Relationship Id="rId1090" Type="http://schemas.openxmlformats.org/officeDocument/2006/relationships/hyperlink" Target="https://www.octopusmoney.com/" TargetMode="External"/><Relationship Id="rId1104" Type="http://schemas.openxmlformats.org/officeDocument/2006/relationships/hyperlink" Target="https://markets.ft.com/data/funds/tearsheet/summary?s=GB00BFBFYQ25:GBP" TargetMode="External"/><Relationship Id="rId1311" Type="http://schemas.openxmlformats.org/officeDocument/2006/relationships/hyperlink" Target="https://markets.ft.com/data/funds/tearsheet/summary?s=GB00BFBFYQ25:GBP" TargetMode="External"/><Relationship Id="rId48" Type="http://schemas.openxmlformats.org/officeDocument/2006/relationships/hyperlink" Target="https://www.amberriver.com/" TargetMode="External"/><Relationship Id="rId113" Type="http://schemas.openxmlformats.org/officeDocument/2006/relationships/hyperlink" Target="https://goodmoneyguide.com/investing/wealth-management/?utm_source=copilot.com" TargetMode="External"/><Relationship Id="rId320" Type="http://schemas.openxmlformats.org/officeDocument/2006/relationships/hyperlink" Target="https://find-and-update.company-information.service.gov.uk/company/08520020/filing-history" TargetMode="External"/><Relationship Id="rId558" Type="http://schemas.openxmlformats.org/officeDocument/2006/relationships/hyperlink" Target="https://find-and-update.company-information.service.gov.uk/company/02355062/filing-history" TargetMode="External"/><Relationship Id="rId765" Type="http://schemas.openxmlformats.org/officeDocument/2006/relationships/hyperlink" Target="https://www.ifslfunds.com/funds/ifsl-ascot-lloyd-3?citicode=Q6KX" TargetMode="External"/><Relationship Id="rId972" Type="http://schemas.openxmlformats.org/officeDocument/2006/relationships/hyperlink" Target="http://www.howardwright.co.uk/" TargetMode="External"/><Relationship Id="rId1188" Type="http://schemas.openxmlformats.org/officeDocument/2006/relationships/hyperlink" Target="https://markets.ft.com/data/funds/tearsheet/summary?s=GB00BFBFYQ25:GBP" TargetMode="External"/><Relationship Id="rId197" Type="http://schemas.openxmlformats.org/officeDocument/2006/relationships/hyperlink" Target="https://www.associatedlife.co.uk/" TargetMode="External"/><Relationship Id="rId418" Type="http://schemas.openxmlformats.org/officeDocument/2006/relationships/hyperlink" Target="https://www.titanpi.co.uk/" TargetMode="External"/><Relationship Id="rId625" Type="http://schemas.openxmlformats.org/officeDocument/2006/relationships/hyperlink" Target="https://find-and-update.company-information.service.gov.uk/company/08223501/filing-history" TargetMode="External"/><Relationship Id="rId832" Type="http://schemas.openxmlformats.org/officeDocument/2006/relationships/hyperlink" Target="https://redcirclefp.co.uk/why-choose-us/our-fees/" TargetMode="External"/><Relationship Id="rId1048" Type="http://schemas.openxmlformats.org/officeDocument/2006/relationships/hyperlink" Target="http://www.fraserspy.co.uk/" TargetMode="External"/><Relationship Id="rId1255" Type="http://schemas.openxmlformats.org/officeDocument/2006/relationships/hyperlink" Target="https://markets.ft.com/data/funds/tearsheet/summary?s=GB00BFBFYQ25:GBP" TargetMode="External"/><Relationship Id="rId264" Type="http://schemas.openxmlformats.org/officeDocument/2006/relationships/hyperlink" Target="https://assets-live.charles-stanley.co.uk/uploads/files/Terms-and-charges/3.38.pdf?_its=eJxNjkuOgzAUBO_SaxMexB_sG8xizoD8Y2KJ4Mh2hkUUzj4iq9l2l0r1wm8KMBC02EBadkqOsuOOX7spiqVzpMhzokmRAENttkUYlLUdg5J60kpqfqx2C8c4K01azTXmWQaiwSvuHUU-LKMg4TyNUZOYggqnyrZWknu2lDe" TargetMode="External"/><Relationship Id="rId471" Type="http://schemas.openxmlformats.org/officeDocument/2006/relationships/hyperlink" Target="https://www.bestpractice.co.uk/" TargetMode="External"/><Relationship Id="rId1115" Type="http://schemas.openxmlformats.org/officeDocument/2006/relationships/hyperlink" Target="https://markets.ft.com/data/funds/tearsheet/summary?s=GB00BFBFYQ25:GBP" TargetMode="External"/><Relationship Id="rId1322" Type="http://schemas.openxmlformats.org/officeDocument/2006/relationships/hyperlink" Target="https://markets.ft.com/data/funds/tearsheet/summary?s=GB00BFBFYQ25:GBP" TargetMode="External"/><Relationship Id="rId59" Type="http://schemas.openxmlformats.org/officeDocument/2006/relationships/hyperlink" Target="http://www.amberriver.com/" TargetMode="External"/><Relationship Id="rId124" Type="http://schemas.openxmlformats.org/officeDocument/2006/relationships/hyperlink" Target="https://goodmoneyguide.com/investing/wealth-management/?utm_source=copilot.com" TargetMode="External"/><Relationship Id="rId569" Type="http://schemas.openxmlformats.org/officeDocument/2006/relationships/hyperlink" Target="https://find-and-update.company-information.service.gov.uk/company/03509545/filing-history" TargetMode="External"/><Relationship Id="rId776" Type="http://schemas.openxmlformats.org/officeDocument/2006/relationships/hyperlink" Target="https://register.fca.org.uk/s/firm?id=001b000000Mff3PAAR" TargetMode="External"/><Relationship Id="rId983" Type="http://schemas.openxmlformats.org/officeDocument/2006/relationships/hyperlink" Target="https://find-and-update.company-information.service.gov.uk/company/05495327/filing-history" TargetMode="External"/><Relationship Id="rId1199" Type="http://schemas.openxmlformats.org/officeDocument/2006/relationships/hyperlink" Target="https://markets.ft.com/data/funds/tearsheet/summary?s=GB00BFBFYQ25:GBP" TargetMode="External"/><Relationship Id="rId331" Type="http://schemas.openxmlformats.org/officeDocument/2006/relationships/hyperlink" Target="https://www.privatebank.citibank.com/ivc/docs/cpwm-regulation-best-interest.pdf" TargetMode="External"/><Relationship Id="rId429" Type="http://schemas.openxmlformats.org/officeDocument/2006/relationships/hyperlink" Target="https://find-and-update.company-information.service.gov.uk/company/07839452/filing-history" TargetMode="External"/><Relationship Id="rId636" Type="http://schemas.openxmlformats.org/officeDocument/2006/relationships/hyperlink" Target="https://www.santanderassetmanagement.co.uk/tools" TargetMode="External"/><Relationship Id="rId1059" Type="http://schemas.openxmlformats.org/officeDocument/2006/relationships/hyperlink" Target="https://www.acaciawealth.co.uk/" TargetMode="External"/><Relationship Id="rId1266" Type="http://schemas.openxmlformats.org/officeDocument/2006/relationships/hyperlink" Target="https://markets.ft.com/data/funds/tearsheet/summary?s=GB00BFBFYQ25:GBP" TargetMode="External"/><Relationship Id="rId843" Type="http://schemas.openxmlformats.org/officeDocument/2006/relationships/hyperlink" Target="https://find-and-update.company-information.service.gov.uk/company/09052815/filing-history" TargetMode="External"/><Relationship Id="rId1126" Type="http://schemas.openxmlformats.org/officeDocument/2006/relationships/hyperlink" Target="https://markets.ft.com/data/funds/tearsheet/summary?s=GB00BFBFYQ25:GBP" TargetMode="External"/><Relationship Id="rId275" Type="http://schemas.openxmlformats.org/officeDocument/2006/relationships/hyperlink" Target="https://find-and-update.company-information.service.gov.uk/company/00111982/filing-history" TargetMode="External"/><Relationship Id="rId482" Type="http://schemas.openxmlformats.org/officeDocument/2006/relationships/hyperlink" Target="https://find-and-update.company-information.service.gov.uk/company/02017052/filing-history" TargetMode="External"/><Relationship Id="rId703" Type="http://schemas.openxmlformats.org/officeDocument/2006/relationships/hyperlink" Target="https://www.otusfp.com/our-fees/" TargetMode="External"/><Relationship Id="rId910" Type="http://schemas.openxmlformats.org/officeDocument/2006/relationships/hyperlink" Target="https://www.abacuswealthplanning.com/AWP-Our-Services.pdf" TargetMode="External"/><Relationship Id="rId135" Type="http://schemas.openxmlformats.org/officeDocument/2006/relationships/hyperlink" Target="https://www.cheethamjackson.com/" TargetMode="External"/><Relationship Id="rId342" Type="http://schemas.openxmlformats.org/officeDocument/2006/relationships/hyperlink" Target="https://find-and-update.company-information.service.gov.uk/company/13010558/filing-history" TargetMode="External"/><Relationship Id="rId787" Type="http://schemas.openxmlformats.org/officeDocument/2006/relationships/hyperlink" Target="https://find-and-update.company-information.service.gov.uk/company/07584487/filing-history" TargetMode="External"/><Relationship Id="rId994" Type="http://schemas.openxmlformats.org/officeDocument/2006/relationships/hyperlink" Target="https://www.pictet.com/uk/en" TargetMode="External"/><Relationship Id="rId202" Type="http://schemas.openxmlformats.org/officeDocument/2006/relationships/hyperlink" Target="https://www.directwealthmanagement.co.uk/fees/" TargetMode="External"/><Relationship Id="rId647" Type="http://schemas.openxmlformats.org/officeDocument/2006/relationships/hyperlink" Target="https://www.spw.com/our-fees/" TargetMode="External"/><Relationship Id="rId854" Type="http://schemas.openxmlformats.org/officeDocument/2006/relationships/hyperlink" Target="https://find-and-update.company-information.service.gov.uk/company/03863161/filing-history" TargetMode="External"/><Relationship Id="rId1277" Type="http://schemas.openxmlformats.org/officeDocument/2006/relationships/hyperlink" Target="https://markets.ft.com/data/funds/tearsheet/summary?s=GB00BFBFYQ25:GBP" TargetMode="External"/><Relationship Id="rId286" Type="http://schemas.openxmlformats.org/officeDocument/2006/relationships/hyperlink" Target="https://8fp.co.uk/fees/" TargetMode="External"/><Relationship Id="rId493" Type="http://schemas.openxmlformats.org/officeDocument/2006/relationships/hyperlink" Target="https://www.createwealth.co.uk/about/fees/" TargetMode="External"/><Relationship Id="rId507" Type="http://schemas.openxmlformats.org/officeDocument/2006/relationships/hyperlink" Target="https://www.evelyn.com/fees-charges/" TargetMode="External"/><Relationship Id="rId714" Type="http://schemas.openxmlformats.org/officeDocument/2006/relationships/hyperlink" Target="https://www.mortgages-etc.co.uk/our-fees/" TargetMode="External"/><Relationship Id="rId921" Type="http://schemas.openxmlformats.org/officeDocument/2006/relationships/hyperlink" Target="https://www.sjp.co.uk/" TargetMode="External"/><Relationship Id="rId1137" Type="http://schemas.openxmlformats.org/officeDocument/2006/relationships/hyperlink" Target="https://markets.ft.com/data/funds/tearsheet/summary?s=GB00BFBFYQ25:GBP" TargetMode="External"/><Relationship Id="rId50" Type="http://schemas.openxmlformats.org/officeDocument/2006/relationships/hyperlink" Target="https://find-and-update.company-information.service.gov.uk/company/OC368475/filing-history" TargetMode="External"/><Relationship Id="rId146" Type="http://schemas.openxmlformats.org/officeDocument/2006/relationships/hyperlink" Target="https://www.coramfinancial.com/investments-wealth-management" TargetMode="External"/><Relationship Id="rId353" Type="http://schemas.openxmlformats.org/officeDocument/2006/relationships/hyperlink" Target="https://gsigroup.co.uk/our-service-proposition/" TargetMode="External"/><Relationship Id="rId560" Type="http://schemas.openxmlformats.org/officeDocument/2006/relationships/hyperlink" Target="https://find-and-update.company-information.service.gov.uk/company/01911493/filing-history" TargetMode="External"/><Relationship Id="rId798" Type="http://schemas.openxmlformats.org/officeDocument/2006/relationships/hyperlink" Target="https://www.ascotlloyd.co.uk/" TargetMode="External"/><Relationship Id="rId1190" Type="http://schemas.openxmlformats.org/officeDocument/2006/relationships/hyperlink" Target="https://markets.ft.com/data/funds/tearsheet/summary?s=GB00BFBFYQ25:GBP" TargetMode="External"/><Relationship Id="rId1204" Type="http://schemas.openxmlformats.org/officeDocument/2006/relationships/hyperlink" Target="https://markets.ft.com/data/funds/tearsheet/summary?s=GB00BFBFYQ25:GBP" TargetMode="External"/><Relationship Id="rId213" Type="http://schemas.openxmlformats.org/officeDocument/2006/relationships/hyperlink" Target="https://icfp.co.uk/about/fees/" TargetMode="External"/><Relationship Id="rId420" Type="http://schemas.openxmlformats.org/officeDocument/2006/relationships/hyperlink" Target="https://www.titanwci.com/media/ungdd0wj/priips-kid-balanced-usd-s-acc.pdf" TargetMode="External"/><Relationship Id="rId658" Type="http://schemas.openxmlformats.org/officeDocument/2006/relationships/hyperlink" Target="https://www.sterlingandlaw.com/about-sterling-and-law/how-we-are-paid/" TargetMode="External"/><Relationship Id="rId865" Type="http://schemas.openxmlformats.org/officeDocument/2006/relationships/hyperlink" Target="https://www.gkwealth.co.uk/about" TargetMode="External"/><Relationship Id="rId1050" Type="http://schemas.openxmlformats.org/officeDocument/2006/relationships/hyperlink" Target="https://optimumpath.co.uk/" TargetMode="External"/><Relationship Id="rId1288" Type="http://schemas.openxmlformats.org/officeDocument/2006/relationships/hyperlink" Target="https://markets.ft.com/data/funds/tearsheet/summary?s=GB00BFBFYQ25:GBP" TargetMode="External"/><Relationship Id="rId297" Type="http://schemas.openxmlformats.org/officeDocument/2006/relationships/hyperlink" Target="https://find-and-update.company-information.service.gov.uk/company/08385518/filing-history" TargetMode="External"/><Relationship Id="rId518" Type="http://schemas.openxmlformats.org/officeDocument/2006/relationships/hyperlink" Target="https://systemviewer.kiihub.com/documents/SMIT/G1OB_UnitedKingdom_EN-GB.pdf" TargetMode="External"/><Relationship Id="rId725" Type="http://schemas.openxmlformats.org/officeDocument/2006/relationships/hyperlink" Target="https://www.crownwealthmanagement.co.uk/about-us/our-fees/" TargetMode="External"/><Relationship Id="rId932" Type="http://schemas.openxmlformats.org/officeDocument/2006/relationships/hyperlink" Target="https://www.successionwealth.co.uk/about-us/our-fees" TargetMode="External"/><Relationship Id="rId1148" Type="http://schemas.openxmlformats.org/officeDocument/2006/relationships/hyperlink" Target="https://markets.ft.com/data/funds/tearsheet/summary?s=GB00BFBFYQ25:GBP" TargetMode="External"/><Relationship Id="rId157" Type="http://schemas.openxmlformats.org/officeDocument/2006/relationships/hyperlink" Target="https://www.insightifa.com/wp-content/uploads/2023/07/Client-Agreement-Insight-IFA-July-23.pdf" TargetMode="External"/><Relationship Id="rId364" Type="http://schemas.openxmlformats.org/officeDocument/2006/relationships/hyperlink" Target="https://huwwatts-ifp.co.uk/pdfs/WebsiteFidfundres2025.pdf" TargetMode="External"/><Relationship Id="rId1008" Type="http://schemas.openxmlformats.org/officeDocument/2006/relationships/hyperlink" Target="http://www.pennylanepawnbrokers.co.uk/" TargetMode="External"/><Relationship Id="rId1215" Type="http://schemas.openxmlformats.org/officeDocument/2006/relationships/hyperlink" Target="https://markets.ft.com/data/funds/tearsheet/summary?s=GB00BFBFYQ25:GBP" TargetMode="External"/><Relationship Id="rId61" Type="http://schemas.openxmlformats.org/officeDocument/2006/relationships/hyperlink" Target="https://find-and-update.company-information.service.gov.uk/company/OC368475/filing-history" TargetMode="External"/><Relationship Id="rId571" Type="http://schemas.openxmlformats.org/officeDocument/2006/relationships/hyperlink" Target="https://www.holden-partners.co.uk/fees/" TargetMode="External"/><Relationship Id="rId669" Type="http://schemas.openxmlformats.org/officeDocument/2006/relationships/hyperlink" Target="https://www.watsonfrench.co.uk/2022/12/19/terms-and-conditions/" TargetMode="External"/><Relationship Id="rId876" Type="http://schemas.openxmlformats.org/officeDocument/2006/relationships/hyperlink" Target="https://find-and-update.company-information.service.gov.uk/company/05478319/filing-history" TargetMode="External"/><Relationship Id="rId1299" Type="http://schemas.openxmlformats.org/officeDocument/2006/relationships/hyperlink" Target="https://markets.ft.com/data/funds/tearsheet/summary?s=GB00BFBFYQ25:GBP" TargetMode="External"/><Relationship Id="rId19" Type="http://schemas.openxmlformats.org/officeDocument/2006/relationships/hyperlink" Target="http://www.strategicwealth.co.uk/" TargetMode="External"/><Relationship Id="rId224" Type="http://schemas.openxmlformats.org/officeDocument/2006/relationships/hyperlink" Target="https://www.tingleyandcooper.com/advice/fees/" TargetMode="External"/><Relationship Id="rId431" Type="http://schemas.openxmlformats.org/officeDocument/2006/relationships/hyperlink" Target="https://titanpi.co.uk/wp-content/uploads/2026/01/Platform-Terms-of-Business.pdf" TargetMode="External"/><Relationship Id="rId529" Type="http://schemas.openxmlformats.org/officeDocument/2006/relationships/hyperlink" Target="https://www.evelyn.com/fees-charges/" TargetMode="External"/><Relationship Id="rId736" Type="http://schemas.openxmlformats.org/officeDocument/2006/relationships/hyperlink" Target="https://www.hensonaslam.co.uk/how-we-work/our-fees" TargetMode="External"/><Relationship Id="rId1061" Type="http://schemas.openxmlformats.org/officeDocument/2006/relationships/hyperlink" Target="https://find-and-update.company-information.service.gov.uk/company/03855110" TargetMode="External"/><Relationship Id="rId1159" Type="http://schemas.openxmlformats.org/officeDocument/2006/relationships/hyperlink" Target="https://markets.ft.com/data/funds/tearsheet/summary?s=GB00BFBFYQ25:GBP" TargetMode="External"/><Relationship Id="rId168" Type="http://schemas.openxmlformats.org/officeDocument/2006/relationships/hyperlink" Target="https://www.tfp-fp.com/" TargetMode="External"/><Relationship Id="rId943" Type="http://schemas.openxmlformats.org/officeDocument/2006/relationships/hyperlink" Target="https://www.cosgrovepartnership.com/our-fees/" TargetMode="External"/><Relationship Id="rId1019" Type="http://schemas.openxmlformats.org/officeDocument/2006/relationships/hyperlink" Target="http://www.andersbayleyscott.co.uk/" TargetMode="External"/><Relationship Id="rId7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75" Type="http://schemas.openxmlformats.org/officeDocument/2006/relationships/hyperlink" Target="https://find-and-update.company-information.service.gov.uk/company/OC338518/filing-history" TargetMode="External"/><Relationship Id="rId582" Type="http://schemas.openxmlformats.org/officeDocument/2006/relationships/hyperlink" Target="https://find-and-update.company-information.service.gov.uk/company/03909177/filing-history" TargetMode="External"/><Relationship Id="rId803" Type="http://schemas.openxmlformats.org/officeDocument/2006/relationships/hyperlink" Target="http://www.empowerpartners.co.uk/" TargetMode="External"/><Relationship Id="rId1226" Type="http://schemas.openxmlformats.org/officeDocument/2006/relationships/hyperlink" Target="https://markets.ft.com/data/funds/tearsheet/summary?s=GB00BFBFYQ25:GBP" TargetMode="External"/><Relationship Id="rId3" Type="http://schemas.openxmlformats.org/officeDocument/2006/relationships/hyperlink" Target="https://cdn.simplyplatform.co.uk/simplycluster3-web2/wp-content/uploads/sites/279/2025/10/31135135/1-MIPH-Terms-of-Business-2025-08-D80-1.pdf" TargetMode="External"/><Relationship Id="rId235" Type="http://schemas.openxmlformats.org/officeDocument/2006/relationships/hyperlink" Target="https://3-sfinancial.com/fees/" TargetMode="External"/><Relationship Id="rId442" Type="http://schemas.openxmlformats.org/officeDocument/2006/relationships/hyperlink" Target="https://willowfinancial.co.uk/wp-content/uploads/2025/06/Key-Facts-WFPv8-Jun25.pdf" TargetMode="External"/><Relationship Id="rId887" Type="http://schemas.openxmlformats.org/officeDocument/2006/relationships/hyperlink" Target="https://find-and-update.company-information.service.gov.uk/company/02090838/filing-history" TargetMode="External"/><Relationship Id="rId1072" Type="http://schemas.openxmlformats.org/officeDocument/2006/relationships/hyperlink" Target="https://www.nivenfinancial.co.uk/" TargetMode="External"/><Relationship Id="rId302" Type="http://schemas.openxmlformats.org/officeDocument/2006/relationships/hyperlink" Target="https://5deae023-4bbb-4f4f-8c02-446cd6ad798c.filesusr.com/ugd/499be7_b2c7f06368504f51a52ef5270efdc00b.pdf" TargetMode="External"/><Relationship Id="rId747" Type="http://schemas.openxmlformats.org/officeDocument/2006/relationships/hyperlink" Target="https://simplefinancialadvice.co.uk/our-fees/" TargetMode="External"/><Relationship Id="rId954" Type="http://schemas.openxmlformats.org/officeDocument/2006/relationships/hyperlink" Target="https://www.onelifewealth.co.uk/fees/" TargetMode="External"/><Relationship Id="rId83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79" Type="http://schemas.openxmlformats.org/officeDocument/2006/relationships/hyperlink" Target="https://www.fairstone.co.uk/wpblobe464e547d2/wp-content/uploads/2025/03/BRKM_Fairstone-Brooks-Macdonald-4-Income_0226.pdf" TargetMode="External"/><Relationship Id="rId386" Type="http://schemas.openxmlformats.org/officeDocument/2006/relationships/hyperlink" Target="https://ovationfinance.co.uk/how-we-work/our-fees/" TargetMode="External"/><Relationship Id="rId593" Type="http://schemas.openxmlformats.org/officeDocument/2006/relationships/hyperlink" Target="https://find-and-update.company-information.service.gov.uk/company/13685687/filing-history" TargetMode="External"/><Relationship Id="rId607" Type="http://schemas.openxmlformats.org/officeDocument/2006/relationships/hyperlink" Target="https://www.nextchapterfp.co.uk/https:/www.nextchapterfp.co.uk/" TargetMode="External"/><Relationship Id="rId814" Type="http://schemas.openxmlformats.org/officeDocument/2006/relationships/hyperlink" Target="https://find-and-update.company-information.service.gov.uk/company/12283391/filing-history" TargetMode="External"/><Relationship Id="rId1237" Type="http://schemas.openxmlformats.org/officeDocument/2006/relationships/hyperlink" Target="https://markets.ft.com/data/funds/tearsheet/summary?s=GB00BFBFYQ25:GBP" TargetMode="External"/><Relationship Id="rId246" Type="http://schemas.openxmlformats.org/officeDocument/2006/relationships/hyperlink" Target="https://find-and-update.company-information.service.gov.uk/company/11111845/filing-history" TargetMode="External"/><Relationship Id="rId453" Type="http://schemas.openxmlformats.org/officeDocument/2006/relationships/hyperlink" Target="https://find-and-update.company-information.service.gov.uk/company/OC313878/filing-history" TargetMode="External"/><Relationship Id="rId660" Type="http://schemas.openxmlformats.org/officeDocument/2006/relationships/hyperlink" Target="https://www.sturdyedwards.co.uk/" TargetMode="External"/><Relationship Id="rId898" Type="http://schemas.openxmlformats.org/officeDocument/2006/relationships/hyperlink" Target="https://content.rathbones.com/Rathbones/Rathbones%20Private%20Client%20Brochure.PDF" TargetMode="External"/><Relationship Id="rId1083" Type="http://schemas.openxmlformats.org/officeDocument/2006/relationships/hyperlink" Target="https://www.sfp-ifa.co.uk/" TargetMode="External"/><Relationship Id="rId1290" Type="http://schemas.openxmlformats.org/officeDocument/2006/relationships/hyperlink" Target="https://markets.ft.com/data/funds/tearsheet/summary?s=GB00BFBFYQ25:GBP" TargetMode="External"/><Relationship Id="rId1304" Type="http://schemas.openxmlformats.org/officeDocument/2006/relationships/hyperlink" Target="https://markets.ft.com/data/funds/tearsheet/summary?s=GB00BFBFYQ25:GBP" TargetMode="External"/><Relationship Id="rId10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13" Type="http://schemas.openxmlformats.org/officeDocument/2006/relationships/hyperlink" Target="https://beyondfinance.org.uk/our-fees-and-services/" TargetMode="External"/><Relationship Id="rId758" Type="http://schemas.openxmlformats.org/officeDocument/2006/relationships/hyperlink" Target="http://www.haymarketifa.co.uk/" TargetMode="External"/><Relationship Id="rId965" Type="http://schemas.openxmlformats.org/officeDocument/2006/relationships/hyperlink" Target="https://find-and-update.company-information.service.gov.uk/company/04822446/filing-history" TargetMode="External"/><Relationship Id="rId1150" Type="http://schemas.openxmlformats.org/officeDocument/2006/relationships/hyperlink" Target="https://markets.ft.com/data/funds/tearsheet/summary?s=GB00BFBFYQ25:GBP" TargetMode="External"/><Relationship Id="rId10" Type="http://schemas.openxmlformats.org/officeDocument/2006/relationships/hyperlink" Target="https://www.ontrakfp.co.uk/" TargetMode="External"/><Relationship Id="rId94" Type="http://schemas.openxmlformats.org/officeDocument/2006/relationships/hyperlink" Target="https://find-and-update.company-information.service.gov.uk/company/OC368475/filing-history" TargetMode="External"/><Relationship Id="rId397" Type="http://schemas.openxmlformats.org/officeDocument/2006/relationships/hyperlink" Target="http://www.shortswealth.co.uk/" TargetMode="External"/><Relationship Id="rId520" Type="http://schemas.openxmlformats.org/officeDocument/2006/relationships/hyperlink" Target="https://systemviewer.kiihub.com/documents/SMIT/G1OB_UnitedKingdom_EN-GB.pdf" TargetMode="External"/><Relationship Id="rId618" Type="http://schemas.openxmlformats.org/officeDocument/2006/relationships/hyperlink" Target="https://www.quilter.com/4a330d/siteassets/documents/platform/guides-and-brochures/18035-making-the-cost-of-investment-clear.pdf" TargetMode="External"/><Relationship Id="rId825" Type="http://schemas.openxmlformats.org/officeDocument/2006/relationships/hyperlink" Target="https://www.leeburnfinancial.com/$PRIMARY_SITE_URL/our-fees" TargetMode="External"/><Relationship Id="rId1248" Type="http://schemas.openxmlformats.org/officeDocument/2006/relationships/hyperlink" Target="https://markets.ft.com/data/funds/tearsheet/summary?s=GB00BFBFYQ25:GBP" TargetMode="External"/><Relationship Id="rId257" Type="http://schemas.openxmlformats.org/officeDocument/2006/relationships/hyperlink" Target="https://www.bankofscotland.co.uk/wealth-management/fees-and-charges.html" TargetMode="External"/><Relationship Id="rId464" Type="http://schemas.openxmlformats.org/officeDocument/2006/relationships/hyperlink" Target="https://find-and-update.company-information.service.gov.uk/company/00666518/filing-history" TargetMode="External"/><Relationship Id="rId1010" Type="http://schemas.openxmlformats.org/officeDocument/2006/relationships/hyperlink" Target="https://protean-capital.com/" TargetMode="External"/><Relationship Id="rId1094" Type="http://schemas.openxmlformats.org/officeDocument/2006/relationships/hyperlink" Target="https://sipwealthmanagement.co.uk/client-documents/client-agreement-and-service-proposition/" TargetMode="External"/><Relationship Id="rId1108" Type="http://schemas.openxmlformats.org/officeDocument/2006/relationships/hyperlink" Target="https://markets.ft.com/data/funds/tearsheet/summary?s=GB00BFBFYQ25:GBP" TargetMode="External"/><Relationship Id="rId1315" Type="http://schemas.openxmlformats.org/officeDocument/2006/relationships/hyperlink" Target="https://markets.ft.com/data/funds/tearsheet/summary?s=GB00BFBFYQ25:GBP" TargetMode="External"/><Relationship Id="rId117" Type="http://schemas.openxmlformats.org/officeDocument/2006/relationships/hyperlink" Target="../../../../../Downloads/Factsheet-20251231-Saltus-Managed-Plus-Balanced.pdf" TargetMode="External"/><Relationship Id="rId671" Type="http://schemas.openxmlformats.org/officeDocument/2006/relationships/hyperlink" Target="https://www.wellsgibson.uk/wp-content/uploads/2022/10/202209_WG_Terms-of-Business_Final.pdf" TargetMode="External"/><Relationship Id="rId769" Type="http://schemas.openxmlformats.org/officeDocument/2006/relationships/hyperlink" Target="https://www.ifslfunds.com/funds/ifsl-ascot-lloyd-3?citicode=Q6KX" TargetMode="External"/><Relationship Id="rId976" Type="http://schemas.openxmlformats.org/officeDocument/2006/relationships/hyperlink" Target="https://www.jacksons.life/what-will-it-cost" TargetMode="External"/><Relationship Id="rId324" Type="http://schemas.openxmlformats.org/officeDocument/2006/relationships/hyperlink" Target="http://www.charlesdeanuk.com/" TargetMode="External"/><Relationship Id="rId531" Type="http://schemas.openxmlformats.org/officeDocument/2006/relationships/hyperlink" Target="https://www.fidelity.co.uk/factsheet-data/factsheet/GB00BF8DCB08-fidelity-select-50-balanced-pi-acc/key-statistics" TargetMode="External"/><Relationship Id="rId629" Type="http://schemas.openxmlformats.org/officeDocument/2006/relationships/hyperlink" Target="https://find-and-update.company-information.service.gov.uk/company/02205894/filing-history" TargetMode="External"/><Relationship Id="rId1161" Type="http://schemas.openxmlformats.org/officeDocument/2006/relationships/hyperlink" Target="https://markets.ft.com/data/funds/tearsheet/summary?s=GB00BFBFYQ25:GBP" TargetMode="External"/><Relationship Id="rId1259" Type="http://schemas.openxmlformats.org/officeDocument/2006/relationships/hyperlink" Target="https://markets.ft.com/data/funds/tearsheet/summary?s=GB00BFBFYQ25:GBP" TargetMode="External"/><Relationship Id="rId836" Type="http://schemas.openxmlformats.org/officeDocument/2006/relationships/hyperlink" Target="https://find-and-update.company-information.service.gov.uk/company/05800712/filing-history" TargetMode="External"/><Relationship Id="rId1021" Type="http://schemas.openxmlformats.org/officeDocument/2006/relationships/hyperlink" Target="https://www.archytas-strategic.com/" TargetMode="External"/><Relationship Id="rId1119" Type="http://schemas.openxmlformats.org/officeDocument/2006/relationships/hyperlink" Target="https://markets.ft.com/data/funds/tearsheet/summary?s=GB00BFBFYQ25:GBP" TargetMode="External"/><Relationship Id="rId903" Type="http://schemas.openxmlformats.org/officeDocument/2006/relationships/hyperlink" Target="https://cdn.mediavalet.com/eunl/equilibrium/1RhYNvw3zEShfBf12GUS0Q/OaHqL1loxEaQzvJpM4R1qA/Original/Retail%20Client%20Agreement%20-%20May%202022.pdf" TargetMode="External"/><Relationship Id="rId1326" Type="http://schemas.openxmlformats.org/officeDocument/2006/relationships/hyperlink" Target="https://markets.ft.com/data/funds/tearsheet/summary?s=GB00BFBFYQ25:GBP" TargetMode="External"/><Relationship Id="rId32" Type="http://schemas.openxmlformats.org/officeDocument/2006/relationships/hyperlink" Target="https://www.amberriver.com/jf" TargetMode="External"/><Relationship Id="rId181" Type="http://schemas.openxmlformats.org/officeDocument/2006/relationships/hyperlink" Target="http://www.db.com/" TargetMode="External"/><Relationship Id="rId279" Type="http://schemas.openxmlformats.org/officeDocument/2006/relationships/hyperlink" Target="https://find-and-update.company-information.service.gov.uk/company/01855866/filing-history" TargetMode="External"/><Relationship Id="rId486" Type="http://schemas.openxmlformats.org/officeDocument/2006/relationships/hyperlink" Target="https://www.copperhousefinancial.co.uk/" TargetMode="External"/><Relationship Id="rId693" Type="http://schemas.openxmlformats.org/officeDocument/2006/relationships/hyperlink" Target="https://www.abacusfinancialoptions.co.uk/_files/ugd/4a5219_9eeff87b8d8748e8a061533b02d55f61.pdf" TargetMode="External"/><Relationship Id="rId139" Type="http://schemas.openxmlformats.org/officeDocument/2006/relationships/hyperlink" Target="https://footes-financialplanning.co.uk/our-fees/" TargetMode="External"/><Relationship Id="rId34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553" Type="http://schemas.openxmlformats.org/officeDocument/2006/relationships/hyperlink" Target="https://find-and-update.company-information.service.gov.uk/company/SC237615/filing-history" TargetMode="External"/><Relationship Id="rId760" Type="http://schemas.openxmlformats.org/officeDocument/2006/relationships/hyperlink" Target="https://find-and-update.company-information.service.gov.uk/company/13427494/filing-history" TargetMode="External"/><Relationship Id="rId998" Type="http://schemas.openxmlformats.org/officeDocument/2006/relationships/hyperlink" Target="https://www.goldmansachs.com/" TargetMode="External"/><Relationship Id="rId1183" Type="http://schemas.openxmlformats.org/officeDocument/2006/relationships/hyperlink" Target="https://markets.ft.com/data/funds/tearsheet/summary?s=GB00BFBFYQ25:GBP" TargetMode="External"/><Relationship Id="rId206" Type="http://schemas.openxmlformats.org/officeDocument/2006/relationships/hyperlink" Target="http://www.rcbim.co.uk/" TargetMode="External"/><Relationship Id="rId413" Type="http://schemas.openxmlformats.org/officeDocument/2006/relationships/hyperlink" Target="https://ssfs.co.uk/wp-content/uploads/2024/06/SSFS-Service-Level-Options-2021.03-V2.pdf" TargetMode="External"/><Relationship Id="rId858" Type="http://schemas.openxmlformats.org/officeDocument/2006/relationships/hyperlink" Target="https://find-and-update.company-information.service.gov.uk/company/07005462/filing-history" TargetMode="External"/><Relationship Id="rId1043" Type="http://schemas.openxmlformats.org/officeDocument/2006/relationships/hyperlink" Target="https://partnerswealthmanagement.co.uk/" TargetMode="External"/><Relationship Id="rId620" Type="http://schemas.openxmlformats.org/officeDocument/2006/relationships/hyperlink" Target="http://www.quilter.com/" TargetMode="External"/><Relationship Id="rId718" Type="http://schemas.openxmlformats.org/officeDocument/2006/relationships/hyperlink" Target="https://www.ansteeco.co.uk/about-us/our-fees/" TargetMode="External"/><Relationship Id="rId925" Type="http://schemas.openxmlformats.org/officeDocument/2006/relationships/hyperlink" Target="https://www.successionwealth.co.uk/about-us/our-fees" TargetMode="External"/><Relationship Id="rId1250" Type="http://schemas.openxmlformats.org/officeDocument/2006/relationships/hyperlink" Target="https://markets.ft.com/data/funds/tearsheet/summary?s=GB00BFBFYQ25:GBP" TargetMode="External"/><Relationship Id="rId1110" Type="http://schemas.openxmlformats.org/officeDocument/2006/relationships/hyperlink" Target="https://markets.ft.com/data/funds/tearsheet/summary?s=GB00BFBFYQ25:GBP" TargetMode="External"/><Relationship Id="rId1208" Type="http://schemas.openxmlformats.org/officeDocument/2006/relationships/hyperlink" Target="https://markets.ft.com/data/funds/tearsheet/summary?s=GB00BFBFYQ25:GBP" TargetMode="External"/><Relationship Id="rId54" Type="http://schemas.openxmlformats.org/officeDocument/2006/relationships/hyperlink" Target="https://www.ubp.com/uk" TargetMode="External"/><Relationship Id="rId270" Type="http://schemas.openxmlformats.org/officeDocument/2006/relationships/hyperlink" Target="https://find-and-update.company-information.service.gov.uk/company/10901658/filing-history" TargetMode="External"/><Relationship Id="rId130" Type="http://schemas.openxmlformats.org/officeDocument/2006/relationships/hyperlink" Target="https://burfieldfp.co.uk/charges/" TargetMode="External"/><Relationship Id="rId368" Type="http://schemas.openxmlformats.org/officeDocument/2006/relationships/hyperlink" Target="https://find-and-update.company-information.service.gov.uk/company/05419866/filing-history" TargetMode="External"/><Relationship Id="rId575" Type="http://schemas.openxmlformats.org/officeDocument/2006/relationships/hyperlink" Target="https://www.investaxlimited.co.uk/our-fees/" TargetMode="External"/><Relationship Id="rId782" Type="http://schemas.openxmlformats.org/officeDocument/2006/relationships/hyperlink" Target="https://www.ifslfunds.com/funds/ifsl-ascot-lloyd-3?citicode=Q6KX" TargetMode="External"/><Relationship Id="rId228" Type="http://schemas.openxmlformats.org/officeDocument/2006/relationships/hyperlink" Target="https://www.middletonprivatecapital.co.uk/" TargetMode="External"/><Relationship Id="rId435" Type="http://schemas.openxmlformats.org/officeDocument/2006/relationships/hyperlink" Target="https://wakeupyourwealth.com/wp-content/uploads/2024/04/TOB-with-SA-Jan-2024-1.pdf" TargetMode="External"/><Relationship Id="rId642" Type="http://schemas.openxmlformats.org/officeDocument/2006/relationships/hyperlink" Target="https://www.londonstockexchange.com/news-article/SG52/annual-financial-report/17465483" TargetMode="External"/><Relationship Id="rId1065" Type="http://schemas.openxmlformats.org/officeDocument/2006/relationships/hyperlink" Target="https://www.msgifa.co.uk/" TargetMode="External"/><Relationship Id="rId1272" Type="http://schemas.openxmlformats.org/officeDocument/2006/relationships/hyperlink" Target="https://markets.ft.com/data/funds/tearsheet/summary?s=GB00BFBFYQ25:GBP" TargetMode="External"/><Relationship Id="rId502" Type="http://schemas.openxmlformats.org/officeDocument/2006/relationships/hyperlink" Target="https://systemviewer.kiihub.com/documents/SMIT/G1OB_UnitedKingdom_EN-GB.pdf" TargetMode="External"/><Relationship Id="rId947" Type="http://schemas.openxmlformats.org/officeDocument/2006/relationships/hyperlink" Target="https://find-and-update.company-information.service.gov.uk/company/13190901/filing-history" TargetMode="External"/><Relationship Id="rId1132" Type="http://schemas.openxmlformats.org/officeDocument/2006/relationships/hyperlink" Target="https://markets.ft.com/data/funds/tearsheet/summary?s=GB00BFBFYQ25:GBP" TargetMode="External"/><Relationship Id="rId7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807" Type="http://schemas.openxmlformats.org/officeDocument/2006/relationships/hyperlink" Target="https://www.expertifp.com/our-fees" TargetMode="External"/><Relationship Id="rId292" Type="http://schemas.openxmlformats.org/officeDocument/2006/relationships/hyperlink" Target="https://www.kelvinfp.com/fees" TargetMode="External"/><Relationship Id="rId597" Type="http://schemas.openxmlformats.org/officeDocument/2006/relationships/hyperlink" Target="https://find-and-update.company-information.service.gov.uk/company/03233275/filing-history" TargetMode="External"/><Relationship Id="rId152" Type="http://schemas.openxmlformats.org/officeDocument/2006/relationships/hyperlink" Target="https://find-and-update.company-information.service.gov.uk/company/09707423/filing-history" TargetMode="External"/><Relationship Id="rId457" Type="http://schemas.openxmlformats.org/officeDocument/2006/relationships/hyperlink" Target="https://find-and-update.company-information.service.gov.uk/company/03926629" TargetMode="External"/><Relationship Id="rId1087" Type="http://schemas.openxmlformats.org/officeDocument/2006/relationships/hyperlink" Target="https://goodmoneyguide.com/investing/wealth-management/?utm_source=copilot.com" TargetMode="External"/><Relationship Id="rId1294" Type="http://schemas.openxmlformats.org/officeDocument/2006/relationships/hyperlink" Target="https://markets.ft.com/data/funds/tearsheet/summary?s=GB00BFBFYQ25:GBP" TargetMode="External"/><Relationship Id="rId664" Type="http://schemas.openxmlformats.org/officeDocument/2006/relationships/hyperlink" Target="https://www.truepotential.co.uk/wp-content/uploads/2026/02/True-Potential-Allianz-Balanced-20260217.pdf" TargetMode="External"/><Relationship Id="rId871" Type="http://schemas.openxmlformats.org/officeDocument/2006/relationships/hyperlink" Target="https://find-and-update.company-information.service.gov.uk/company/10616529/filing-history" TargetMode="External"/><Relationship Id="rId969" Type="http://schemas.openxmlformats.org/officeDocument/2006/relationships/hyperlink" Target="https://rad-new.com/financial-planning/" TargetMode="External"/><Relationship Id="rId317" Type="http://schemas.openxmlformats.org/officeDocument/2006/relationships/hyperlink" Target="https://c-cluster-110.uploads.documents.cimpress.io/v1/uploads/f0bcd7da-3686-403d-b0ea-96298222dbe7~110/original?tenant=vbu-digital" TargetMode="External"/><Relationship Id="rId524" Type="http://schemas.openxmlformats.org/officeDocument/2006/relationships/hyperlink" Target="https://www.evelyn.com/fees-charges/" TargetMode="External"/><Relationship Id="rId731" Type="http://schemas.openxmlformats.org/officeDocument/2006/relationships/hyperlink" Target="https://www.fivewaysfp.co.uk/our-fees/" TargetMode="External"/><Relationship Id="rId1154" Type="http://schemas.openxmlformats.org/officeDocument/2006/relationships/hyperlink" Target="https://markets.ft.com/data/funds/tearsheet/summary?s=GB00BFBFYQ25:GBP" TargetMode="External"/><Relationship Id="rId98" Type="http://schemas.openxmlformats.org/officeDocument/2006/relationships/hyperlink" Target="https://www.amberriver.com/cm" TargetMode="External"/><Relationship Id="rId829" Type="http://schemas.openxmlformats.org/officeDocument/2006/relationships/hyperlink" Target="https://www.mosaacfinancial.uk/our-fees" TargetMode="External"/><Relationship Id="rId1014" Type="http://schemas.openxmlformats.org/officeDocument/2006/relationships/hyperlink" Target="http://www.moneyhoneyfp.co.uk/" TargetMode="External"/><Relationship Id="rId1221" Type="http://schemas.openxmlformats.org/officeDocument/2006/relationships/hyperlink" Target="https://markets.ft.com/data/funds/tearsheet/summary?s=GB00BFBFYQ25:GBP" TargetMode="External"/><Relationship Id="rId1319" Type="http://schemas.openxmlformats.org/officeDocument/2006/relationships/hyperlink" Target="https://markets.ft.com/data/funds/tearsheet/summary?s=GB00BFBFYQ25:GBP" TargetMode="External"/><Relationship Id="rId25" Type="http://schemas.openxmlformats.org/officeDocument/2006/relationships/hyperlink" Target="https://www.altorwealth.com/" TargetMode="External"/><Relationship Id="rId174" Type="http://schemas.openxmlformats.org/officeDocument/2006/relationships/hyperlink" Target="https://www.castlesundborn.co.uk/" TargetMode="External"/><Relationship Id="rId381" Type="http://schemas.openxmlformats.org/officeDocument/2006/relationships/hyperlink" Target="https://www.oliverfp.co.uk/" TargetMode="External"/><Relationship Id="rId241" Type="http://schemas.openxmlformats.org/officeDocument/2006/relationships/hyperlink" Target="https://cactusfp.co.uk/client-care/fees/" TargetMode="External"/><Relationship Id="rId479" Type="http://schemas.openxmlformats.org/officeDocument/2006/relationships/hyperlink" Target="https://find-and-update.company-information.service.gov.uk/company/07680418/filing-history" TargetMode="External"/><Relationship Id="rId686" Type="http://schemas.openxmlformats.org/officeDocument/2006/relationships/hyperlink" Target="http://www.hrs-am.co.uk/" TargetMode="External"/><Relationship Id="rId893" Type="http://schemas.openxmlformats.org/officeDocument/2006/relationships/hyperlink" Target="https://www.rathbones.com/en-gb/asset-management/individual-investor/fund-centre?utm_source=copilot.com" TargetMode="External"/><Relationship Id="rId339" Type="http://schemas.openxmlformats.org/officeDocument/2006/relationships/hyperlink" Target="https://documentscdn.financialexpress.net/Literature/B6538DA90D2B2ACCCD55AD0377BBAD59/237052008.pdf" TargetMode="External"/><Relationship Id="rId546" Type="http://schemas.openxmlformats.org/officeDocument/2006/relationships/hyperlink" Target="https://www.heathcotefp.co.uk/our-fees/" TargetMode="External"/><Relationship Id="rId753" Type="http://schemas.openxmlformats.org/officeDocument/2006/relationships/hyperlink" Target="https://www.verusfp.co.uk/our-fees/" TargetMode="External"/><Relationship Id="rId1176" Type="http://schemas.openxmlformats.org/officeDocument/2006/relationships/hyperlink" Target="https://markets.ft.com/data/funds/tearsheet/summary?s=GB00BFBFYQ25:GBP" TargetMode="External"/><Relationship Id="rId101" Type="http://schemas.openxmlformats.org/officeDocument/2006/relationships/hyperlink" Target="https://www.privatebank.citibank.com/ivc/docs/cpwm-regulation-best-interest.pdf" TargetMode="External"/><Relationship Id="rId406" Type="http://schemas.openxmlformats.org/officeDocument/2006/relationships/hyperlink" Target="https://www.valu-trac.com/administration-services/clients/esprit/tb/VT%20Esprit%20Tactical%20Balanced%20-%20February%202026.pdf" TargetMode="External"/><Relationship Id="rId960" Type="http://schemas.openxmlformats.org/officeDocument/2006/relationships/hyperlink" Target="https://luminwealth.co.uk/value-of-our-expertise/" TargetMode="External"/><Relationship Id="rId1036" Type="http://schemas.openxmlformats.org/officeDocument/2006/relationships/hyperlink" Target="https://www.cradleltd.co.uk/" TargetMode="External"/><Relationship Id="rId1243" Type="http://schemas.openxmlformats.org/officeDocument/2006/relationships/hyperlink" Target="https://markets.ft.com/data/funds/tearsheet/summary?s=GB00BFBFYQ25:GBP" TargetMode="External"/><Relationship Id="rId613" Type="http://schemas.openxmlformats.org/officeDocument/2006/relationships/hyperlink" Target="https://find-and-update.company-information.service.gov.uk/company/04802683/filing-history" TargetMode="External"/><Relationship Id="rId820" Type="http://schemas.openxmlformats.org/officeDocument/2006/relationships/hyperlink" Target="https://www.hoyl.co.uk/our-fees" TargetMode="External"/><Relationship Id="rId918" Type="http://schemas.openxmlformats.org/officeDocument/2006/relationships/hyperlink" Target="http://www.windsorfinancialplanning.co.uk/" TargetMode="External"/><Relationship Id="rId1103" Type="http://schemas.openxmlformats.org/officeDocument/2006/relationships/hyperlink" Target="https://markets.ft.com/data/funds/tearsheet/summary?s=GB00BFBFYQ25:GBP" TargetMode="External"/><Relationship Id="rId1310" Type="http://schemas.openxmlformats.org/officeDocument/2006/relationships/hyperlink" Target="https://markets.ft.com/data/funds/tearsheet/summary?s=GB00BFBFYQ25:GBP" TargetMode="External"/><Relationship Id="rId47" Type="http://schemas.openxmlformats.org/officeDocument/2006/relationships/hyperlink" Target="https://find-and-update.company-information.service.gov.uk/company/OC368475/filing-history" TargetMode="External"/><Relationship Id="rId196" Type="http://schemas.openxmlformats.org/officeDocument/2006/relationships/hyperlink" Target="https://find-and-update.company-information.service.gov.uk/company/SC326258/filing-history" TargetMode="External"/><Relationship Id="rId263" Type="http://schemas.openxmlformats.org/officeDocument/2006/relationships/hyperlink" Target="https://find-and-update.company-information.service.gov.uk/company/02135876/filing-history" TargetMode="External"/><Relationship Id="rId470" Type="http://schemas.openxmlformats.org/officeDocument/2006/relationships/hyperlink" Target="https://find-and-update.company-information.service.gov.uk/company/03063186/filing-history" TargetMode="External"/><Relationship Id="rId123" Type="http://schemas.openxmlformats.org/officeDocument/2006/relationships/hyperlink" Target="https://www.saltus.co.uk/" TargetMode="External"/><Relationship Id="rId330" Type="http://schemas.openxmlformats.org/officeDocument/2006/relationships/hyperlink" Target="https://find-and-update.company-information.service.gov.uk/company/02198916/filing-history" TargetMode="External"/><Relationship Id="rId568" Type="http://schemas.openxmlformats.org/officeDocument/2006/relationships/hyperlink" Target="https://www.hl.co.uk/funds/fund-discounts,-prices--and--factsheets/search-results/h/hl-balanced-managed-class-a-accumulation" TargetMode="External"/><Relationship Id="rId775" Type="http://schemas.openxmlformats.org/officeDocument/2006/relationships/hyperlink" Target="http://www.ascotlloyd.co.uk/" TargetMode="External"/><Relationship Id="rId982" Type="http://schemas.openxmlformats.org/officeDocument/2006/relationships/hyperlink" Target="https://www.adamandcompany.co.uk/%20canaccord-wealth" TargetMode="External"/><Relationship Id="rId1198" Type="http://schemas.openxmlformats.org/officeDocument/2006/relationships/hyperlink" Target="https://markets.ft.com/data/funds/tearsheet/summary?s=GB00BFBFYQ25:GBP" TargetMode="External"/><Relationship Id="rId428" Type="http://schemas.openxmlformats.org/officeDocument/2006/relationships/hyperlink" Target="https://titanpi.co.uk/wp-content/uploads/2026/01/Platform-Terms-of-Business.pdf" TargetMode="External"/><Relationship Id="rId635" Type="http://schemas.openxmlformats.org/officeDocument/2006/relationships/hyperlink" Target="https://www.santander.co.uk/personal/savings-and-investments/investments/fees-charges-and-key-documents" TargetMode="External"/><Relationship Id="rId842" Type="http://schemas.openxmlformats.org/officeDocument/2006/relationships/hyperlink" Target="https://shackletonadvisers.co.uk/why-were-different/fair-and-transparent-charges/" TargetMode="External"/><Relationship Id="rId1058" Type="http://schemas.openxmlformats.org/officeDocument/2006/relationships/hyperlink" Target="https://www.imperious-capital.co.uk/" TargetMode="External"/><Relationship Id="rId1265" Type="http://schemas.openxmlformats.org/officeDocument/2006/relationships/hyperlink" Target="https://markets.ft.com/data/funds/tearsheet/summary?s=GB00BFBFYQ25:GBP" TargetMode="External"/><Relationship Id="rId702" Type="http://schemas.openxmlformats.org/officeDocument/2006/relationships/hyperlink" Target="https://find-and-update.company-information.service.gov.uk/company/10739796/filing-history" TargetMode="External"/><Relationship Id="rId1125" Type="http://schemas.openxmlformats.org/officeDocument/2006/relationships/hyperlink" Target="https://markets.ft.com/data/funds/tearsheet/summary?s=GB00BFBFYQ25:GBP" TargetMode="External"/><Relationship Id="rId1332" Type="http://schemas.openxmlformats.org/officeDocument/2006/relationships/table" Target="../tables/table1.xml"/><Relationship Id="rId6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285" Type="http://schemas.openxmlformats.org/officeDocument/2006/relationships/hyperlink" Target="https://find-and-update.company-information.service.gov.uk/company/OC320661/filing-history" TargetMode="External"/><Relationship Id="rId492" Type="http://schemas.openxmlformats.org/officeDocument/2006/relationships/hyperlink" Target="http://www.createwealth.co.uk/" TargetMode="External"/><Relationship Id="rId797" Type="http://schemas.openxmlformats.org/officeDocument/2006/relationships/hyperlink" Target="https://find-and-update.company-information.service.gov.uk/company/07584487/filing-history" TargetMode="External"/><Relationship Id="rId145" Type="http://schemas.openxmlformats.org/officeDocument/2006/relationships/hyperlink" Target="https://find-and-update.company-information.service.gov.uk/company/03637689/filing-history" TargetMode="External"/><Relationship Id="rId352" Type="http://schemas.openxmlformats.org/officeDocument/2006/relationships/hyperlink" Target="https://www.gsigroup.co.uk/" TargetMode="External"/><Relationship Id="rId1287" Type="http://schemas.openxmlformats.org/officeDocument/2006/relationships/hyperlink" Target="https://markets.ft.com/data/funds/tearsheet/summary?s=GB00BFBFYQ25:GBP" TargetMode="External"/><Relationship Id="rId212" Type="http://schemas.openxmlformats.org/officeDocument/2006/relationships/hyperlink" Target="https://find-and-update.company-information.service.gov.uk/company/SC479675/filing-history" TargetMode="External"/><Relationship Id="rId657" Type="http://schemas.openxmlformats.org/officeDocument/2006/relationships/hyperlink" Target="https://www.brooksmacdonald.com/individuals/thank-you-visiting-integrity-wealth-management-website" TargetMode="External"/><Relationship Id="rId864" Type="http://schemas.openxmlformats.org/officeDocument/2006/relationships/hyperlink" Target="https://find-and-update.company-information.service.gov.uk/company/11261607" TargetMode="External"/><Relationship Id="rId517" Type="http://schemas.openxmlformats.org/officeDocument/2006/relationships/hyperlink" Target="https://www.evelyn.com/fees-charges/" TargetMode="External"/><Relationship Id="rId724" Type="http://schemas.openxmlformats.org/officeDocument/2006/relationships/hyperlink" Target="https://find-and-update.company-information.service.gov.uk/company/12088933/filing-history" TargetMode="External"/><Relationship Id="rId931" Type="http://schemas.openxmlformats.org/officeDocument/2006/relationships/hyperlink" Target="https://www.successionwealth.co.uk/navigator-financial-planning" TargetMode="External"/><Relationship Id="rId1147" Type="http://schemas.openxmlformats.org/officeDocument/2006/relationships/hyperlink" Target="https://markets.ft.com/data/funds/tearsheet/summary?s=GB00BFBFYQ25:GBP" TargetMode="External"/><Relationship Id="rId60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007" Type="http://schemas.openxmlformats.org/officeDocument/2006/relationships/hyperlink" Target="https://holistcsfm.com/" TargetMode="External"/><Relationship Id="rId1214" Type="http://schemas.openxmlformats.org/officeDocument/2006/relationships/hyperlink" Target="https://markets.ft.com/data/funds/tearsheet/summary?s=GB00BFBFYQ25:GBP" TargetMode="External"/><Relationship Id="rId18" Type="http://schemas.openxmlformats.org/officeDocument/2006/relationships/hyperlink" Target="https://www.sc.com/" TargetMode="External"/><Relationship Id="rId167" Type="http://schemas.openxmlformats.org/officeDocument/2006/relationships/hyperlink" Target="https://find-and-update.company-information.service.gov.uk/company/03654866/filing-history" TargetMode="External"/><Relationship Id="rId374" Type="http://schemas.openxmlformats.org/officeDocument/2006/relationships/hyperlink" Target="https://killik.com/media/iliccs2f/killikco_advised-master-rate-card_2025.pdf" TargetMode="External"/><Relationship Id="rId581" Type="http://schemas.openxmlformats.org/officeDocument/2006/relationships/hyperlink" Target="https://www.kdw.co.uk/assets/downloads/client-agreement-2023.pdf" TargetMode="External"/><Relationship Id="rId234" Type="http://schemas.openxmlformats.org/officeDocument/2006/relationships/hyperlink" Target="https://www.3-sfinancial.com/" TargetMode="External"/><Relationship Id="rId679" Type="http://schemas.openxmlformats.org/officeDocument/2006/relationships/hyperlink" Target="https://find-and-update.company-information.service.gov.uk/company/13903878/filing-history" TargetMode="External"/><Relationship Id="rId886" Type="http://schemas.openxmlformats.org/officeDocument/2006/relationships/hyperlink" Target="https://brochures.chasedevere.co.uk/private-client-terms-of-business" TargetMode="External"/><Relationship Id="rId2" Type="http://schemas.openxmlformats.org/officeDocument/2006/relationships/hyperlink" Target="https://www.michaelphilips.co.uk/" TargetMode="External"/><Relationship Id="rId441" Type="http://schemas.openxmlformats.org/officeDocument/2006/relationships/hyperlink" Target="https://find-and-update.company-information.service.gov.uk/company/03862593/filing-history" TargetMode="External"/><Relationship Id="rId539" Type="http://schemas.openxmlformats.org/officeDocument/2006/relationships/hyperlink" Target="https://find-and-update.company-information.service.gov.uk/company/04548286/filing-history" TargetMode="External"/><Relationship Id="rId746" Type="http://schemas.openxmlformats.org/officeDocument/2006/relationships/hyperlink" Target="https://find-and-update.company-information.service.gov.uk/company/11686218/filing-history" TargetMode="External"/><Relationship Id="rId1071" Type="http://schemas.openxmlformats.org/officeDocument/2006/relationships/hyperlink" Target="https://nfp.co.uk/" TargetMode="External"/><Relationship Id="rId1169" Type="http://schemas.openxmlformats.org/officeDocument/2006/relationships/hyperlink" Target="https://markets.ft.com/data/funds/tearsheet/summary?s=GB00BFBFYQ25:GBP" TargetMode="External"/><Relationship Id="rId301" Type="http://schemas.openxmlformats.org/officeDocument/2006/relationships/hyperlink" Target="https://www.atkinsbland.co.uk/" TargetMode="External"/><Relationship Id="rId953" Type="http://schemas.openxmlformats.org/officeDocument/2006/relationships/hyperlink" Target="https://find-and-update.company-information.service.gov.uk/company/03292960/filing-history" TargetMode="External"/><Relationship Id="rId1029" Type="http://schemas.openxmlformats.org/officeDocument/2006/relationships/hyperlink" Target="http://www.ascotlloyd.co.uk/" TargetMode="External"/><Relationship Id="rId1236" Type="http://schemas.openxmlformats.org/officeDocument/2006/relationships/hyperlink" Target="https://markets.ft.com/data/funds/tearsheet/summary?s=GB00BFBFYQ25:GBP" TargetMode="External"/><Relationship Id="rId82" Type="http://schemas.openxmlformats.org/officeDocument/2006/relationships/hyperlink" Target="https://find-and-update.company-information.service.gov.uk/company/04806442/filing-history" TargetMode="External"/><Relationship Id="rId606" Type="http://schemas.openxmlformats.org/officeDocument/2006/relationships/hyperlink" Target="https://find-and-update.company-information.service.gov.uk/company/SC083026/filing-history" TargetMode="External"/><Relationship Id="rId813" Type="http://schemas.openxmlformats.org/officeDocument/2006/relationships/hyperlink" Target="https://philpottfinancial.com/about-us/our-fees/" TargetMode="External"/><Relationship Id="rId1303" Type="http://schemas.openxmlformats.org/officeDocument/2006/relationships/hyperlink" Target="https://markets.ft.com/data/funds/tearsheet/summary?s=GB00BFBFYQ25:GBP" TargetMode="External"/><Relationship Id="rId189" Type="http://schemas.openxmlformats.org/officeDocument/2006/relationships/hyperlink" Target="http://www.acandco.com/" TargetMode="External"/><Relationship Id="rId396" Type="http://schemas.openxmlformats.org/officeDocument/2006/relationships/hyperlink" Target="https://www.valu-trac.com/administration-services/clients/esprit/tb/VT%20Esprit%20Tactical%20Balanced%20-%20February%202026.pdf" TargetMode="External"/><Relationship Id="rId256" Type="http://schemas.openxmlformats.org/officeDocument/2006/relationships/hyperlink" Target="https://find-and-update.company-information.service.gov.uk/company/09448681/filing-history" TargetMode="External"/><Relationship Id="rId463" Type="http://schemas.openxmlformats.org/officeDocument/2006/relationships/hyperlink" Target="https://www.ainv.co.uk/who-we-are/" TargetMode="External"/><Relationship Id="rId670" Type="http://schemas.openxmlformats.org/officeDocument/2006/relationships/hyperlink" Target="https://find-and-update.company-information.service.gov.uk/company/03938803/filing-history" TargetMode="External"/><Relationship Id="rId1093" Type="http://schemas.openxmlformats.org/officeDocument/2006/relationships/hyperlink" Target="https://m4fg.com/" TargetMode="External"/><Relationship Id="rId116" Type="http://schemas.openxmlformats.org/officeDocument/2006/relationships/hyperlink" Target="https://goodmoneyguide.com/investing/wealth-management/?utm_source=copilot.com" TargetMode="External"/><Relationship Id="rId323" Type="http://schemas.openxmlformats.org/officeDocument/2006/relationships/hyperlink" Target="http://www.ahvassociates.com/" TargetMode="External"/><Relationship Id="rId530" Type="http://schemas.openxmlformats.org/officeDocument/2006/relationships/hyperlink" Target="https://www.fidelity.co.uk/media/PI%20UK/pdf/fidelity-wealth-management-tob.pdf" TargetMode="External"/><Relationship Id="rId768" Type="http://schemas.openxmlformats.org/officeDocument/2006/relationships/hyperlink" Target="https://www.ascotlloyd.co.uk/our-service/fees/" TargetMode="External"/><Relationship Id="rId975" Type="http://schemas.openxmlformats.org/officeDocument/2006/relationships/hyperlink" Target="https://www.jacksons.life/" TargetMode="External"/><Relationship Id="rId1160" Type="http://schemas.openxmlformats.org/officeDocument/2006/relationships/hyperlink" Target="https://markets.ft.com/data/funds/tearsheet/summary?s=GB00BFBFYQ25:GBP" TargetMode="External"/><Relationship Id="rId628" Type="http://schemas.openxmlformats.org/officeDocument/2006/relationships/hyperlink" Target="https://www.richardsons-fs.co.uk/wp-content/uploads/2024/08/Retail-Client-Agreement-Jul-25-with-RFS-declaration.pdf" TargetMode="External"/><Relationship Id="rId835" Type="http://schemas.openxmlformats.org/officeDocument/2006/relationships/hyperlink" Target="https://serenityfp.com/our-fees/" TargetMode="External"/><Relationship Id="rId1258" Type="http://schemas.openxmlformats.org/officeDocument/2006/relationships/hyperlink" Target="https://markets.ft.com/data/funds/tearsheet/summary?s=GB00BFBFYQ25:GBP" TargetMode="External"/><Relationship Id="rId1020" Type="http://schemas.openxmlformats.org/officeDocument/2006/relationships/hyperlink" Target="https://www.andersbayleyscott.co.uk/image/data/2020%20ABS%20Client%20Agreement%20for%20Investments%20_June%202020_-min.pdf" TargetMode="External"/><Relationship Id="rId1118" Type="http://schemas.openxmlformats.org/officeDocument/2006/relationships/hyperlink" Target="https://markets.ft.com/data/funds/tearsheet/summary?s=GB00BFBFYQ25:GBP" TargetMode="External"/><Relationship Id="rId1325" Type="http://schemas.openxmlformats.org/officeDocument/2006/relationships/hyperlink" Target="https://markets.ft.com/data/funds/tearsheet/summary?s=GB00BFBFYQ25:GBP" TargetMode="External"/><Relationship Id="rId902" Type="http://schemas.openxmlformats.org/officeDocument/2006/relationships/hyperlink" Target="https://www.equilibrium.co.uk/" TargetMode="External"/><Relationship Id="rId31" Type="http://schemas.openxmlformats.org/officeDocument/2006/relationships/hyperlink" Target="https://find-and-update.company-information.service.gov.uk/company/01998413/filing-history" TargetMode="External"/><Relationship Id="rId180" Type="http://schemas.openxmlformats.org/officeDocument/2006/relationships/hyperlink" Target="https://find-and-update.company-information.service.gov.uk/company/03593750/filing-history" TargetMode="External"/><Relationship Id="rId278" Type="http://schemas.openxmlformats.org/officeDocument/2006/relationships/hyperlink" Target="https://www.grahamcarter.co.uk/our-charges" TargetMode="External"/><Relationship Id="rId485" Type="http://schemas.openxmlformats.org/officeDocument/2006/relationships/hyperlink" Target="https://find-and-update.company-information.service.gov.uk/company/03365186/filing-history" TargetMode="External"/><Relationship Id="rId692" Type="http://schemas.openxmlformats.org/officeDocument/2006/relationships/hyperlink" Target="https://find-and-update.company-information.service.gov.uk/company/04505262/filing-history" TargetMode="External"/><Relationship Id="rId138" Type="http://schemas.openxmlformats.org/officeDocument/2006/relationships/hyperlink" Target="http://www.footes-financialplanning.co.uk/" TargetMode="External"/><Relationship Id="rId345" Type="http://schemas.openxmlformats.org/officeDocument/2006/relationships/hyperlink" Target="https://find-and-update.company-information.service.gov.uk/company/04538689/filing-history" TargetMode="External"/><Relationship Id="rId552" Type="http://schemas.openxmlformats.org/officeDocument/2006/relationships/hyperlink" Target="https://www.heritableltd.co.uk/wp-content/uploads/2024/11/Heritable-Client-Agreement-Investments-and-Pensions-V2.pdf" TargetMode="External"/><Relationship Id="rId997" Type="http://schemas.openxmlformats.org/officeDocument/2006/relationships/hyperlink" Target="https://www.gerardsavarymortgages.com/" TargetMode="External"/><Relationship Id="rId1182" Type="http://schemas.openxmlformats.org/officeDocument/2006/relationships/hyperlink" Target="https://markets.ft.com/data/funds/tearsheet/summary?s=GB00BFBFYQ25:GBP" TargetMode="External"/><Relationship Id="rId205" Type="http://schemas.openxmlformats.org/officeDocument/2006/relationships/hyperlink" Target="https://find-and-update.company-information.service.gov.uk/company/SC054039/filing-history" TargetMode="External"/><Relationship Id="rId412" Type="http://schemas.openxmlformats.org/officeDocument/2006/relationships/hyperlink" Target="https://find-and-update.company-information.service.gov.uk/company/05399764" TargetMode="External"/><Relationship Id="rId857" Type="http://schemas.openxmlformats.org/officeDocument/2006/relationships/hyperlink" Target="https://veracityfp.co.uk/about-us/our-pension-investment-advice-fees/" TargetMode="External"/><Relationship Id="rId1042" Type="http://schemas.openxmlformats.org/officeDocument/2006/relationships/hyperlink" Target="https://dhfm.co.uk/wealth-management/" TargetMode="External"/><Relationship Id="rId717" Type="http://schemas.openxmlformats.org/officeDocument/2006/relationships/hyperlink" Target="https://find-and-update.company-information.service.gov.uk/company/03621676/filing-history" TargetMode="External"/><Relationship Id="rId924" Type="http://schemas.openxmlformats.org/officeDocument/2006/relationships/hyperlink" Target="http://www.successionwealth.co.uk/" TargetMode="External"/><Relationship Id="rId53" Type="http://schemas.openxmlformats.org/officeDocument/2006/relationships/hyperlink" Target="https://find-and-update.company-information.service.gov.uk/company/OC368475/filing-history" TargetMode="External"/><Relationship Id="rId1207" Type="http://schemas.openxmlformats.org/officeDocument/2006/relationships/hyperlink" Target="https://markets.ft.com/data/funds/tearsheet/summary?s=GB00BFBFYQ25:GBP" TargetMode="External"/><Relationship Id="rId367" Type="http://schemas.openxmlformats.org/officeDocument/2006/relationships/hyperlink" Target="https://indigofinancialadvice.simplycluster1-web6.kin.tomdsites.co.uk/wp-content/uploads/sites/852/2024/07/1.-INDIGO-CLIENT-AGREE-v17.pdf" TargetMode="External"/><Relationship Id="rId574" Type="http://schemas.openxmlformats.org/officeDocument/2006/relationships/hyperlink" Target="https://find-and-update.company-information.service.gov.uk/company/OC318393/filing-history" TargetMode="External"/><Relationship Id="rId227" Type="http://schemas.openxmlformats.org/officeDocument/2006/relationships/hyperlink" Target="https://find-and-update.company-information.service.gov.uk/company/SC448479/filing-history" TargetMode="External"/><Relationship Id="rId781" Type="http://schemas.openxmlformats.org/officeDocument/2006/relationships/hyperlink" Target="https://www.ascotlloyd.co.uk/our-service/fees/" TargetMode="External"/><Relationship Id="rId879" Type="http://schemas.openxmlformats.org/officeDocument/2006/relationships/hyperlink" Target="https://www.titanwci.com/media/ungdd0wj/priips-kid-balanced-usd-s-acc.pdf" TargetMode="External"/><Relationship Id="rId434" Type="http://schemas.openxmlformats.org/officeDocument/2006/relationships/hyperlink" Target="https://find-and-update.company-information.service.gov.uk/company/SC367442/filing-history" TargetMode="External"/><Relationship Id="rId641" Type="http://schemas.openxmlformats.org/officeDocument/2006/relationships/hyperlink" Target="https://www.skipton.co.uk/financial-advice/financial-advice-at-skipton" TargetMode="External"/><Relationship Id="rId739" Type="http://schemas.openxmlformats.org/officeDocument/2006/relationships/hyperlink" Target="https://macbethscottinvestments.co.uk/about/our-fees/" TargetMode="External"/><Relationship Id="rId1064" Type="http://schemas.openxmlformats.org/officeDocument/2006/relationships/hyperlink" Target="https://www.msgifa.co.uk/" TargetMode="External"/><Relationship Id="rId1271" Type="http://schemas.openxmlformats.org/officeDocument/2006/relationships/hyperlink" Target="https://markets.ft.com/data/funds/tearsheet/summary?s=GB00BFBFYQ25:GBP" TargetMode="External"/><Relationship Id="rId501" Type="http://schemas.openxmlformats.org/officeDocument/2006/relationships/hyperlink" Target="https://www.evelyn.com/fees-charges/" TargetMode="External"/><Relationship Id="rId946" Type="http://schemas.openxmlformats.org/officeDocument/2006/relationships/hyperlink" Target="https://perryjones.uk/how-we-are-paid/" TargetMode="External"/><Relationship Id="rId1131" Type="http://schemas.openxmlformats.org/officeDocument/2006/relationships/hyperlink" Target="https://markets.ft.com/data/funds/tearsheet/summary?s=GB00BFBFYQ25:GBP" TargetMode="External"/><Relationship Id="rId1229" Type="http://schemas.openxmlformats.org/officeDocument/2006/relationships/hyperlink" Target="https://markets.ft.com/data/funds/tearsheet/summary?s=GB00BFBFYQ25:GBP" TargetMode="External"/><Relationship Id="rId75" Type="http://schemas.openxmlformats.org/officeDocument/2006/relationships/hyperlink" Target="http://www.amberriver.com/midlands" TargetMode="External"/><Relationship Id="rId806" Type="http://schemas.openxmlformats.org/officeDocument/2006/relationships/hyperlink" Target="https://www.expertifp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D7D5B-567C-4288-8791-BE6623D60C08}">
  <dimension ref="A1:XDC5685"/>
  <sheetViews>
    <sheetView tabSelected="1" zoomScale="80" zoomScaleNormal="80" workbookViewId="0">
      <pane xSplit="2" topLeftCell="C1" activePane="topRight" state="frozen"/>
      <selection activeCell="A5658" sqref="A5658"/>
      <selection pane="topRight" activeCell="H10" sqref="H10"/>
    </sheetView>
  </sheetViews>
  <sheetFormatPr defaultColWidth="15" defaultRowHeight="14.25" x14ac:dyDescent="0.45"/>
  <cols>
    <col min="1" max="1" width="12" style="124" customWidth="1"/>
    <col min="2" max="2" width="31.59765625" style="124" customWidth="1"/>
    <col min="3" max="3" width="32.265625" style="124" customWidth="1"/>
    <col min="4" max="4" width="10.6640625" style="124" customWidth="1"/>
    <col min="5" max="5" width="10.06640625" style="124" customWidth="1"/>
    <col min="6" max="6" width="11.06640625" style="124" customWidth="1"/>
    <col min="7" max="7" width="12.265625" style="124" customWidth="1"/>
    <col min="8" max="8" width="32.86328125" style="124" customWidth="1"/>
    <col min="9" max="9" width="17.3984375" style="124" customWidth="1"/>
    <col min="10" max="10" width="19" style="124" customWidth="1"/>
    <col min="11" max="11" width="11.73046875" style="124" customWidth="1"/>
    <col min="12" max="12" width="11.1328125" hidden="1" customWidth="1"/>
    <col min="13" max="13" width="30.1328125" style="124" customWidth="1"/>
    <col min="14" max="14" width="47" style="124" customWidth="1"/>
    <col min="15" max="15" width="47.59765625" style="141" customWidth="1"/>
    <col min="16" max="16" width="23.59765625" style="124" customWidth="1"/>
    <col min="17" max="17" width="19.1328125" style="124" customWidth="1"/>
    <col min="18" max="18" width="18.3984375" style="124" customWidth="1"/>
    <col min="19" max="19" width="17.19921875" style="130" bestFit="1" customWidth="1"/>
    <col min="20" max="20" width="25.265625" style="124" customWidth="1"/>
    <col min="21" max="21" width="11.33203125" style="124" customWidth="1"/>
    <col min="22" max="22" width="104.265625" style="124" bestFit="1" customWidth="1"/>
    <col min="23" max="23" width="12.86328125" style="124" customWidth="1"/>
    <col min="24" max="24" width="11.73046875" style="124" customWidth="1"/>
    <col min="25" max="74" width="12.73046875" style="124" customWidth="1"/>
    <col min="75" max="974" width="13.86328125" style="124" customWidth="1"/>
    <col min="975" max="9974" width="15" style="124"/>
    <col min="9975" max="16384" width="16.1328125" style="124" customWidth="1"/>
  </cols>
  <sheetData>
    <row r="1" spans="1:16331" ht="21" customHeight="1" thickBot="1" x14ac:dyDescent="0.5">
      <c r="A1" s="121" t="s">
        <v>0</v>
      </c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2" t="s">
        <v>6</v>
      </c>
      <c r="H1" s="122" t="s">
        <v>26946</v>
      </c>
      <c r="I1" s="122" t="s">
        <v>7</v>
      </c>
      <c r="J1" s="122" t="s">
        <v>8</v>
      </c>
      <c r="K1" s="122" t="s">
        <v>9</v>
      </c>
      <c r="L1" s="1" t="s">
        <v>10</v>
      </c>
      <c r="M1" s="122" t="s">
        <v>11</v>
      </c>
      <c r="N1" s="122" t="s">
        <v>12</v>
      </c>
      <c r="O1" s="122" t="s">
        <v>13</v>
      </c>
      <c r="P1" s="122" t="s">
        <v>14</v>
      </c>
      <c r="Q1" s="122" t="s">
        <v>15</v>
      </c>
      <c r="R1" s="122" t="s">
        <v>16</v>
      </c>
      <c r="S1" s="123" t="s">
        <v>17</v>
      </c>
      <c r="T1" s="122" t="s">
        <v>18</v>
      </c>
      <c r="U1" s="122" t="s">
        <v>19</v>
      </c>
      <c r="V1" s="122" t="s">
        <v>20</v>
      </c>
      <c r="W1" s="122" t="s">
        <v>21</v>
      </c>
      <c r="X1" s="122" t="s">
        <v>22</v>
      </c>
      <c r="Y1" s="122" t="s">
        <v>23</v>
      </c>
      <c r="Z1" s="122" t="s">
        <v>24</v>
      </c>
      <c r="AA1" s="122" t="s">
        <v>25</v>
      </c>
      <c r="AB1" s="122" t="s">
        <v>26</v>
      </c>
      <c r="AC1" s="122" t="s">
        <v>27</v>
      </c>
      <c r="AD1" s="122" t="s">
        <v>28</v>
      </c>
      <c r="AE1" s="122" t="s">
        <v>29</v>
      </c>
      <c r="AF1" s="122" t="s">
        <v>30</v>
      </c>
      <c r="AG1" s="122" t="s">
        <v>31</v>
      </c>
      <c r="AH1" s="122" t="s">
        <v>32</v>
      </c>
      <c r="AI1" s="122" t="s">
        <v>33</v>
      </c>
      <c r="AJ1" s="122" t="s">
        <v>34</v>
      </c>
      <c r="AK1" s="122" t="s">
        <v>35</v>
      </c>
      <c r="AL1" s="122" t="s">
        <v>36</v>
      </c>
      <c r="AM1" s="122" t="s">
        <v>37</v>
      </c>
      <c r="AN1" s="122" t="s">
        <v>38</v>
      </c>
      <c r="AO1" s="122" t="s">
        <v>39</v>
      </c>
      <c r="AP1" s="122" t="s">
        <v>40</v>
      </c>
      <c r="AQ1" s="122" t="s">
        <v>41</v>
      </c>
      <c r="AR1" s="122" t="s">
        <v>42</v>
      </c>
      <c r="AS1" s="122" t="s">
        <v>43</v>
      </c>
      <c r="AT1" s="122" t="s">
        <v>44</v>
      </c>
      <c r="AU1" s="122" t="s">
        <v>45</v>
      </c>
      <c r="AV1" s="122" t="s">
        <v>46</v>
      </c>
      <c r="AW1" s="122" t="s">
        <v>47</v>
      </c>
      <c r="AX1" s="122" t="s">
        <v>48</v>
      </c>
      <c r="AY1" s="122" t="s">
        <v>49</v>
      </c>
      <c r="AZ1" s="122" t="s">
        <v>50</v>
      </c>
      <c r="BA1" s="122" t="s">
        <v>51</v>
      </c>
      <c r="BB1" s="122" t="s">
        <v>52</v>
      </c>
      <c r="BC1" s="122" t="s">
        <v>53</v>
      </c>
      <c r="BD1" s="122" t="s">
        <v>54</v>
      </c>
      <c r="BE1" s="122" t="s">
        <v>55</v>
      </c>
      <c r="BF1" s="122" t="s">
        <v>56</v>
      </c>
      <c r="BG1" s="122" t="s">
        <v>57</v>
      </c>
      <c r="BH1" s="122" t="s">
        <v>58</v>
      </c>
      <c r="BI1" s="122" t="s">
        <v>59</v>
      </c>
      <c r="BJ1" s="122" t="s">
        <v>60</v>
      </c>
      <c r="BK1" s="122" t="s">
        <v>61</v>
      </c>
      <c r="BL1" s="122" t="s">
        <v>62</v>
      </c>
      <c r="BM1" s="122" t="s">
        <v>63</v>
      </c>
      <c r="BN1" s="122" t="s">
        <v>64</v>
      </c>
      <c r="BO1" s="122" t="s">
        <v>65</v>
      </c>
      <c r="BP1" s="122" t="s">
        <v>66</v>
      </c>
      <c r="BQ1" s="122" t="s">
        <v>67</v>
      </c>
      <c r="BR1" s="122" t="s">
        <v>68</v>
      </c>
      <c r="BS1" s="122" t="s">
        <v>69</v>
      </c>
      <c r="BT1" s="122" t="s">
        <v>70</v>
      </c>
      <c r="BU1" s="122" t="s">
        <v>71</v>
      </c>
      <c r="BV1" s="122" t="s">
        <v>72</v>
      </c>
      <c r="BW1" s="122" t="s">
        <v>73</v>
      </c>
      <c r="BX1" s="122" t="s">
        <v>74</v>
      </c>
      <c r="BY1" s="122" t="s">
        <v>75</v>
      </c>
      <c r="BZ1" s="122" t="s">
        <v>76</v>
      </c>
      <c r="CA1" s="122" t="s">
        <v>77</v>
      </c>
      <c r="CB1" s="122" t="s">
        <v>78</v>
      </c>
      <c r="CC1" s="122" t="s">
        <v>79</v>
      </c>
      <c r="CD1" s="122" t="s">
        <v>80</v>
      </c>
      <c r="CE1" s="122" t="s">
        <v>81</v>
      </c>
      <c r="CF1" s="122" t="s">
        <v>82</v>
      </c>
      <c r="CG1" s="122" t="s">
        <v>83</v>
      </c>
      <c r="CH1" s="122" t="s">
        <v>84</v>
      </c>
      <c r="CI1" s="122" t="s">
        <v>85</v>
      </c>
      <c r="CJ1" s="122" t="s">
        <v>86</v>
      </c>
      <c r="CK1" s="122" t="s">
        <v>87</v>
      </c>
      <c r="CL1" s="122" t="s">
        <v>88</v>
      </c>
      <c r="CM1" s="122" t="s">
        <v>89</v>
      </c>
      <c r="CN1" s="122" t="s">
        <v>90</v>
      </c>
      <c r="CO1" s="122" t="s">
        <v>91</v>
      </c>
      <c r="CP1" s="122" t="s">
        <v>92</v>
      </c>
      <c r="CQ1" s="122" t="s">
        <v>93</v>
      </c>
      <c r="CR1" s="122" t="s">
        <v>94</v>
      </c>
      <c r="CS1" s="122" t="s">
        <v>95</v>
      </c>
      <c r="CT1" s="122" t="s">
        <v>96</v>
      </c>
      <c r="CU1" s="122" t="s">
        <v>97</v>
      </c>
      <c r="CV1" s="122" t="s">
        <v>98</v>
      </c>
      <c r="CW1" s="122" t="s">
        <v>99</v>
      </c>
      <c r="CX1" s="122" t="s">
        <v>100</v>
      </c>
      <c r="CY1" s="122" t="s">
        <v>101</v>
      </c>
      <c r="CZ1" s="122" t="s">
        <v>102</v>
      </c>
      <c r="DA1" s="122" t="s">
        <v>103</v>
      </c>
      <c r="DB1" s="122" t="s">
        <v>104</v>
      </c>
      <c r="DC1" s="122" t="s">
        <v>105</v>
      </c>
      <c r="DD1" s="122" t="s">
        <v>106</v>
      </c>
      <c r="DE1" s="122" t="s">
        <v>107</v>
      </c>
      <c r="DF1" s="122" t="s">
        <v>108</v>
      </c>
      <c r="DG1" s="122" t="s">
        <v>109</v>
      </c>
      <c r="DH1" s="122" t="s">
        <v>110</v>
      </c>
      <c r="DI1" s="122" t="s">
        <v>111</v>
      </c>
      <c r="DJ1" s="122" t="s">
        <v>112</v>
      </c>
      <c r="DK1" s="122" t="s">
        <v>113</v>
      </c>
      <c r="DL1" s="122" t="s">
        <v>114</v>
      </c>
      <c r="DM1" s="122" t="s">
        <v>115</v>
      </c>
      <c r="DN1" s="122" t="s">
        <v>116</v>
      </c>
      <c r="DO1" s="122" t="s">
        <v>117</v>
      </c>
      <c r="DP1" s="122" t="s">
        <v>118</v>
      </c>
      <c r="DQ1" s="122" t="s">
        <v>119</v>
      </c>
      <c r="DR1" s="122" t="s">
        <v>120</v>
      </c>
      <c r="DS1" s="122" t="s">
        <v>121</v>
      </c>
      <c r="DT1" s="122" t="s">
        <v>122</v>
      </c>
      <c r="DU1" s="122" t="s">
        <v>123</v>
      </c>
      <c r="DV1" s="122" t="s">
        <v>124</v>
      </c>
      <c r="DW1" s="122" t="s">
        <v>125</v>
      </c>
      <c r="DX1" s="122" t="s">
        <v>126</v>
      </c>
      <c r="DY1" s="122" t="s">
        <v>127</v>
      </c>
      <c r="DZ1" s="122" t="s">
        <v>128</v>
      </c>
      <c r="EA1" s="122" t="s">
        <v>129</v>
      </c>
      <c r="EB1" s="122" t="s">
        <v>130</v>
      </c>
      <c r="EC1" s="122" t="s">
        <v>131</v>
      </c>
      <c r="ED1" s="122" t="s">
        <v>132</v>
      </c>
      <c r="EE1" s="122" t="s">
        <v>133</v>
      </c>
      <c r="EF1" s="122" t="s">
        <v>134</v>
      </c>
      <c r="EG1" s="122" t="s">
        <v>135</v>
      </c>
      <c r="EH1" s="122" t="s">
        <v>136</v>
      </c>
      <c r="EI1" s="122" t="s">
        <v>137</v>
      </c>
      <c r="EJ1" s="122" t="s">
        <v>138</v>
      </c>
      <c r="EK1" s="122" t="s">
        <v>139</v>
      </c>
      <c r="EL1" s="122" t="s">
        <v>140</v>
      </c>
      <c r="EM1" s="122" t="s">
        <v>141</v>
      </c>
      <c r="EN1" s="122" t="s">
        <v>142</v>
      </c>
      <c r="EO1" s="122" t="s">
        <v>143</v>
      </c>
      <c r="EP1" s="122" t="s">
        <v>144</v>
      </c>
      <c r="EQ1" s="122" t="s">
        <v>145</v>
      </c>
      <c r="ER1" s="122" t="s">
        <v>146</v>
      </c>
      <c r="ES1" s="122" t="s">
        <v>147</v>
      </c>
      <c r="ET1" s="122" t="s">
        <v>148</v>
      </c>
      <c r="EU1" s="122" t="s">
        <v>149</v>
      </c>
      <c r="EV1" s="122" t="s">
        <v>150</v>
      </c>
      <c r="EW1" s="122" t="s">
        <v>151</v>
      </c>
      <c r="EX1" s="122" t="s">
        <v>152</v>
      </c>
      <c r="EY1" s="122" t="s">
        <v>153</v>
      </c>
      <c r="EZ1" s="122" t="s">
        <v>154</v>
      </c>
      <c r="FA1" s="122" t="s">
        <v>155</v>
      </c>
      <c r="FB1" s="122" t="s">
        <v>156</v>
      </c>
      <c r="FC1" s="122" t="s">
        <v>157</v>
      </c>
      <c r="FD1" s="122" t="s">
        <v>158</v>
      </c>
      <c r="FE1" s="122" t="s">
        <v>159</v>
      </c>
      <c r="FF1" s="122" t="s">
        <v>160</v>
      </c>
      <c r="FG1" s="122" t="s">
        <v>161</v>
      </c>
      <c r="FH1" s="122" t="s">
        <v>162</v>
      </c>
      <c r="FI1" s="122" t="s">
        <v>163</v>
      </c>
      <c r="FJ1" s="122" t="s">
        <v>164</v>
      </c>
      <c r="FK1" s="122" t="s">
        <v>165</v>
      </c>
      <c r="FL1" s="122" t="s">
        <v>166</v>
      </c>
      <c r="FM1" s="122" t="s">
        <v>167</v>
      </c>
      <c r="FN1" s="122" t="s">
        <v>168</v>
      </c>
      <c r="FO1" s="122" t="s">
        <v>169</v>
      </c>
      <c r="FP1" s="122" t="s">
        <v>170</v>
      </c>
      <c r="FQ1" s="122" t="s">
        <v>171</v>
      </c>
      <c r="FR1" s="122" t="s">
        <v>172</v>
      </c>
      <c r="FS1" s="122" t="s">
        <v>173</v>
      </c>
      <c r="FT1" s="122" t="s">
        <v>174</v>
      </c>
      <c r="FU1" s="122" t="s">
        <v>175</v>
      </c>
      <c r="FV1" s="122" t="s">
        <v>176</v>
      </c>
      <c r="FW1" s="122" t="s">
        <v>177</v>
      </c>
      <c r="FX1" s="122" t="s">
        <v>178</v>
      </c>
      <c r="FY1" s="122" t="s">
        <v>179</v>
      </c>
      <c r="FZ1" s="122" t="s">
        <v>180</v>
      </c>
      <c r="GA1" s="122" t="s">
        <v>181</v>
      </c>
      <c r="GB1" s="122" t="s">
        <v>182</v>
      </c>
      <c r="GC1" s="122" t="s">
        <v>183</v>
      </c>
      <c r="GD1" s="122" t="s">
        <v>184</v>
      </c>
      <c r="GE1" s="122" t="s">
        <v>185</v>
      </c>
      <c r="GF1" s="122" t="s">
        <v>186</v>
      </c>
      <c r="GG1" s="122" t="s">
        <v>187</v>
      </c>
      <c r="GH1" s="122" t="s">
        <v>188</v>
      </c>
      <c r="GI1" s="122" t="s">
        <v>189</v>
      </c>
      <c r="GJ1" s="122" t="s">
        <v>190</v>
      </c>
      <c r="GK1" s="122" t="s">
        <v>191</v>
      </c>
      <c r="GL1" s="122" t="s">
        <v>192</v>
      </c>
      <c r="GM1" s="122" t="s">
        <v>193</v>
      </c>
      <c r="GN1" s="122" t="s">
        <v>194</v>
      </c>
      <c r="GO1" s="122" t="s">
        <v>195</v>
      </c>
      <c r="GP1" s="122" t="s">
        <v>196</v>
      </c>
      <c r="GQ1" s="122" t="s">
        <v>197</v>
      </c>
      <c r="GR1" s="122" t="s">
        <v>198</v>
      </c>
      <c r="GS1" s="122" t="s">
        <v>199</v>
      </c>
      <c r="GT1" s="122" t="s">
        <v>200</v>
      </c>
      <c r="GU1" s="122" t="s">
        <v>201</v>
      </c>
      <c r="GV1" s="122" t="s">
        <v>202</v>
      </c>
      <c r="GW1" s="122" t="s">
        <v>203</v>
      </c>
      <c r="GX1" s="122" t="s">
        <v>204</v>
      </c>
      <c r="GY1" s="122" t="s">
        <v>205</v>
      </c>
      <c r="GZ1" s="122" t="s">
        <v>206</v>
      </c>
      <c r="HA1" s="122" t="s">
        <v>207</v>
      </c>
      <c r="HB1" s="122" t="s">
        <v>208</v>
      </c>
      <c r="HC1" s="122" t="s">
        <v>209</v>
      </c>
      <c r="HD1" s="122" t="s">
        <v>210</v>
      </c>
      <c r="HE1" s="122" t="s">
        <v>211</v>
      </c>
      <c r="HF1" s="122" t="s">
        <v>212</v>
      </c>
      <c r="HG1" s="122" t="s">
        <v>213</v>
      </c>
      <c r="HH1" s="122" t="s">
        <v>214</v>
      </c>
      <c r="HI1" s="122" t="s">
        <v>215</v>
      </c>
      <c r="HJ1" s="122" t="s">
        <v>216</v>
      </c>
      <c r="HK1" s="122" t="s">
        <v>217</v>
      </c>
      <c r="HL1" s="122" t="s">
        <v>218</v>
      </c>
      <c r="HM1" s="122" t="s">
        <v>219</v>
      </c>
      <c r="HN1" s="122" t="s">
        <v>220</v>
      </c>
      <c r="HO1" s="122" t="s">
        <v>221</v>
      </c>
      <c r="HP1" s="122" t="s">
        <v>222</v>
      </c>
      <c r="HQ1" s="122" t="s">
        <v>223</v>
      </c>
      <c r="HR1" s="122" t="s">
        <v>224</v>
      </c>
      <c r="HS1" s="122" t="s">
        <v>225</v>
      </c>
      <c r="HT1" s="122" t="s">
        <v>226</v>
      </c>
      <c r="HU1" s="122" t="s">
        <v>227</v>
      </c>
      <c r="HV1" s="122" t="s">
        <v>228</v>
      </c>
      <c r="HW1" s="122" t="s">
        <v>229</v>
      </c>
      <c r="HX1" s="122" t="s">
        <v>230</v>
      </c>
      <c r="HY1" s="122" t="s">
        <v>231</v>
      </c>
      <c r="HZ1" s="122" t="s">
        <v>232</v>
      </c>
      <c r="IA1" s="122" t="s">
        <v>233</v>
      </c>
      <c r="IB1" s="122" t="s">
        <v>234</v>
      </c>
      <c r="IC1" s="122" t="s">
        <v>235</v>
      </c>
      <c r="ID1" s="122" t="s">
        <v>236</v>
      </c>
      <c r="IE1" s="122" t="s">
        <v>237</v>
      </c>
      <c r="IF1" s="122" t="s">
        <v>238</v>
      </c>
      <c r="IG1" s="122" t="s">
        <v>239</v>
      </c>
      <c r="IH1" s="122" t="s">
        <v>240</v>
      </c>
      <c r="II1" s="122" t="s">
        <v>241</v>
      </c>
      <c r="IJ1" s="122" t="s">
        <v>242</v>
      </c>
      <c r="IK1" s="122" t="s">
        <v>243</v>
      </c>
      <c r="IL1" s="122" t="s">
        <v>244</v>
      </c>
      <c r="IM1" s="122" t="s">
        <v>245</v>
      </c>
      <c r="IN1" s="122" t="s">
        <v>246</v>
      </c>
      <c r="IO1" s="122" t="s">
        <v>247</v>
      </c>
      <c r="IP1" s="122" t="s">
        <v>248</v>
      </c>
      <c r="IQ1" s="122" t="s">
        <v>249</v>
      </c>
      <c r="IR1" s="122" t="s">
        <v>250</v>
      </c>
      <c r="IS1" s="122" t="s">
        <v>251</v>
      </c>
      <c r="IT1" s="122" t="s">
        <v>252</v>
      </c>
      <c r="IU1" s="122" t="s">
        <v>253</v>
      </c>
      <c r="IV1" s="122" t="s">
        <v>254</v>
      </c>
      <c r="IW1" s="122" t="s">
        <v>255</v>
      </c>
      <c r="IX1" s="122" t="s">
        <v>256</v>
      </c>
      <c r="IY1" s="122" t="s">
        <v>257</v>
      </c>
      <c r="IZ1" s="122" t="s">
        <v>258</v>
      </c>
      <c r="JA1" s="122" t="s">
        <v>259</v>
      </c>
      <c r="JB1" s="122" t="s">
        <v>260</v>
      </c>
      <c r="JC1" s="122" t="s">
        <v>261</v>
      </c>
      <c r="JD1" s="122" t="s">
        <v>262</v>
      </c>
      <c r="JE1" s="122" t="s">
        <v>263</v>
      </c>
      <c r="JF1" s="122" t="s">
        <v>264</v>
      </c>
      <c r="JG1" s="122" t="s">
        <v>265</v>
      </c>
      <c r="JH1" s="122" t="s">
        <v>266</v>
      </c>
      <c r="JI1" s="122" t="s">
        <v>267</v>
      </c>
      <c r="JJ1" s="122" t="s">
        <v>268</v>
      </c>
      <c r="JK1" s="122" t="s">
        <v>269</v>
      </c>
      <c r="JL1" s="122" t="s">
        <v>270</v>
      </c>
      <c r="JM1" s="122" t="s">
        <v>271</v>
      </c>
      <c r="JN1" s="122" t="s">
        <v>272</v>
      </c>
      <c r="JO1" s="122" t="s">
        <v>273</v>
      </c>
      <c r="JP1" s="122" t="s">
        <v>274</v>
      </c>
      <c r="JQ1" s="122" t="s">
        <v>275</v>
      </c>
      <c r="JR1" s="122" t="s">
        <v>276</v>
      </c>
      <c r="JS1" s="122" t="s">
        <v>277</v>
      </c>
      <c r="JT1" s="122" t="s">
        <v>278</v>
      </c>
      <c r="JU1" s="122" t="s">
        <v>279</v>
      </c>
      <c r="JV1" s="122" t="s">
        <v>280</v>
      </c>
      <c r="JW1" s="122" t="s">
        <v>281</v>
      </c>
      <c r="JX1" s="122" t="s">
        <v>282</v>
      </c>
      <c r="JY1" s="122" t="s">
        <v>283</v>
      </c>
      <c r="JZ1" s="122" t="s">
        <v>284</v>
      </c>
      <c r="KA1" s="122" t="s">
        <v>285</v>
      </c>
      <c r="KB1" s="122" t="s">
        <v>286</v>
      </c>
      <c r="KC1" s="122" t="s">
        <v>287</v>
      </c>
      <c r="KD1" s="122" t="s">
        <v>288</v>
      </c>
      <c r="KE1" s="122" t="s">
        <v>289</v>
      </c>
      <c r="KF1" s="122" t="s">
        <v>290</v>
      </c>
      <c r="KG1" s="122" t="s">
        <v>291</v>
      </c>
      <c r="KH1" s="122" t="s">
        <v>292</v>
      </c>
      <c r="KI1" s="122" t="s">
        <v>293</v>
      </c>
      <c r="KJ1" s="122" t="s">
        <v>294</v>
      </c>
      <c r="KK1" s="122" t="s">
        <v>295</v>
      </c>
      <c r="KL1" s="122" t="s">
        <v>296</v>
      </c>
      <c r="KM1" s="122" t="s">
        <v>297</v>
      </c>
      <c r="KN1" s="122" t="s">
        <v>298</v>
      </c>
      <c r="KO1" s="122" t="s">
        <v>299</v>
      </c>
      <c r="KP1" s="122" t="s">
        <v>300</v>
      </c>
      <c r="KQ1" s="122" t="s">
        <v>301</v>
      </c>
      <c r="KR1" s="122" t="s">
        <v>302</v>
      </c>
      <c r="KS1" s="122" t="s">
        <v>303</v>
      </c>
      <c r="KT1" s="122" t="s">
        <v>304</v>
      </c>
      <c r="KU1" s="122" t="s">
        <v>305</v>
      </c>
      <c r="KV1" s="122" t="s">
        <v>306</v>
      </c>
      <c r="KW1" s="122" t="s">
        <v>307</v>
      </c>
      <c r="KX1" s="122" t="s">
        <v>308</v>
      </c>
      <c r="KY1" s="122" t="s">
        <v>309</v>
      </c>
      <c r="KZ1" s="122" t="s">
        <v>310</v>
      </c>
      <c r="LA1" s="122" t="s">
        <v>311</v>
      </c>
      <c r="LB1" s="122" t="s">
        <v>312</v>
      </c>
      <c r="LC1" s="122" t="s">
        <v>313</v>
      </c>
      <c r="LD1" s="122" t="s">
        <v>314</v>
      </c>
      <c r="LE1" s="122" t="s">
        <v>315</v>
      </c>
      <c r="LF1" s="122" t="s">
        <v>316</v>
      </c>
      <c r="LG1" s="122" t="s">
        <v>317</v>
      </c>
      <c r="LH1" s="122" t="s">
        <v>318</v>
      </c>
      <c r="LI1" s="122" t="s">
        <v>319</v>
      </c>
      <c r="LJ1" s="122" t="s">
        <v>320</v>
      </c>
      <c r="LK1" s="122" t="s">
        <v>321</v>
      </c>
      <c r="LL1" s="122" t="s">
        <v>322</v>
      </c>
      <c r="LM1" s="122" t="s">
        <v>323</v>
      </c>
      <c r="LN1" s="122" t="s">
        <v>324</v>
      </c>
      <c r="LO1" s="122" t="s">
        <v>325</v>
      </c>
      <c r="LP1" s="122" t="s">
        <v>326</v>
      </c>
      <c r="LQ1" s="122" t="s">
        <v>327</v>
      </c>
      <c r="LR1" s="122" t="s">
        <v>328</v>
      </c>
      <c r="LS1" s="122" t="s">
        <v>329</v>
      </c>
      <c r="LT1" s="122" t="s">
        <v>330</v>
      </c>
      <c r="LU1" s="122" t="s">
        <v>331</v>
      </c>
      <c r="LV1" s="122" t="s">
        <v>332</v>
      </c>
      <c r="LW1" s="122" t="s">
        <v>333</v>
      </c>
      <c r="LX1" s="122" t="s">
        <v>334</v>
      </c>
      <c r="LY1" s="122" t="s">
        <v>335</v>
      </c>
      <c r="LZ1" s="122" t="s">
        <v>336</v>
      </c>
      <c r="MA1" s="122" t="s">
        <v>337</v>
      </c>
      <c r="MB1" s="122" t="s">
        <v>338</v>
      </c>
      <c r="MC1" s="122" t="s">
        <v>339</v>
      </c>
      <c r="MD1" s="122" t="s">
        <v>340</v>
      </c>
      <c r="ME1" s="122" t="s">
        <v>341</v>
      </c>
      <c r="MF1" s="122" t="s">
        <v>342</v>
      </c>
      <c r="MG1" s="122" t="s">
        <v>343</v>
      </c>
      <c r="MH1" s="122" t="s">
        <v>344</v>
      </c>
      <c r="MI1" s="122" t="s">
        <v>345</v>
      </c>
      <c r="MJ1" s="122" t="s">
        <v>346</v>
      </c>
      <c r="MK1" s="122" t="s">
        <v>347</v>
      </c>
      <c r="ML1" s="122" t="s">
        <v>348</v>
      </c>
      <c r="MM1" s="122" t="s">
        <v>349</v>
      </c>
      <c r="MN1" s="122" t="s">
        <v>350</v>
      </c>
      <c r="MO1" s="122" t="s">
        <v>351</v>
      </c>
      <c r="MP1" s="122" t="s">
        <v>352</v>
      </c>
      <c r="MQ1" s="122" t="s">
        <v>353</v>
      </c>
      <c r="MR1" s="122" t="s">
        <v>354</v>
      </c>
      <c r="MS1" s="122" t="s">
        <v>355</v>
      </c>
      <c r="MT1" s="122" t="s">
        <v>356</v>
      </c>
      <c r="MU1" s="122" t="s">
        <v>357</v>
      </c>
      <c r="MV1" s="122" t="s">
        <v>358</v>
      </c>
      <c r="MW1" s="122" t="s">
        <v>359</v>
      </c>
      <c r="MX1" s="122" t="s">
        <v>360</v>
      </c>
      <c r="MY1" s="122" t="s">
        <v>361</v>
      </c>
      <c r="MZ1" s="122" t="s">
        <v>362</v>
      </c>
      <c r="NA1" s="122" t="s">
        <v>363</v>
      </c>
      <c r="NB1" s="122" t="s">
        <v>364</v>
      </c>
      <c r="NC1" s="122" t="s">
        <v>365</v>
      </c>
      <c r="ND1" s="122" t="s">
        <v>366</v>
      </c>
      <c r="NE1" s="122" t="s">
        <v>367</v>
      </c>
      <c r="NF1" s="122" t="s">
        <v>368</v>
      </c>
      <c r="NG1" s="122" t="s">
        <v>369</v>
      </c>
      <c r="NH1" s="122" t="s">
        <v>370</v>
      </c>
      <c r="NI1" s="122" t="s">
        <v>371</v>
      </c>
      <c r="NJ1" s="122" t="s">
        <v>372</v>
      </c>
      <c r="NK1" s="122" t="s">
        <v>373</v>
      </c>
      <c r="NL1" s="122" t="s">
        <v>374</v>
      </c>
      <c r="NM1" s="122" t="s">
        <v>375</v>
      </c>
      <c r="NN1" s="122" t="s">
        <v>376</v>
      </c>
      <c r="NO1" s="122" t="s">
        <v>377</v>
      </c>
      <c r="NP1" s="122" t="s">
        <v>378</v>
      </c>
      <c r="NQ1" s="122" t="s">
        <v>379</v>
      </c>
      <c r="NR1" s="122" t="s">
        <v>380</v>
      </c>
      <c r="NS1" s="122" t="s">
        <v>381</v>
      </c>
      <c r="NT1" s="122" t="s">
        <v>382</v>
      </c>
      <c r="NU1" s="122" t="s">
        <v>383</v>
      </c>
      <c r="NV1" s="122" t="s">
        <v>384</v>
      </c>
      <c r="NW1" s="122" t="s">
        <v>385</v>
      </c>
      <c r="NX1" s="122" t="s">
        <v>386</v>
      </c>
      <c r="NY1" s="122" t="s">
        <v>387</v>
      </c>
      <c r="NZ1" s="122" t="s">
        <v>388</v>
      </c>
      <c r="OA1" s="122" t="s">
        <v>389</v>
      </c>
      <c r="OB1" s="122" t="s">
        <v>390</v>
      </c>
      <c r="OC1" s="122" t="s">
        <v>391</v>
      </c>
      <c r="OD1" s="122" t="s">
        <v>392</v>
      </c>
      <c r="OE1" s="122" t="s">
        <v>393</v>
      </c>
      <c r="OF1" s="122" t="s">
        <v>394</v>
      </c>
      <c r="OG1" s="122" t="s">
        <v>395</v>
      </c>
      <c r="OH1" s="122" t="s">
        <v>396</v>
      </c>
      <c r="OI1" s="122" t="s">
        <v>397</v>
      </c>
      <c r="OJ1" s="122" t="s">
        <v>398</v>
      </c>
      <c r="OK1" s="122" t="s">
        <v>399</v>
      </c>
      <c r="OL1" s="122" t="s">
        <v>400</v>
      </c>
      <c r="OM1" s="122" t="s">
        <v>401</v>
      </c>
      <c r="ON1" s="122" t="s">
        <v>402</v>
      </c>
      <c r="OO1" s="122" t="s">
        <v>403</v>
      </c>
      <c r="OP1" s="122" t="s">
        <v>404</v>
      </c>
      <c r="OQ1" s="122" t="s">
        <v>405</v>
      </c>
      <c r="OR1" s="122" t="s">
        <v>406</v>
      </c>
      <c r="OS1" s="122" t="s">
        <v>407</v>
      </c>
      <c r="OT1" s="122" t="s">
        <v>408</v>
      </c>
      <c r="OU1" s="122" t="s">
        <v>409</v>
      </c>
      <c r="OV1" s="122" t="s">
        <v>410</v>
      </c>
      <c r="OW1" s="122" t="s">
        <v>411</v>
      </c>
      <c r="OX1" s="122" t="s">
        <v>412</v>
      </c>
      <c r="OY1" s="122" t="s">
        <v>413</v>
      </c>
      <c r="OZ1" s="122" t="s">
        <v>414</v>
      </c>
      <c r="PA1" s="122" t="s">
        <v>415</v>
      </c>
      <c r="PB1" s="122" t="s">
        <v>416</v>
      </c>
      <c r="PC1" s="122" t="s">
        <v>417</v>
      </c>
      <c r="PD1" s="122" t="s">
        <v>418</v>
      </c>
      <c r="PE1" s="122" t="s">
        <v>419</v>
      </c>
      <c r="PF1" s="122" t="s">
        <v>420</v>
      </c>
      <c r="PG1" s="122" t="s">
        <v>421</v>
      </c>
      <c r="PH1" s="122" t="s">
        <v>422</v>
      </c>
      <c r="PI1" s="122" t="s">
        <v>423</v>
      </c>
      <c r="PJ1" s="122" t="s">
        <v>424</v>
      </c>
      <c r="PK1" s="122" t="s">
        <v>425</v>
      </c>
      <c r="PL1" s="122" t="s">
        <v>426</v>
      </c>
      <c r="PM1" s="122" t="s">
        <v>427</v>
      </c>
      <c r="PN1" s="122" t="s">
        <v>428</v>
      </c>
      <c r="PO1" s="122" t="s">
        <v>429</v>
      </c>
      <c r="PP1" s="122" t="s">
        <v>430</v>
      </c>
      <c r="PQ1" s="122" t="s">
        <v>431</v>
      </c>
      <c r="PR1" s="122" t="s">
        <v>432</v>
      </c>
      <c r="PS1" s="122" t="s">
        <v>433</v>
      </c>
      <c r="PT1" s="122" t="s">
        <v>434</v>
      </c>
      <c r="PU1" s="122" t="s">
        <v>435</v>
      </c>
      <c r="PV1" s="122" t="s">
        <v>436</v>
      </c>
      <c r="PW1" s="122" t="s">
        <v>437</v>
      </c>
      <c r="PX1" s="122" t="s">
        <v>438</v>
      </c>
      <c r="PY1" s="122" t="s">
        <v>439</v>
      </c>
      <c r="PZ1" s="122" t="s">
        <v>440</v>
      </c>
      <c r="QA1" s="122" t="s">
        <v>441</v>
      </c>
      <c r="QB1" s="122" t="s">
        <v>442</v>
      </c>
      <c r="QC1" s="122" t="s">
        <v>443</v>
      </c>
      <c r="QD1" s="122" t="s">
        <v>444</v>
      </c>
      <c r="QE1" s="122" t="s">
        <v>445</v>
      </c>
      <c r="QF1" s="122" t="s">
        <v>446</v>
      </c>
      <c r="QG1" s="122" t="s">
        <v>447</v>
      </c>
      <c r="QH1" s="122" t="s">
        <v>448</v>
      </c>
      <c r="QI1" s="122" t="s">
        <v>449</v>
      </c>
      <c r="QJ1" s="122" t="s">
        <v>450</v>
      </c>
      <c r="QK1" s="122" t="s">
        <v>451</v>
      </c>
      <c r="QL1" s="122" t="s">
        <v>452</v>
      </c>
      <c r="QM1" s="122" t="s">
        <v>453</v>
      </c>
      <c r="QN1" s="122" t="s">
        <v>454</v>
      </c>
      <c r="QO1" s="122" t="s">
        <v>455</v>
      </c>
      <c r="QP1" s="122" t="s">
        <v>456</v>
      </c>
      <c r="QQ1" s="122" t="s">
        <v>457</v>
      </c>
      <c r="QR1" s="122" t="s">
        <v>458</v>
      </c>
      <c r="QS1" s="122" t="s">
        <v>459</v>
      </c>
      <c r="QT1" s="122" t="s">
        <v>460</v>
      </c>
      <c r="QU1" s="122" t="s">
        <v>461</v>
      </c>
      <c r="QV1" s="122" t="s">
        <v>462</v>
      </c>
      <c r="QW1" s="122" t="s">
        <v>463</v>
      </c>
      <c r="QX1" s="122" t="s">
        <v>464</v>
      </c>
      <c r="QY1" s="122" t="s">
        <v>465</v>
      </c>
      <c r="QZ1" s="122" t="s">
        <v>466</v>
      </c>
      <c r="RA1" s="122" t="s">
        <v>467</v>
      </c>
      <c r="RB1" s="122" t="s">
        <v>468</v>
      </c>
      <c r="RC1" s="122" t="s">
        <v>469</v>
      </c>
      <c r="RD1" s="122" t="s">
        <v>470</v>
      </c>
      <c r="RE1" s="122" t="s">
        <v>471</v>
      </c>
      <c r="RF1" s="122" t="s">
        <v>472</v>
      </c>
      <c r="RG1" s="122" t="s">
        <v>473</v>
      </c>
      <c r="RH1" s="122" t="s">
        <v>474</v>
      </c>
      <c r="RI1" s="122" t="s">
        <v>475</v>
      </c>
      <c r="RJ1" s="122" t="s">
        <v>476</v>
      </c>
      <c r="RK1" s="122" t="s">
        <v>477</v>
      </c>
      <c r="RL1" s="122" t="s">
        <v>478</v>
      </c>
      <c r="RM1" s="122" t="s">
        <v>479</v>
      </c>
      <c r="RN1" s="122" t="s">
        <v>480</v>
      </c>
      <c r="RO1" s="122" t="s">
        <v>481</v>
      </c>
      <c r="RP1" s="122" t="s">
        <v>482</v>
      </c>
      <c r="RQ1" s="122" t="s">
        <v>483</v>
      </c>
      <c r="RR1" s="122" t="s">
        <v>484</v>
      </c>
      <c r="RS1" s="122" t="s">
        <v>485</v>
      </c>
      <c r="RT1" s="122" t="s">
        <v>486</v>
      </c>
      <c r="RU1" s="122" t="s">
        <v>487</v>
      </c>
      <c r="RV1" s="122" t="s">
        <v>488</v>
      </c>
      <c r="RW1" s="122" t="s">
        <v>489</v>
      </c>
      <c r="RX1" s="122" t="s">
        <v>490</v>
      </c>
      <c r="RY1" s="122" t="s">
        <v>491</v>
      </c>
      <c r="RZ1" s="122" t="s">
        <v>492</v>
      </c>
      <c r="SA1" s="122" t="s">
        <v>493</v>
      </c>
      <c r="SB1" s="122" t="s">
        <v>494</v>
      </c>
      <c r="SC1" s="122" t="s">
        <v>495</v>
      </c>
      <c r="SD1" s="122" t="s">
        <v>496</v>
      </c>
      <c r="SE1" s="122" t="s">
        <v>497</v>
      </c>
      <c r="SF1" s="122" t="s">
        <v>498</v>
      </c>
      <c r="SG1" s="122" t="s">
        <v>499</v>
      </c>
      <c r="SH1" s="122" t="s">
        <v>500</v>
      </c>
      <c r="SI1" s="122" t="s">
        <v>501</v>
      </c>
      <c r="SJ1" s="122" t="s">
        <v>502</v>
      </c>
      <c r="SK1" s="122" t="s">
        <v>503</v>
      </c>
      <c r="SL1" s="122" t="s">
        <v>504</v>
      </c>
      <c r="SM1" s="122" t="s">
        <v>505</v>
      </c>
      <c r="SN1" s="122" t="s">
        <v>506</v>
      </c>
      <c r="SO1" s="122" t="s">
        <v>507</v>
      </c>
      <c r="SP1" s="122" t="s">
        <v>508</v>
      </c>
      <c r="SQ1" s="122" t="s">
        <v>509</v>
      </c>
      <c r="SR1" s="122" t="s">
        <v>510</v>
      </c>
      <c r="SS1" s="122" t="s">
        <v>511</v>
      </c>
      <c r="ST1" s="122" t="s">
        <v>512</v>
      </c>
      <c r="SU1" s="122" t="s">
        <v>513</v>
      </c>
      <c r="SV1" s="122" t="s">
        <v>514</v>
      </c>
      <c r="SW1" s="122" t="s">
        <v>515</v>
      </c>
      <c r="SX1" s="122" t="s">
        <v>516</v>
      </c>
      <c r="SY1" s="122" t="s">
        <v>517</v>
      </c>
      <c r="SZ1" s="122" t="s">
        <v>518</v>
      </c>
      <c r="TA1" s="122" t="s">
        <v>519</v>
      </c>
      <c r="TB1" s="122" t="s">
        <v>520</v>
      </c>
      <c r="TC1" s="122" t="s">
        <v>521</v>
      </c>
      <c r="TD1" s="122" t="s">
        <v>522</v>
      </c>
      <c r="TE1" s="122" t="s">
        <v>523</v>
      </c>
      <c r="TF1" s="122" t="s">
        <v>524</v>
      </c>
      <c r="TG1" s="122" t="s">
        <v>525</v>
      </c>
      <c r="TH1" s="122" t="s">
        <v>526</v>
      </c>
      <c r="TI1" s="122" t="s">
        <v>527</v>
      </c>
      <c r="TJ1" s="122" t="s">
        <v>528</v>
      </c>
      <c r="TK1" s="122" t="s">
        <v>529</v>
      </c>
      <c r="TL1" s="122" t="s">
        <v>530</v>
      </c>
      <c r="TM1" s="122" t="s">
        <v>531</v>
      </c>
      <c r="TN1" s="122" t="s">
        <v>532</v>
      </c>
      <c r="TO1" s="122" t="s">
        <v>533</v>
      </c>
      <c r="TP1" s="122" t="s">
        <v>534</v>
      </c>
      <c r="TQ1" s="122" t="s">
        <v>535</v>
      </c>
      <c r="TR1" s="122" t="s">
        <v>536</v>
      </c>
      <c r="TS1" s="122" t="s">
        <v>537</v>
      </c>
      <c r="TT1" s="122" t="s">
        <v>538</v>
      </c>
      <c r="TU1" s="122" t="s">
        <v>539</v>
      </c>
      <c r="TV1" s="122" t="s">
        <v>540</v>
      </c>
      <c r="TW1" s="122" t="s">
        <v>541</v>
      </c>
      <c r="TX1" s="122" t="s">
        <v>542</v>
      </c>
      <c r="TY1" s="122" t="s">
        <v>543</v>
      </c>
      <c r="TZ1" s="122" t="s">
        <v>544</v>
      </c>
      <c r="UA1" s="122" t="s">
        <v>545</v>
      </c>
      <c r="UB1" s="122" t="s">
        <v>546</v>
      </c>
      <c r="UC1" s="122" t="s">
        <v>547</v>
      </c>
      <c r="UD1" s="122" t="s">
        <v>548</v>
      </c>
      <c r="UE1" s="122" t="s">
        <v>549</v>
      </c>
      <c r="UF1" s="122" t="s">
        <v>550</v>
      </c>
      <c r="UG1" s="122" t="s">
        <v>551</v>
      </c>
      <c r="UH1" s="122" t="s">
        <v>552</v>
      </c>
      <c r="UI1" s="122" t="s">
        <v>553</v>
      </c>
      <c r="UJ1" s="122" t="s">
        <v>554</v>
      </c>
      <c r="UK1" s="122" t="s">
        <v>555</v>
      </c>
      <c r="UL1" s="122" t="s">
        <v>556</v>
      </c>
      <c r="UM1" s="122" t="s">
        <v>557</v>
      </c>
      <c r="UN1" s="122" t="s">
        <v>558</v>
      </c>
      <c r="UO1" s="122" t="s">
        <v>559</v>
      </c>
      <c r="UP1" s="122" t="s">
        <v>560</v>
      </c>
      <c r="UQ1" s="122" t="s">
        <v>561</v>
      </c>
      <c r="UR1" s="122" t="s">
        <v>562</v>
      </c>
      <c r="US1" s="122" t="s">
        <v>563</v>
      </c>
      <c r="UT1" s="122" t="s">
        <v>564</v>
      </c>
      <c r="UU1" s="122" t="s">
        <v>565</v>
      </c>
      <c r="UV1" s="122" t="s">
        <v>566</v>
      </c>
      <c r="UW1" s="122" t="s">
        <v>567</v>
      </c>
      <c r="UX1" s="122" t="s">
        <v>568</v>
      </c>
      <c r="UY1" s="122" t="s">
        <v>569</v>
      </c>
      <c r="UZ1" s="122" t="s">
        <v>570</v>
      </c>
      <c r="VA1" s="122" t="s">
        <v>571</v>
      </c>
      <c r="VB1" s="122" t="s">
        <v>572</v>
      </c>
      <c r="VC1" s="122" t="s">
        <v>573</v>
      </c>
      <c r="VD1" s="122" t="s">
        <v>574</v>
      </c>
      <c r="VE1" s="122" t="s">
        <v>575</v>
      </c>
      <c r="VF1" s="122" t="s">
        <v>576</v>
      </c>
      <c r="VG1" s="122" t="s">
        <v>577</v>
      </c>
      <c r="VH1" s="122" t="s">
        <v>578</v>
      </c>
      <c r="VI1" s="122" t="s">
        <v>579</v>
      </c>
      <c r="VJ1" s="122" t="s">
        <v>580</v>
      </c>
      <c r="VK1" s="122" t="s">
        <v>581</v>
      </c>
      <c r="VL1" s="122" t="s">
        <v>582</v>
      </c>
      <c r="VM1" s="122" t="s">
        <v>583</v>
      </c>
      <c r="VN1" s="122" t="s">
        <v>584</v>
      </c>
      <c r="VO1" s="122" t="s">
        <v>585</v>
      </c>
      <c r="VP1" s="122" t="s">
        <v>586</v>
      </c>
      <c r="VQ1" s="122" t="s">
        <v>587</v>
      </c>
      <c r="VR1" s="122" t="s">
        <v>588</v>
      </c>
      <c r="VS1" s="122" t="s">
        <v>589</v>
      </c>
      <c r="VT1" s="122" t="s">
        <v>590</v>
      </c>
      <c r="VU1" s="122" t="s">
        <v>591</v>
      </c>
      <c r="VV1" s="122" t="s">
        <v>592</v>
      </c>
      <c r="VW1" s="122" t="s">
        <v>593</v>
      </c>
      <c r="VX1" s="122" t="s">
        <v>594</v>
      </c>
      <c r="VY1" s="122" t="s">
        <v>595</v>
      </c>
      <c r="VZ1" s="122" t="s">
        <v>596</v>
      </c>
      <c r="WA1" s="122" t="s">
        <v>597</v>
      </c>
      <c r="WB1" s="122" t="s">
        <v>598</v>
      </c>
      <c r="WC1" s="122" t="s">
        <v>599</v>
      </c>
      <c r="WD1" s="122" t="s">
        <v>600</v>
      </c>
      <c r="WE1" s="122" t="s">
        <v>601</v>
      </c>
      <c r="WF1" s="122" t="s">
        <v>602</v>
      </c>
      <c r="WG1" s="122" t="s">
        <v>603</v>
      </c>
      <c r="WH1" s="122" t="s">
        <v>604</v>
      </c>
      <c r="WI1" s="122" t="s">
        <v>605</v>
      </c>
      <c r="WJ1" s="122" t="s">
        <v>606</v>
      </c>
      <c r="WK1" s="122" t="s">
        <v>607</v>
      </c>
      <c r="WL1" s="122" t="s">
        <v>608</v>
      </c>
      <c r="WM1" s="122" t="s">
        <v>609</v>
      </c>
      <c r="WN1" s="122" t="s">
        <v>610</v>
      </c>
      <c r="WO1" s="122" t="s">
        <v>611</v>
      </c>
      <c r="WP1" s="122" t="s">
        <v>612</v>
      </c>
      <c r="WQ1" s="122" t="s">
        <v>613</v>
      </c>
      <c r="WR1" s="122" t="s">
        <v>614</v>
      </c>
      <c r="WS1" s="122" t="s">
        <v>615</v>
      </c>
      <c r="WT1" s="122" t="s">
        <v>616</v>
      </c>
      <c r="WU1" s="122" t="s">
        <v>617</v>
      </c>
      <c r="WV1" s="122" t="s">
        <v>618</v>
      </c>
      <c r="WW1" s="122" t="s">
        <v>619</v>
      </c>
      <c r="WX1" s="122" t="s">
        <v>620</v>
      </c>
      <c r="WY1" s="122" t="s">
        <v>621</v>
      </c>
      <c r="WZ1" s="122" t="s">
        <v>622</v>
      </c>
      <c r="XA1" s="122" t="s">
        <v>623</v>
      </c>
      <c r="XB1" s="122" t="s">
        <v>624</v>
      </c>
      <c r="XC1" s="122" t="s">
        <v>625</v>
      </c>
      <c r="XD1" s="122" t="s">
        <v>626</v>
      </c>
      <c r="XE1" s="122" t="s">
        <v>627</v>
      </c>
      <c r="XF1" s="122" t="s">
        <v>628</v>
      </c>
      <c r="XG1" s="122" t="s">
        <v>629</v>
      </c>
      <c r="XH1" s="122" t="s">
        <v>630</v>
      </c>
      <c r="XI1" s="122" t="s">
        <v>631</v>
      </c>
      <c r="XJ1" s="122" t="s">
        <v>632</v>
      </c>
      <c r="XK1" s="122" t="s">
        <v>633</v>
      </c>
      <c r="XL1" s="122" t="s">
        <v>634</v>
      </c>
      <c r="XM1" s="122" t="s">
        <v>635</v>
      </c>
      <c r="XN1" s="122" t="s">
        <v>636</v>
      </c>
      <c r="XO1" s="122" t="s">
        <v>637</v>
      </c>
      <c r="XP1" s="122" t="s">
        <v>638</v>
      </c>
      <c r="XQ1" s="122" t="s">
        <v>639</v>
      </c>
      <c r="XR1" s="122" t="s">
        <v>640</v>
      </c>
      <c r="XS1" s="122" t="s">
        <v>641</v>
      </c>
      <c r="XT1" s="122" t="s">
        <v>642</v>
      </c>
      <c r="XU1" s="122" t="s">
        <v>643</v>
      </c>
      <c r="XV1" s="122" t="s">
        <v>644</v>
      </c>
      <c r="XW1" s="122" t="s">
        <v>645</v>
      </c>
      <c r="XX1" s="122" t="s">
        <v>646</v>
      </c>
      <c r="XY1" s="122" t="s">
        <v>647</v>
      </c>
      <c r="XZ1" s="122" t="s">
        <v>648</v>
      </c>
      <c r="YA1" s="122" t="s">
        <v>649</v>
      </c>
      <c r="YB1" s="122" t="s">
        <v>650</v>
      </c>
      <c r="YC1" s="122" t="s">
        <v>651</v>
      </c>
      <c r="YD1" s="122" t="s">
        <v>652</v>
      </c>
      <c r="YE1" s="122" t="s">
        <v>653</v>
      </c>
      <c r="YF1" s="122" t="s">
        <v>654</v>
      </c>
      <c r="YG1" s="122" t="s">
        <v>655</v>
      </c>
      <c r="YH1" s="122" t="s">
        <v>656</v>
      </c>
      <c r="YI1" s="122" t="s">
        <v>657</v>
      </c>
      <c r="YJ1" s="122" t="s">
        <v>658</v>
      </c>
      <c r="YK1" s="122" t="s">
        <v>659</v>
      </c>
      <c r="YL1" s="122" t="s">
        <v>660</v>
      </c>
      <c r="YM1" s="122" t="s">
        <v>661</v>
      </c>
      <c r="YN1" s="122" t="s">
        <v>662</v>
      </c>
      <c r="YO1" s="122" t="s">
        <v>663</v>
      </c>
      <c r="YP1" s="122" t="s">
        <v>664</v>
      </c>
      <c r="YQ1" s="122" t="s">
        <v>665</v>
      </c>
      <c r="YR1" s="122" t="s">
        <v>666</v>
      </c>
      <c r="YS1" s="122" t="s">
        <v>667</v>
      </c>
      <c r="YT1" s="122" t="s">
        <v>668</v>
      </c>
      <c r="YU1" s="122" t="s">
        <v>669</v>
      </c>
      <c r="YV1" s="122" t="s">
        <v>670</v>
      </c>
      <c r="YW1" s="122" t="s">
        <v>671</v>
      </c>
      <c r="YX1" s="122" t="s">
        <v>672</v>
      </c>
      <c r="YY1" s="122" t="s">
        <v>673</v>
      </c>
      <c r="YZ1" s="122" t="s">
        <v>674</v>
      </c>
      <c r="ZA1" s="122" t="s">
        <v>675</v>
      </c>
      <c r="ZB1" s="122" t="s">
        <v>676</v>
      </c>
      <c r="ZC1" s="122" t="s">
        <v>677</v>
      </c>
      <c r="ZD1" s="122" t="s">
        <v>678</v>
      </c>
      <c r="ZE1" s="122" t="s">
        <v>679</v>
      </c>
      <c r="ZF1" s="122" t="s">
        <v>680</v>
      </c>
      <c r="ZG1" s="122" t="s">
        <v>681</v>
      </c>
      <c r="ZH1" s="122" t="s">
        <v>682</v>
      </c>
      <c r="ZI1" s="122" t="s">
        <v>683</v>
      </c>
      <c r="ZJ1" s="122" t="s">
        <v>684</v>
      </c>
      <c r="ZK1" s="122" t="s">
        <v>685</v>
      </c>
      <c r="ZL1" s="122" t="s">
        <v>686</v>
      </c>
      <c r="ZM1" s="122" t="s">
        <v>687</v>
      </c>
      <c r="ZN1" s="122" t="s">
        <v>688</v>
      </c>
      <c r="ZO1" s="122" t="s">
        <v>689</v>
      </c>
      <c r="ZP1" s="122" t="s">
        <v>690</v>
      </c>
      <c r="ZQ1" s="122" t="s">
        <v>691</v>
      </c>
      <c r="ZR1" s="122" t="s">
        <v>692</v>
      </c>
      <c r="ZS1" s="122" t="s">
        <v>693</v>
      </c>
      <c r="ZT1" s="122" t="s">
        <v>694</v>
      </c>
      <c r="ZU1" s="122" t="s">
        <v>695</v>
      </c>
      <c r="ZV1" s="122" t="s">
        <v>696</v>
      </c>
      <c r="ZW1" s="122" t="s">
        <v>697</v>
      </c>
      <c r="ZX1" s="122" t="s">
        <v>698</v>
      </c>
      <c r="ZY1" s="122" t="s">
        <v>699</v>
      </c>
      <c r="ZZ1" s="122" t="s">
        <v>700</v>
      </c>
      <c r="AAA1" s="122" t="s">
        <v>701</v>
      </c>
      <c r="AAB1" s="122" t="s">
        <v>702</v>
      </c>
      <c r="AAC1" s="122" t="s">
        <v>703</v>
      </c>
      <c r="AAD1" s="122" t="s">
        <v>704</v>
      </c>
      <c r="AAE1" s="122" t="s">
        <v>705</v>
      </c>
      <c r="AAF1" s="122" t="s">
        <v>706</v>
      </c>
      <c r="AAG1" s="122" t="s">
        <v>707</v>
      </c>
      <c r="AAH1" s="122" t="s">
        <v>708</v>
      </c>
      <c r="AAI1" s="122" t="s">
        <v>709</v>
      </c>
      <c r="AAJ1" s="122" t="s">
        <v>710</v>
      </c>
      <c r="AAK1" s="122" t="s">
        <v>711</v>
      </c>
      <c r="AAL1" s="122" t="s">
        <v>712</v>
      </c>
      <c r="AAM1" s="122" t="s">
        <v>713</v>
      </c>
      <c r="AAN1" s="122" t="s">
        <v>714</v>
      </c>
      <c r="AAO1" s="122" t="s">
        <v>715</v>
      </c>
      <c r="AAP1" s="122" t="s">
        <v>716</v>
      </c>
      <c r="AAQ1" s="122" t="s">
        <v>717</v>
      </c>
      <c r="AAR1" s="122" t="s">
        <v>718</v>
      </c>
      <c r="AAS1" s="122" t="s">
        <v>719</v>
      </c>
      <c r="AAT1" s="122" t="s">
        <v>720</v>
      </c>
      <c r="AAU1" s="122" t="s">
        <v>721</v>
      </c>
      <c r="AAV1" s="122" t="s">
        <v>722</v>
      </c>
      <c r="AAW1" s="122" t="s">
        <v>723</v>
      </c>
      <c r="AAX1" s="122" t="s">
        <v>724</v>
      </c>
      <c r="AAY1" s="122" t="s">
        <v>725</v>
      </c>
      <c r="AAZ1" s="122" t="s">
        <v>726</v>
      </c>
      <c r="ABA1" s="122" t="s">
        <v>727</v>
      </c>
      <c r="ABB1" s="122" t="s">
        <v>728</v>
      </c>
      <c r="ABC1" s="122" t="s">
        <v>729</v>
      </c>
      <c r="ABD1" s="122" t="s">
        <v>730</v>
      </c>
      <c r="ABE1" s="122" t="s">
        <v>731</v>
      </c>
      <c r="ABF1" s="122" t="s">
        <v>732</v>
      </c>
      <c r="ABG1" s="122" t="s">
        <v>733</v>
      </c>
      <c r="ABH1" s="122" t="s">
        <v>734</v>
      </c>
      <c r="ABI1" s="122" t="s">
        <v>735</v>
      </c>
      <c r="ABJ1" s="122" t="s">
        <v>736</v>
      </c>
      <c r="ABK1" s="122" t="s">
        <v>737</v>
      </c>
      <c r="ABL1" s="122" t="s">
        <v>738</v>
      </c>
      <c r="ABM1" s="122" t="s">
        <v>739</v>
      </c>
      <c r="ABN1" s="122" t="s">
        <v>740</v>
      </c>
      <c r="ABO1" s="122" t="s">
        <v>741</v>
      </c>
      <c r="ABP1" s="122" t="s">
        <v>742</v>
      </c>
      <c r="ABQ1" s="122" t="s">
        <v>743</v>
      </c>
      <c r="ABR1" s="122" t="s">
        <v>744</v>
      </c>
      <c r="ABS1" s="122" t="s">
        <v>745</v>
      </c>
      <c r="ABT1" s="122" t="s">
        <v>746</v>
      </c>
      <c r="ABU1" s="122" t="s">
        <v>747</v>
      </c>
      <c r="ABV1" s="122" t="s">
        <v>748</v>
      </c>
      <c r="ABW1" s="122" t="s">
        <v>749</v>
      </c>
      <c r="ABX1" s="122" t="s">
        <v>750</v>
      </c>
      <c r="ABY1" s="122" t="s">
        <v>751</v>
      </c>
      <c r="ABZ1" s="122" t="s">
        <v>752</v>
      </c>
      <c r="ACA1" s="122" t="s">
        <v>753</v>
      </c>
      <c r="ACB1" s="122" t="s">
        <v>754</v>
      </c>
      <c r="ACC1" s="122" t="s">
        <v>755</v>
      </c>
      <c r="ACD1" s="122" t="s">
        <v>756</v>
      </c>
      <c r="ACE1" s="122" t="s">
        <v>757</v>
      </c>
      <c r="ACF1" s="122" t="s">
        <v>758</v>
      </c>
      <c r="ACG1" s="122" t="s">
        <v>759</v>
      </c>
      <c r="ACH1" s="122" t="s">
        <v>760</v>
      </c>
      <c r="ACI1" s="122" t="s">
        <v>761</v>
      </c>
      <c r="ACJ1" s="122" t="s">
        <v>762</v>
      </c>
      <c r="ACK1" s="122" t="s">
        <v>763</v>
      </c>
      <c r="ACL1" s="122" t="s">
        <v>764</v>
      </c>
      <c r="ACM1" s="122" t="s">
        <v>765</v>
      </c>
      <c r="ACN1" s="122" t="s">
        <v>766</v>
      </c>
      <c r="ACO1" s="122" t="s">
        <v>767</v>
      </c>
      <c r="ACP1" s="122" t="s">
        <v>768</v>
      </c>
      <c r="ACQ1" s="122" t="s">
        <v>769</v>
      </c>
      <c r="ACR1" s="122" t="s">
        <v>770</v>
      </c>
      <c r="ACS1" s="122" t="s">
        <v>771</v>
      </c>
      <c r="ACT1" s="122" t="s">
        <v>772</v>
      </c>
      <c r="ACU1" s="122" t="s">
        <v>773</v>
      </c>
      <c r="ACV1" s="122" t="s">
        <v>774</v>
      </c>
      <c r="ACW1" s="122" t="s">
        <v>775</v>
      </c>
      <c r="ACX1" s="122" t="s">
        <v>776</v>
      </c>
      <c r="ACY1" s="122" t="s">
        <v>777</v>
      </c>
      <c r="ACZ1" s="122" t="s">
        <v>778</v>
      </c>
      <c r="ADA1" s="122" t="s">
        <v>779</v>
      </c>
      <c r="ADB1" s="122" t="s">
        <v>780</v>
      </c>
      <c r="ADC1" s="122" t="s">
        <v>781</v>
      </c>
      <c r="ADD1" s="122" t="s">
        <v>782</v>
      </c>
      <c r="ADE1" s="122" t="s">
        <v>783</v>
      </c>
      <c r="ADF1" s="122" t="s">
        <v>784</v>
      </c>
      <c r="ADG1" s="122" t="s">
        <v>785</v>
      </c>
      <c r="ADH1" s="122" t="s">
        <v>786</v>
      </c>
      <c r="ADI1" s="122" t="s">
        <v>787</v>
      </c>
      <c r="ADJ1" s="122" t="s">
        <v>788</v>
      </c>
      <c r="ADK1" s="122" t="s">
        <v>789</v>
      </c>
      <c r="ADL1" s="122" t="s">
        <v>790</v>
      </c>
      <c r="ADM1" s="122" t="s">
        <v>791</v>
      </c>
      <c r="ADN1" s="122" t="s">
        <v>792</v>
      </c>
      <c r="ADO1" s="122" t="s">
        <v>793</v>
      </c>
      <c r="ADP1" s="122" t="s">
        <v>794</v>
      </c>
      <c r="ADQ1" s="122" t="s">
        <v>795</v>
      </c>
      <c r="ADR1" s="122" t="s">
        <v>796</v>
      </c>
      <c r="ADS1" s="122" t="s">
        <v>797</v>
      </c>
      <c r="ADT1" s="122" t="s">
        <v>798</v>
      </c>
      <c r="ADU1" s="122" t="s">
        <v>799</v>
      </c>
      <c r="ADV1" s="122" t="s">
        <v>800</v>
      </c>
      <c r="ADW1" s="122" t="s">
        <v>801</v>
      </c>
      <c r="ADX1" s="122" t="s">
        <v>802</v>
      </c>
      <c r="ADY1" s="122" t="s">
        <v>803</v>
      </c>
      <c r="ADZ1" s="122" t="s">
        <v>804</v>
      </c>
      <c r="AEA1" s="122" t="s">
        <v>805</v>
      </c>
      <c r="AEB1" s="122" t="s">
        <v>806</v>
      </c>
      <c r="AEC1" s="122" t="s">
        <v>807</v>
      </c>
      <c r="AED1" s="122" t="s">
        <v>808</v>
      </c>
      <c r="AEE1" s="122" t="s">
        <v>809</v>
      </c>
      <c r="AEF1" s="122" t="s">
        <v>810</v>
      </c>
      <c r="AEG1" s="122" t="s">
        <v>811</v>
      </c>
      <c r="AEH1" s="122" t="s">
        <v>812</v>
      </c>
      <c r="AEI1" s="122" t="s">
        <v>813</v>
      </c>
      <c r="AEJ1" s="122" t="s">
        <v>814</v>
      </c>
      <c r="AEK1" s="122" t="s">
        <v>815</v>
      </c>
      <c r="AEL1" s="122" t="s">
        <v>816</v>
      </c>
      <c r="AEM1" s="122" t="s">
        <v>817</v>
      </c>
      <c r="AEN1" s="122" t="s">
        <v>818</v>
      </c>
      <c r="AEO1" s="122" t="s">
        <v>819</v>
      </c>
      <c r="AEP1" s="122" t="s">
        <v>820</v>
      </c>
      <c r="AEQ1" s="122" t="s">
        <v>821</v>
      </c>
      <c r="AER1" s="122" t="s">
        <v>822</v>
      </c>
      <c r="AES1" s="122" t="s">
        <v>823</v>
      </c>
      <c r="AET1" s="122" t="s">
        <v>824</v>
      </c>
      <c r="AEU1" s="122" t="s">
        <v>825</v>
      </c>
      <c r="AEV1" s="122" t="s">
        <v>826</v>
      </c>
      <c r="AEW1" s="122" t="s">
        <v>827</v>
      </c>
      <c r="AEX1" s="122" t="s">
        <v>828</v>
      </c>
      <c r="AEY1" s="122" t="s">
        <v>829</v>
      </c>
      <c r="AEZ1" s="122" t="s">
        <v>830</v>
      </c>
      <c r="AFA1" s="122" t="s">
        <v>831</v>
      </c>
      <c r="AFB1" s="122" t="s">
        <v>832</v>
      </c>
      <c r="AFC1" s="122" t="s">
        <v>833</v>
      </c>
      <c r="AFD1" s="122" t="s">
        <v>834</v>
      </c>
      <c r="AFE1" s="122" t="s">
        <v>835</v>
      </c>
      <c r="AFF1" s="122" t="s">
        <v>836</v>
      </c>
      <c r="AFG1" s="122" t="s">
        <v>837</v>
      </c>
      <c r="AFH1" s="122" t="s">
        <v>838</v>
      </c>
      <c r="AFI1" s="122" t="s">
        <v>839</v>
      </c>
      <c r="AFJ1" s="122" t="s">
        <v>840</v>
      </c>
      <c r="AFK1" s="122" t="s">
        <v>841</v>
      </c>
      <c r="AFL1" s="122" t="s">
        <v>842</v>
      </c>
      <c r="AFM1" s="122" t="s">
        <v>843</v>
      </c>
      <c r="AFN1" s="122" t="s">
        <v>844</v>
      </c>
      <c r="AFO1" s="122" t="s">
        <v>845</v>
      </c>
      <c r="AFP1" s="122" t="s">
        <v>846</v>
      </c>
      <c r="AFQ1" s="122" t="s">
        <v>847</v>
      </c>
      <c r="AFR1" s="122" t="s">
        <v>848</v>
      </c>
      <c r="AFS1" s="122" t="s">
        <v>849</v>
      </c>
      <c r="AFT1" s="122" t="s">
        <v>850</v>
      </c>
      <c r="AFU1" s="122" t="s">
        <v>851</v>
      </c>
      <c r="AFV1" s="122" t="s">
        <v>852</v>
      </c>
      <c r="AFW1" s="122" t="s">
        <v>853</v>
      </c>
      <c r="AFX1" s="122" t="s">
        <v>854</v>
      </c>
      <c r="AFY1" s="122" t="s">
        <v>855</v>
      </c>
      <c r="AFZ1" s="122" t="s">
        <v>856</v>
      </c>
      <c r="AGA1" s="122" t="s">
        <v>857</v>
      </c>
      <c r="AGB1" s="122" t="s">
        <v>858</v>
      </c>
      <c r="AGC1" s="122" t="s">
        <v>859</v>
      </c>
      <c r="AGD1" s="122" t="s">
        <v>860</v>
      </c>
      <c r="AGE1" s="122" t="s">
        <v>861</v>
      </c>
      <c r="AGF1" s="122" t="s">
        <v>862</v>
      </c>
      <c r="AGG1" s="122" t="s">
        <v>863</v>
      </c>
      <c r="AGH1" s="122" t="s">
        <v>864</v>
      </c>
      <c r="AGI1" s="122" t="s">
        <v>865</v>
      </c>
      <c r="AGJ1" s="122" t="s">
        <v>866</v>
      </c>
      <c r="AGK1" s="122" t="s">
        <v>867</v>
      </c>
      <c r="AGL1" s="122" t="s">
        <v>868</v>
      </c>
      <c r="AGM1" s="122" t="s">
        <v>869</v>
      </c>
      <c r="AGN1" s="122" t="s">
        <v>870</v>
      </c>
      <c r="AGO1" s="122" t="s">
        <v>871</v>
      </c>
      <c r="AGP1" s="122" t="s">
        <v>872</v>
      </c>
      <c r="AGQ1" s="122" t="s">
        <v>873</v>
      </c>
      <c r="AGR1" s="122" t="s">
        <v>874</v>
      </c>
      <c r="AGS1" s="122" t="s">
        <v>875</v>
      </c>
      <c r="AGT1" s="122" t="s">
        <v>876</v>
      </c>
      <c r="AGU1" s="122" t="s">
        <v>877</v>
      </c>
      <c r="AGV1" s="122" t="s">
        <v>878</v>
      </c>
      <c r="AGW1" s="122" t="s">
        <v>879</v>
      </c>
      <c r="AGX1" s="122" t="s">
        <v>880</v>
      </c>
      <c r="AGY1" s="122" t="s">
        <v>881</v>
      </c>
      <c r="AGZ1" s="122" t="s">
        <v>882</v>
      </c>
      <c r="AHA1" s="122" t="s">
        <v>883</v>
      </c>
      <c r="AHB1" s="122" t="s">
        <v>884</v>
      </c>
      <c r="AHC1" s="122" t="s">
        <v>885</v>
      </c>
      <c r="AHD1" s="122" t="s">
        <v>886</v>
      </c>
      <c r="AHE1" s="122" t="s">
        <v>887</v>
      </c>
      <c r="AHF1" s="122" t="s">
        <v>888</v>
      </c>
      <c r="AHG1" s="122" t="s">
        <v>889</v>
      </c>
      <c r="AHH1" s="122" t="s">
        <v>890</v>
      </c>
      <c r="AHI1" s="122" t="s">
        <v>891</v>
      </c>
      <c r="AHJ1" s="122" t="s">
        <v>892</v>
      </c>
      <c r="AHK1" s="122" t="s">
        <v>893</v>
      </c>
      <c r="AHL1" s="122" t="s">
        <v>894</v>
      </c>
      <c r="AHM1" s="122" t="s">
        <v>895</v>
      </c>
      <c r="AHN1" s="122" t="s">
        <v>896</v>
      </c>
      <c r="AHO1" s="122" t="s">
        <v>897</v>
      </c>
      <c r="AHP1" s="122" t="s">
        <v>898</v>
      </c>
      <c r="AHQ1" s="122" t="s">
        <v>899</v>
      </c>
      <c r="AHR1" s="122" t="s">
        <v>900</v>
      </c>
      <c r="AHS1" s="122" t="s">
        <v>901</v>
      </c>
      <c r="AHT1" s="122" t="s">
        <v>902</v>
      </c>
      <c r="AHU1" s="122" t="s">
        <v>903</v>
      </c>
      <c r="AHV1" s="122" t="s">
        <v>904</v>
      </c>
      <c r="AHW1" s="122" t="s">
        <v>905</v>
      </c>
      <c r="AHX1" s="122" t="s">
        <v>906</v>
      </c>
      <c r="AHY1" s="122" t="s">
        <v>907</v>
      </c>
      <c r="AHZ1" s="122" t="s">
        <v>908</v>
      </c>
      <c r="AIA1" s="122" t="s">
        <v>909</v>
      </c>
      <c r="AIB1" s="122" t="s">
        <v>910</v>
      </c>
      <c r="AIC1" s="122" t="s">
        <v>911</v>
      </c>
      <c r="AID1" s="122" t="s">
        <v>912</v>
      </c>
      <c r="AIE1" s="122" t="s">
        <v>913</v>
      </c>
      <c r="AIF1" s="122" t="s">
        <v>914</v>
      </c>
      <c r="AIG1" s="122" t="s">
        <v>915</v>
      </c>
      <c r="AIH1" s="122" t="s">
        <v>916</v>
      </c>
      <c r="AII1" s="122" t="s">
        <v>917</v>
      </c>
      <c r="AIJ1" s="122" t="s">
        <v>918</v>
      </c>
      <c r="AIK1" s="122" t="s">
        <v>919</v>
      </c>
      <c r="AIL1" s="122" t="s">
        <v>920</v>
      </c>
      <c r="AIM1" s="122" t="s">
        <v>921</v>
      </c>
      <c r="AIN1" s="122" t="s">
        <v>922</v>
      </c>
      <c r="AIO1" s="122" t="s">
        <v>923</v>
      </c>
      <c r="AIP1" s="122" t="s">
        <v>924</v>
      </c>
      <c r="AIQ1" s="122" t="s">
        <v>925</v>
      </c>
      <c r="AIR1" s="122" t="s">
        <v>926</v>
      </c>
      <c r="AIS1" s="122" t="s">
        <v>927</v>
      </c>
      <c r="AIT1" s="122" t="s">
        <v>928</v>
      </c>
      <c r="AIU1" s="122" t="s">
        <v>929</v>
      </c>
      <c r="AIV1" s="122" t="s">
        <v>930</v>
      </c>
      <c r="AIW1" s="122" t="s">
        <v>931</v>
      </c>
      <c r="AIX1" s="122" t="s">
        <v>932</v>
      </c>
      <c r="AIY1" s="122" t="s">
        <v>933</v>
      </c>
      <c r="AIZ1" s="122" t="s">
        <v>934</v>
      </c>
      <c r="AJA1" s="122" t="s">
        <v>935</v>
      </c>
      <c r="AJB1" s="122" t="s">
        <v>936</v>
      </c>
      <c r="AJC1" s="122" t="s">
        <v>937</v>
      </c>
      <c r="AJD1" s="122" t="s">
        <v>938</v>
      </c>
      <c r="AJE1" s="122" t="s">
        <v>939</v>
      </c>
      <c r="AJF1" s="122" t="s">
        <v>940</v>
      </c>
      <c r="AJG1" s="122" t="s">
        <v>941</v>
      </c>
      <c r="AJH1" s="122" t="s">
        <v>942</v>
      </c>
      <c r="AJI1" s="122" t="s">
        <v>943</v>
      </c>
      <c r="AJJ1" s="122" t="s">
        <v>944</v>
      </c>
      <c r="AJK1" s="122" t="s">
        <v>945</v>
      </c>
      <c r="AJL1" s="122" t="s">
        <v>946</v>
      </c>
      <c r="AJM1" s="122" t="s">
        <v>947</v>
      </c>
      <c r="AJN1" s="122" t="s">
        <v>948</v>
      </c>
      <c r="AJO1" s="122" t="s">
        <v>949</v>
      </c>
      <c r="AJP1" s="122" t="s">
        <v>950</v>
      </c>
      <c r="AJQ1" s="122" t="s">
        <v>951</v>
      </c>
      <c r="AJR1" s="122" t="s">
        <v>952</v>
      </c>
      <c r="AJS1" s="122" t="s">
        <v>953</v>
      </c>
      <c r="AJT1" s="122" t="s">
        <v>954</v>
      </c>
      <c r="AJU1" s="122" t="s">
        <v>955</v>
      </c>
      <c r="AJV1" s="122" t="s">
        <v>956</v>
      </c>
      <c r="AJW1" s="122" t="s">
        <v>957</v>
      </c>
      <c r="AJX1" s="122" t="s">
        <v>958</v>
      </c>
      <c r="AJY1" s="122" t="s">
        <v>959</v>
      </c>
      <c r="AJZ1" s="122" t="s">
        <v>960</v>
      </c>
      <c r="AKA1" s="122" t="s">
        <v>961</v>
      </c>
      <c r="AKB1" s="122" t="s">
        <v>962</v>
      </c>
      <c r="AKC1" s="122" t="s">
        <v>963</v>
      </c>
      <c r="AKD1" s="122" t="s">
        <v>964</v>
      </c>
      <c r="AKE1" s="122" t="s">
        <v>965</v>
      </c>
      <c r="AKF1" s="122" t="s">
        <v>966</v>
      </c>
      <c r="AKG1" s="122" t="s">
        <v>967</v>
      </c>
      <c r="AKH1" s="122" t="s">
        <v>968</v>
      </c>
      <c r="AKI1" s="122" t="s">
        <v>969</v>
      </c>
      <c r="AKJ1" s="122" t="s">
        <v>970</v>
      </c>
      <c r="AKK1" s="122" t="s">
        <v>971</v>
      </c>
      <c r="AKL1" s="122" t="s">
        <v>972</v>
      </c>
      <c r="AKM1" s="122" t="s">
        <v>973</v>
      </c>
      <c r="AKN1" s="122" t="s">
        <v>974</v>
      </c>
      <c r="AKO1" s="122" t="s">
        <v>975</v>
      </c>
      <c r="AKP1" s="122" t="s">
        <v>976</v>
      </c>
      <c r="AKQ1" s="122" t="s">
        <v>977</v>
      </c>
      <c r="AKR1" s="122" t="s">
        <v>978</v>
      </c>
      <c r="AKS1" s="122" t="s">
        <v>979</v>
      </c>
      <c r="AKT1" s="122" t="s">
        <v>980</v>
      </c>
      <c r="AKU1" s="122" t="s">
        <v>981</v>
      </c>
      <c r="AKV1" s="122" t="s">
        <v>982</v>
      </c>
      <c r="AKW1" s="122" t="s">
        <v>983</v>
      </c>
      <c r="AKX1" s="122" t="s">
        <v>984</v>
      </c>
      <c r="AKY1" s="122" t="s">
        <v>985</v>
      </c>
      <c r="AKZ1" s="122" t="s">
        <v>986</v>
      </c>
      <c r="ALA1" s="122" t="s">
        <v>987</v>
      </c>
      <c r="ALB1" s="122" t="s">
        <v>988</v>
      </c>
      <c r="ALC1" s="122" t="s">
        <v>989</v>
      </c>
      <c r="ALD1" s="122" t="s">
        <v>990</v>
      </c>
      <c r="ALE1" s="122" t="s">
        <v>991</v>
      </c>
      <c r="ALF1" s="122" t="s">
        <v>992</v>
      </c>
      <c r="ALG1" s="122" t="s">
        <v>993</v>
      </c>
      <c r="ALH1" s="122" t="s">
        <v>994</v>
      </c>
      <c r="ALI1" s="122" t="s">
        <v>995</v>
      </c>
      <c r="ALJ1" s="122" t="s">
        <v>996</v>
      </c>
      <c r="ALK1" s="122" t="s">
        <v>997</v>
      </c>
      <c r="ALL1" s="122" t="s">
        <v>998</v>
      </c>
      <c r="ALM1" s="122" t="s">
        <v>999</v>
      </c>
      <c r="ALN1" s="122" t="s">
        <v>1000</v>
      </c>
      <c r="ALO1" s="122" t="s">
        <v>1001</v>
      </c>
      <c r="ALP1" s="122" t="s">
        <v>1002</v>
      </c>
      <c r="ALQ1" s="122" t="s">
        <v>1003</v>
      </c>
      <c r="ALR1" s="122" t="s">
        <v>1004</v>
      </c>
      <c r="ALS1" s="122" t="s">
        <v>1005</v>
      </c>
      <c r="ALT1" s="122" t="s">
        <v>1006</v>
      </c>
      <c r="ALU1" s="122" t="s">
        <v>1007</v>
      </c>
      <c r="ALV1" s="122" t="s">
        <v>1008</v>
      </c>
      <c r="ALW1" s="122" t="s">
        <v>1009</v>
      </c>
      <c r="ALX1" s="122" t="s">
        <v>1010</v>
      </c>
      <c r="ALY1" s="122" t="s">
        <v>1011</v>
      </c>
      <c r="ALZ1" s="122" t="s">
        <v>1012</v>
      </c>
      <c r="AMA1" s="122" t="s">
        <v>1013</v>
      </c>
      <c r="AMB1" s="122" t="s">
        <v>1014</v>
      </c>
      <c r="AMC1" s="122" t="s">
        <v>1015</v>
      </c>
      <c r="AMD1" s="122" t="s">
        <v>1016</v>
      </c>
      <c r="AME1" s="122" t="s">
        <v>1017</v>
      </c>
      <c r="AMF1" s="122" t="s">
        <v>1018</v>
      </c>
      <c r="AMG1" s="122" t="s">
        <v>1019</v>
      </c>
      <c r="AMH1" s="122" t="s">
        <v>1020</v>
      </c>
      <c r="AMI1" s="122" t="s">
        <v>1021</v>
      </c>
      <c r="AMJ1" s="122" t="s">
        <v>1022</v>
      </c>
      <c r="AMK1" s="122" t="s">
        <v>1023</v>
      </c>
      <c r="AML1" s="122" t="s">
        <v>1024</v>
      </c>
      <c r="AMM1" s="122" t="s">
        <v>1025</v>
      </c>
      <c r="AMN1" s="122" t="s">
        <v>1026</v>
      </c>
      <c r="AMO1" s="122" t="s">
        <v>1027</v>
      </c>
      <c r="AMP1" s="122" t="s">
        <v>1028</v>
      </c>
      <c r="AMQ1" s="122" t="s">
        <v>1029</v>
      </c>
      <c r="AMR1" s="122" t="s">
        <v>1030</v>
      </c>
      <c r="AMS1" s="122" t="s">
        <v>1031</v>
      </c>
      <c r="AMT1" s="122" t="s">
        <v>1032</v>
      </c>
      <c r="AMU1" s="122" t="s">
        <v>1033</v>
      </c>
      <c r="AMV1" s="122" t="s">
        <v>1034</v>
      </c>
      <c r="AMW1" s="122" t="s">
        <v>1035</v>
      </c>
      <c r="AMX1" s="122" t="s">
        <v>1036</v>
      </c>
      <c r="AMY1" s="122" t="s">
        <v>1037</v>
      </c>
      <c r="AMZ1" s="122" t="s">
        <v>1038</v>
      </c>
      <c r="ANA1" s="122" t="s">
        <v>1039</v>
      </c>
      <c r="ANB1" s="122" t="s">
        <v>1040</v>
      </c>
      <c r="ANC1" s="122" t="s">
        <v>1041</v>
      </c>
      <c r="AND1" s="122" t="s">
        <v>1042</v>
      </c>
      <c r="ANE1" s="122" t="s">
        <v>1043</v>
      </c>
      <c r="ANF1" s="122" t="s">
        <v>1044</v>
      </c>
      <c r="ANG1" s="122" t="s">
        <v>1045</v>
      </c>
      <c r="ANH1" s="122" t="s">
        <v>1046</v>
      </c>
      <c r="ANI1" s="122" t="s">
        <v>1047</v>
      </c>
      <c r="ANJ1" s="122" t="s">
        <v>1048</v>
      </c>
      <c r="ANK1" s="122" t="s">
        <v>1049</v>
      </c>
      <c r="ANL1" s="122" t="s">
        <v>1050</v>
      </c>
      <c r="ANM1" s="122" t="s">
        <v>1051</v>
      </c>
      <c r="ANN1" s="122" t="s">
        <v>1052</v>
      </c>
      <c r="ANO1" s="122" t="s">
        <v>1053</v>
      </c>
      <c r="ANP1" s="122" t="s">
        <v>1054</v>
      </c>
      <c r="ANQ1" s="122" t="s">
        <v>1055</v>
      </c>
      <c r="ANR1" s="122" t="s">
        <v>1056</v>
      </c>
      <c r="ANS1" s="122" t="s">
        <v>1057</v>
      </c>
      <c r="ANT1" s="122" t="s">
        <v>1058</v>
      </c>
      <c r="ANU1" s="122" t="s">
        <v>1059</v>
      </c>
      <c r="ANV1" s="122" t="s">
        <v>1060</v>
      </c>
      <c r="ANW1" s="122" t="s">
        <v>1061</v>
      </c>
      <c r="ANX1" s="122" t="s">
        <v>1062</v>
      </c>
      <c r="ANY1" s="122" t="s">
        <v>1063</v>
      </c>
      <c r="ANZ1" s="122" t="s">
        <v>1064</v>
      </c>
      <c r="AOA1" s="122" t="s">
        <v>1065</v>
      </c>
      <c r="AOB1" s="122" t="s">
        <v>1066</v>
      </c>
      <c r="AOC1" s="122" t="s">
        <v>1067</v>
      </c>
      <c r="AOD1" s="122" t="s">
        <v>1068</v>
      </c>
      <c r="AOE1" s="122" t="s">
        <v>1069</v>
      </c>
      <c r="AOF1" s="122" t="s">
        <v>1070</v>
      </c>
      <c r="AOG1" s="122" t="s">
        <v>1071</v>
      </c>
      <c r="AOH1" s="122" t="s">
        <v>1072</v>
      </c>
      <c r="AOI1" s="122" t="s">
        <v>1073</v>
      </c>
      <c r="AOJ1" s="122" t="s">
        <v>1074</v>
      </c>
      <c r="AOK1" s="122" t="s">
        <v>1075</v>
      </c>
      <c r="AOL1" s="122" t="s">
        <v>1076</v>
      </c>
      <c r="AOM1" s="122" t="s">
        <v>1077</v>
      </c>
      <c r="AON1" s="122" t="s">
        <v>1078</v>
      </c>
      <c r="AOO1" s="122" t="s">
        <v>1079</v>
      </c>
      <c r="AOP1" s="122" t="s">
        <v>1080</v>
      </c>
      <c r="AOQ1" s="122" t="s">
        <v>1081</v>
      </c>
      <c r="AOR1" s="122" t="s">
        <v>1082</v>
      </c>
      <c r="AOS1" s="122" t="s">
        <v>1083</v>
      </c>
      <c r="AOT1" s="122" t="s">
        <v>1084</v>
      </c>
      <c r="AOU1" s="122" t="s">
        <v>1085</v>
      </c>
      <c r="AOV1" s="122" t="s">
        <v>1086</v>
      </c>
      <c r="AOW1" s="122" t="s">
        <v>1087</v>
      </c>
      <c r="AOX1" s="122" t="s">
        <v>1088</v>
      </c>
      <c r="AOY1" s="122" t="s">
        <v>1089</v>
      </c>
      <c r="AOZ1" s="122" t="s">
        <v>1090</v>
      </c>
      <c r="APA1" s="122" t="s">
        <v>1091</v>
      </c>
      <c r="APB1" s="122" t="s">
        <v>1092</v>
      </c>
      <c r="APC1" s="122" t="s">
        <v>1093</v>
      </c>
      <c r="APD1" s="122" t="s">
        <v>1094</v>
      </c>
      <c r="APE1" s="122" t="s">
        <v>1095</v>
      </c>
      <c r="APF1" s="122" t="s">
        <v>1096</v>
      </c>
      <c r="APG1" s="122" t="s">
        <v>1097</v>
      </c>
      <c r="APH1" s="122" t="s">
        <v>1098</v>
      </c>
      <c r="API1" s="122" t="s">
        <v>1099</v>
      </c>
      <c r="APJ1" s="122" t="s">
        <v>1100</v>
      </c>
      <c r="APK1" s="122" t="s">
        <v>1101</v>
      </c>
      <c r="APL1" s="122" t="s">
        <v>1102</v>
      </c>
      <c r="APM1" s="122" t="s">
        <v>1103</v>
      </c>
      <c r="APN1" s="122" t="s">
        <v>1104</v>
      </c>
      <c r="APO1" s="122" t="s">
        <v>1105</v>
      </c>
      <c r="APP1" s="122" t="s">
        <v>1106</v>
      </c>
      <c r="APQ1" s="122" t="s">
        <v>1107</v>
      </c>
      <c r="APR1" s="122" t="s">
        <v>1108</v>
      </c>
      <c r="APS1" s="122" t="s">
        <v>1109</v>
      </c>
      <c r="APT1" s="122" t="s">
        <v>1110</v>
      </c>
      <c r="APU1" s="122" t="s">
        <v>1111</v>
      </c>
      <c r="APV1" s="122" t="s">
        <v>1112</v>
      </c>
      <c r="APW1" s="122" t="s">
        <v>1113</v>
      </c>
      <c r="APX1" s="122" t="s">
        <v>1114</v>
      </c>
      <c r="APY1" s="122" t="s">
        <v>1115</v>
      </c>
      <c r="APZ1" s="122" t="s">
        <v>1116</v>
      </c>
      <c r="AQA1" s="122" t="s">
        <v>1117</v>
      </c>
      <c r="AQB1" s="122" t="s">
        <v>1118</v>
      </c>
      <c r="AQC1" s="122" t="s">
        <v>1119</v>
      </c>
      <c r="AQD1" s="122" t="s">
        <v>1120</v>
      </c>
      <c r="AQE1" s="122" t="s">
        <v>1121</v>
      </c>
      <c r="AQF1" s="122" t="s">
        <v>1122</v>
      </c>
      <c r="AQG1" s="122" t="s">
        <v>1123</v>
      </c>
      <c r="AQH1" s="122" t="s">
        <v>1124</v>
      </c>
      <c r="AQI1" s="122" t="s">
        <v>1125</v>
      </c>
      <c r="AQJ1" s="122" t="s">
        <v>1126</v>
      </c>
      <c r="AQK1" s="122" t="s">
        <v>1127</v>
      </c>
      <c r="AQL1" s="122" t="s">
        <v>1128</v>
      </c>
      <c r="AQM1" s="122" t="s">
        <v>1129</v>
      </c>
      <c r="AQN1" s="122" t="s">
        <v>1130</v>
      </c>
      <c r="AQO1" s="122" t="s">
        <v>1131</v>
      </c>
      <c r="AQP1" s="122" t="s">
        <v>1132</v>
      </c>
      <c r="AQQ1" s="122" t="s">
        <v>1133</v>
      </c>
      <c r="AQR1" s="122" t="s">
        <v>1134</v>
      </c>
      <c r="AQS1" s="122" t="s">
        <v>1135</v>
      </c>
      <c r="AQT1" s="122" t="s">
        <v>1136</v>
      </c>
      <c r="AQU1" s="122" t="s">
        <v>1137</v>
      </c>
      <c r="AQV1" s="122" t="s">
        <v>1138</v>
      </c>
      <c r="AQW1" s="122" t="s">
        <v>1139</v>
      </c>
      <c r="AQX1" s="122" t="s">
        <v>1140</v>
      </c>
      <c r="AQY1" s="122" t="s">
        <v>1141</v>
      </c>
      <c r="AQZ1" s="122" t="s">
        <v>1142</v>
      </c>
      <c r="ARA1" s="122" t="s">
        <v>1143</v>
      </c>
      <c r="ARB1" s="122" t="s">
        <v>1144</v>
      </c>
      <c r="ARC1" s="122" t="s">
        <v>1145</v>
      </c>
      <c r="ARD1" s="122" t="s">
        <v>1146</v>
      </c>
      <c r="ARE1" s="122" t="s">
        <v>1147</v>
      </c>
      <c r="ARF1" s="122" t="s">
        <v>1148</v>
      </c>
      <c r="ARG1" s="122" t="s">
        <v>1149</v>
      </c>
      <c r="ARH1" s="122" t="s">
        <v>1150</v>
      </c>
      <c r="ARI1" s="122" t="s">
        <v>1151</v>
      </c>
      <c r="ARJ1" s="122" t="s">
        <v>1152</v>
      </c>
      <c r="ARK1" s="122" t="s">
        <v>1153</v>
      </c>
      <c r="ARL1" s="122" t="s">
        <v>1154</v>
      </c>
      <c r="ARM1" s="122" t="s">
        <v>1155</v>
      </c>
      <c r="ARN1" s="122" t="s">
        <v>1156</v>
      </c>
      <c r="ARO1" s="122" t="s">
        <v>1157</v>
      </c>
      <c r="ARP1" s="122" t="s">
        <v>1158</v>
      </c>
      <c r="ARQ1" s="122" t="s">
        <v>1159</v>
      </c>
      <c r="ARR1" s="122" t="s">
        <v>1160</v>
      </c>
      <c r="ARS1" s="122" t="s">
        <v>1161</v>
      </c>
      <c r="ART1" s="122" t="s">
        <v>1162</v>
      </c>
      <c r="ARU1" s="122" t="s">
        <v>1163</v>
      </c>
      <c r="ARV1" s="122" t="s">
        <v>1164</v>
      </c>
      <c r="ARW1" s="122" t="s">
        <v>1165</v>
      </c>
      <c r="ARX1" s="122" t="s">
        <v>1166</v>
      </c>
      <c r="ARY1" s="122" t="s">
        <v>1167</v>
      </c>
      <c r="ARZ1" s="122" t="s">
        <v>1168</v>
      </c>
      <c r="ASA1" s="122" t="s">
        <v>1169</v>
      </c>
      <c r="ASB1" s="122" t="s">
        <v>1170</v>
      </c>
      <c r="ASC1" s="122" t="s">
        <v>1171</v>
      </c>
      <c r="ASD1" s="122" t="s">
        <v>1172</v>
      </c>
      <c r="ASE1" s="122" t="s">
        <v>1173</v>
      </c>
      <c r="ASF1" s="122" t="s">
        <v>1174</v>
      </c>
      <c r="ASG1" s="122" t="s">
        <v>1175</v>
      </c>
      <c r="ASH1" s="122" t="s">
        <v>1176</v>
      </c>
      <c r="ASI1" s="122" t="s">
        <v>1177</v>
      </c>
      <c r="ASJ1" s="122" t="s">
        <v>1178</v>
      </c>
      <c r="ASK1" s="122" t="s">
        <v>1179</v>
      </c>
      <c r="ASL1" s="122" t="s">
        <v>1180</v>
      </c>
      <c r="ASM1" s="122" t="s">
        <v>1181</v>
      </c>
      <c r="ASN1" s="122" t="s">
        <v>1182</v>
      </c>
      <c r="ASO1" s="122" t="s">
        <v>1183</v>
      </c>
      <c r="ASP1" s="122" t="s">
        <v>1184</v>
      </c>
      <c r="ASQ1" s="122" t="s">
        <v>1185</v>
      </c>
      <c r="ASR1" s="122" t="s">
        <v>1186</v>
      </c>
      <c r="ASS1" s="122" t="s">
        <v>1187</v>
      </c>
      <c r="AST1" s="122" t="s">
        <v>1188</v>
      </c>
      <c r="ASU1" s="122" t="s">
        <v>1189</v>
      </c>
      <c r="ASV1" s="122" t="s">
        <v>1190</v>
      </c>
      <c r="ASW1" s="122" t="s">
        <v>1191</v>
      </c>
      <c r="ASX1" s="122" t="s">
        <v>1192</v>
      </c>
      <c r="ASY1" s="122" t="s">
        <v>1193</v>
      </c>
      <c r="ASZ1" s="122" t="s">
        <v>1194</v>
      </c>
      <c r="ATA1" s="122" t="s">
        <v>1195</v>
      </c>
      <c r="ATB1" s="122" t="s">
        <v>1196</v>
      </c>
      <c r="ATC1" s="122" t="s">
        <v>1197</v>
      </c>
      <c r="ATD1" s="122" t="s">
        <v>1198</v>
      </c>
      <c r="ATE1" s="122" t="s">
        <v>1199</v>
      </c>
      <c r="ATF1" s="122" t="s">
        <v>1200</v>
      </c>
      <c r="ATG1" s="122" t="s">
        <v>1201</v>
      </c>
      <c r="ATH1" s="122" t="s">
        <v>1202</v>
      </c>
      <c r="ATI1" s="122" t="s">
        <v>1203</v>
      </c>
      <c r="ATJ1" s="122" t="s">
        <v>1204</v>
      </c>
      <c r="ATK1" s="122" t="s">
        <v>1205</v>
      </c>
      <c r="ATL1" s="122" t="s">
        <v>1206</v>
      </c>
      <c r="ATM1" s="122" t="s">
        <v>1207</v>
      </c>
      <c r="ATN1" s="122" t="s">
        <v>1208</v>
      </c>
      <c r="ATO1" s="122" t="s">
        <v>1209</v>
      </c>
      <c r="ATP1" s="122" t="s">
        <v>1210</v>
      </c>
      <c r="ATQ1" s="122" t="s">
        <v>1211</v>
      </c>
      <c r="ATR1" s="122" t="s">
        <v>1212</v>
      </c>
      <c r="ATS1" s="122" t="s">
        <v>1213</v>
      </c>
      <c r="ATT1" s="122" t="s">
        <v>1214</v>
      </c>
      <c r="ATU1" s="122" t="s">
        <v>1215</v>
      </c>
      <c r="ATV1" s="122" t="s">
        <v>1216</v>
      </c>
      <c r="ATW1" s="122" t="s">
        <v>1217</v>
      </c>
      <c r="ATX1" s="122" t="s">
        <v>1218</v>
      </c>
      <c r="ATY1" s="122" t="s">
        <v>1219</v>
      </c>
      <c r="ATZ1" s="122" t="s">
        <v>1220</v>
      </c>
      <c r="AUA1" s="122" t="s">
        <v>1221</v>
      </c>
      <c r="AUB1" s="122" t="s">
        <v>1222</v>
      </c>
      <c r="AUC1" s="122" t="s">
        <v>1223</v>
      </c>
      <c r="AUD1" s="122" t="s">
        <v>1224</v>
      </c>
      <c r="AUE1" s="122" t="s">
        <v>1225</v>
      </c>
      <c r="AUF1" s="122" t="s">
        <v>1226</v>
      </c>
      <c r="AUG1" s="122" t="s">
        <v>1227</v>
      </c>
      <c r="AUH1" s="122" t="s">
        <v>1228</v>
      </c>
      <c r="AUI1" s="122" t="s">
        <v>1229</v>
      </c>
      <c r="AUJ1" s="122" t="s">
        <v>1230</v>
      </c>
      <c r="AUK1" s="122" t="s">
        <v>1231</v>
      </c>
      <c r="AUL1" s="122" t="s">
        <v>1232</v>
      </c>
      <c r="AUM1" s="122" t="s">
        <v>1233</v>
      </c>
      <c r="AUN1" s="122" t="s">
        <v>1234</v>
      </c>
      <c r="AUO1" s="122" t="s">
        <v>1235</v>
      </c>
      <c r="AUP1" s="122" t="s">
        <v>1236</v>
      </c>
      <c r="AUQ1" s="122" t="s">
        <v>1237</v>
      </c>
      <c r="AUR1" s="122" t="s">
        <v>1238</v>
      </c>
      <c r="AUS1" s="122" t="s">
        <v>1239</v>
      </c>
      <c r="AUT1" s="122" t="s">
        <v>1240</v>
      </c>
      <c r="AUU1" s="122" t="s">
        <v>1241</v>
      </c>
      <c r="AUV1" s="122" t="s">
        <v>1242</v>
      </c>
      <c r="AUW1" s="122" t="s">
        <v>1243</v>
      </c>
      <c r="AUX1" s="122" t="s">
        <v>1244</v>
      </c>
      <c r="AUY1" s="122" t="s">
        <v>1245</v>
      </c>
      <c r="AUZ1" s="122" t="s">
        <v>1246</v>
      </c>
      <c r="AVA1" s="122" t="s">
        <v>1247</v>
      </c>
      <c r="AVB1" s="122" t="s">
        <v>1248</v>
      </c>
      <c r="AVC1" s="122" t="s">
        <v>1249</v>
      </c>
      <c r="AVD1" s="122" t="s">
        <v>1250</v>
      </c>
      <c r="AVE1" s="122" t="s">
        <v>1251</v>
      </c>
      <c r="AVF1" s="122" t="s">
        <v>1252</v>
      </c>
      <c r="AVG1" s="122" t="s">
        <v>1253</v>
      </c>
      <c r="AVH1" s="122" t="s">
        <v>1254</v>
      </c>
      <c r="AVI1" s="122" t="s">
        <v>1255</v>
      </c>
      <c r="AVJ1" s="122" t="s">
        <v>1256</v>
      </c>
      <c r="AVK1" s="122" t="s">
        <v>1257</v>
      </c>
      <c r="AVL1" s="122" t="s">
        <v>1258</v>
      </c>
      <c r="AVM1" s="122" t="s">
        <v>1259</v>
      </c>
      <c r="AVN1" s="122" t="s">
        <v>1260</v>
      </c>
      <c r="AVO1" s="122" t="s">
        <v>1261</v>
      </c>
      <c r="AVP1" s="122" t="s">
        <v>1262</v>
      </c>
      <c r="AVQ1" s="122" t="s">
        <v>1263</v>
      </c>
      <c r="AVR1" s="122" t="s">
        <v>1264</v>
      </c>
      <c r="AVS1" s="122" t="s">
        <v>1265</v>
      </c>
      <c r="AVT1" s="122" t="s">
        <v>1266</v>
      </c>
      <c r="AVU1" s="122" t="s">
        <v>1267</v>
      </c>
      <c r="AVV1" s="122" t="s">
        <v>1268</v>
      </c>
      <c r="AVW1" s="122" t="s">
        <v>1269</v>
      </c>
      <c r="AVX1" s="122" t="s">
        <v>1270</v>
      </c>
      <c r="AVY1" s="122" t="s">
        <v>1271</v>
      </c>
      <c r="AVZ1" s="122" t="s">
        <v>1272</v>
      </c>
      <c r="AWA1" s="122" t="s">
        <v>1273</v>
      </c>
      <c r="AWB1" s="122" t="s">
        <v>1274</v>
      </c>
      <c r="AWC1" s="122" t="s">
        <v>1275</v>
      </c>
      <c r="AWD1" s="122" t="s">
        <v>1276</v>
      </c>
      <c r="AWE1" s="122" t="s">
        <v>1277</v>
      </c>
      <c r="AWF1" s="122" t="s">
        <v>1278</v>
      </c>
      <c r="AWG1" s="122" t="s">
        <v>1279</v>
      </c>
      <c r="AWH1" s="122" t="s">
        <v>1280</v>
      </c>
      <c r="AWI1" s="122" t="s">
        <v>1281</v>
      </c>
      <c r="AWJ1" s="122" t="s">
        <v>1282</v>
      </c>
      <c r="AWK1" s="122" t="s">
        <v>1283</v>
      </c>
      <c r="AWL1" s="122" t="s">
        <v>1284</v>
      </c>
      <c r="AWM1" s="122" t="s">
        <v>1285</v>
      </c>
      <c r="AWN1" s="122" t="s">
        <v>1286</v>
      </c>
      <c r="AWO1" s="122" t="s">
        <v>1287</v>
      </c>
      <c r="AWP1" s="122" t="s">
        <v>1288</v>
      </c>
      <c r="AWQ1" s="122" t="s">
        <v>1289</v>
      </c>
      <c r="AWR1" s="122" t="s">
        <v>1290</v>
      </c>
      <c r="AWS1" s="122" t="s">
        <v>1291</v>
      </c>
      <c r="AWT1" s="122" t="s">
        <v>1292</v>
      </c>
      <c r="AWU1" s="122" t="s">
        <v>1293</v>
      </c>
      <c r="AWV1" s="122" t="s">
        <v>1294</v>
      </c>
      <c r="AWW1" s="122" t="s">
        <v>1295</v>
      </c>
      <c r="AWX1" s="122" t="s">
        <v>1296</v>
      </c>
      <c r="AWY1" s="122" t="s">
        <v>1297</v>
      </c>
      <c r="AWZ1" s="122" t="s">
        <v>1298</v>
      </c>
      <c r="AXA1" s="122" t="s">
        <v>1299</v>
      </c>
      <c r="AXB1" s="122" t="s">
        <v>1300</v>
      </c>
      <c r="AXC1" s="122" t="s">
        <v>1301</v>
      </c>
      <c r="AXD1" s="122" t="s">
        <v>1302</v>
      </c>
      <c r="AXE1" s="122" t="s">
        <v>1303</v>
      </c>
      <c r="AXF1" s="122" t="s">
        <v>1304</v>
      </c>
      <c r="AXG1" s="122" t="s">
        <v>1305</v>
      </c>
      <c r="AXH1" s="122" t="s">
        <v>1306</v>
      </c>
      <c r="AXI1" s="122" t="s">
        <v>1307</v>
      </c>
      <c r="AXJ1" s="122" t="s">
        <v>1308</v>
      </c>
      <c r="AXK1" s="122" t="s">
        <v>1309</v>
      </c>
      <c r="AXL1" s="122" t="s">
        <v>1310</v>
      </c>
      <c r="AXM1" s="122" t="s">
        <v>1311</v>
      </c>
      <c r="AXN1" s="122" t="s">
        <v>1312</v>
      </c>
      <c r="AXO1" s="122" t="s">
        <v>1313</v>
      </c>
      <c r="AXP1" s="122" t="s">
        <v>1314</v>
      </c>
      <c r="AXQ1" s="122" t="s">
        <v>1315</v>
      </c>
      <c r="AXR1" s="122" t="s">
        <v>1316</v>
      </c>
      <c r="AXS1" s="122" t="s">
        <v>1317</v>
      </c>
      <c r="AXT1" s="122" t="s">
        <v>1318</v>
      </c>
      <c r="AXU1" s="122" t="s">
        <v>1319</v>
      </c>
      <c r="AXV1" s="122" t="s">
        <v>1320</v>
      </c>
      <c r="AXW1" s="122" t="s">
        <v>1321</v>
      </c>
      <c r="AXX1" s="122" t="s">
        <v>1322</v>
      </c>
      <c r="AXY1" s="122" t="s">
        <v>1323</v>
      </c>
      <c r="AXZ1" s="122" t="s">
        <v>1324</v>
      </c>
      <c r="AYA1" s="122" t="s">
        <v>1325</v>
      </c>
      <c r="AYB1" s="122" t="s">
        <v>1326</v>
      </c>
      <c r="AYC1" s="122" t="s">
        <v>1327</v>
      </c>
      <c r="AYD1" s="122" t="s">
        <v>1328</v>
      </c>
      <c r="AYE1" s="122" t="s">
        <v>1329</v>
      </c>
      <c r="AYF1" s="122" t="s">
        <v>1330</v>
      </c>
      <c r="AYG1" s="122" t="s">
        <v>1331</v>
      </c>
      <c r="AYH1" s="122" t="s">
        <v>1332</v>
      </c>
      <c r="AYI1" s="122" t="s">
        <v>1333</v>
      </c>
      <c r="AYJ1" s="122" t="s">
        <v>1334</v>
      </c>
      <c r="AYK1" s="122" t="s">
        <v>1335</v>
      </c>
      <c r="AYL1" s="122" t="s">
        <v>1336</v>
      </c>
      <c r="AYM1" s="122" t="s">
        <v>1337</v>
      </c>
      <c r="AYN1" s="122" t="s">
        <v>1338</v>
      </c>
      <c r="AYO1" s="122" t="s">
        <v>1339</v>
      </c>
      <c r="AYP1" s="122" t="s">
        <v>1340</v>
      </c>
      <c r="AYQ1" s="122" t="s">
        <v>1341</v>
      </c>
      <c r="AYR1" s="122" t="s">
        <v>1342</v>
      </c>
      <c r="AYS1" s="122" t="s">
        <v>1343</v>
      </c>
      <c r="AYT1" s="122" t="s">
        <v>1344</v>
      </c>
      <c r="AYU1" s="122" t="s">
        <v>1345</v>
      </c>
      <c r="AYV1" s="122" t="s">
        <v>1346</v>
      </c>
      <c r="AYW1" s="122" t="s">
        <v>1347</v>
      </c>
      <c r="AYX1" s="122" t="s">
        <v>1348</v>
      </c>
      <c r="AYY1" s="122" t="s">
        <v>1349</v>
      </c>
      <c r="AYZ1" s="122" t="s">
        <v>1350</v>
      </c>
      <c r="AZA1" s="122" t="s">
        <v>1351</v>
      </c>
      <c r="AZB1" s="122" t="s">
        <v>1352</v>
      </c>
      <c r="AZC1" s="122" t="s">
        <v>1353</v>
      </c>
      <c r="AZD1" s="122" t="s">
        <v>1354</v>
      </c>
      <c r="AZE1" s="122" t="s">
        <v>1355</v>
      </c>
      <c r="AZF1" s="122" t="s">
        <v>1356</v>
      </c>
      <c r="AZG1" s="122" t="s">
        <v>1357</v>
      </c>
      <c r="AZH1" s="122" t="s">
        <v>1358</v>
      </c>
      <c r="AZI1" s="122" t="s">
        <v>1359</v>
      </c>
      <c r="AZJ1" s="122" t="s">
        <v>1360</v>
      </c>
      <c r="AZK1" s="122" t="s">
        <v>1361</v>
      </c>
      <c r="AZL1" s="122" t="s">
        <v>1362</v>
      </c>
      <c r="AZM1" s="122" t="s">
        <v>1363</v>
      </c>
      <c r="AZN1" s="122" t="s">
        <v>1364</v>
      </c>
      <c r="AZO1" s="122" t="s">
        <v>1365</v>
      </c>
      <c r="AZP1" s="122" t="s">
        <v>1366</v>
      </c>
      <c r="AZQ1" s="122" t="s">
        <v>1367</v>
      </c>
      <c r="AZR1" s="122" t="s">
        <v>1368</v>
      </c>
      <c r="AZS1" s="122" t="s">
        <v>1369</v>
      </c>
      <c r="AZT1" s="122" t="s">
        <v>1370</v>
      </c>
      <c r="AZU1" s="122" t="s">
        <v>1371</v>
      </c>
      <c r="AZV1" s="122" t="s">
        <v>1372</v>
      </c>
      <c r="AZW1" s="122" t="s">
        <v>1373</v>
      </c>
      <c r="AZX1" s="122" t="s">
        <v>1374</v>
      </c>
      <c r="AZY1" s="122" t="s">
        <v>1375</v>
      </c>
      <c r="AZZ1" s="122" t="s">
        <v>1376</v>
      </c>
      <c r="BAA1" s="122" t="s">
        <v>1377</v>
      </c>
      <c r="BAB1" s="122" t="s">
        <v>1378</v>
      </c>
      <c r="BAC1" s="122" t="s">
        <v>1379</v>
      </c>
      <c r="BAD1" s="122" t="s">
        <v>1380</v>
      </c>
      <c r="BAE1" s="122" t="s">
        <v>1381</v>
      </c>
      <c r="BAF1" s="122" t="s">
        <v>1382</v>
      </c>
      <c r="BAG1" s="122" t="s">
        <v>1383</v>
      </c>
      <c r="BAH1" s="122" t="s">
        <v>1384</v>
      </c>
      <c r="BAI1" s="122" t="s">
        <v>1385</v>
      </c>
      <c r="BAJ1" s="122" t="s">
        <v>1386</v>
      </c>
      <c r="BAK1" s="122" t="s">
        <v>1387</v>
      </c>
      <c r="BAL1" s="122" t="s">
        <v>1388</v>
      </c>
      <c r="BAM1" s="122" t="s">
        <v>1389</v>
      </c>
      <c r="BAN1" s="122" t="s">
        <v>1390</v>
      </c>
      <c r="BAO1" s="122" t="s">
        <v>1391</v>
      </c>
      <c r="BAP1" s="122" t="s">
        <v>1392</v>
      </c>
      <c r="BAQ1" s="122" t="s">
        <v>1393</v>
      </c>
      <c r="BAR1" s="122" t="s">
        <v>1394</v>
      </c>
      <c r="BAS1" s="122" t="s">
        <v>1395</v>
      </c>
      <c r="BAT1" s="122" t="s">
        <v>1396</v>
      </c>
      <c r="BAU1" s="122" t="s">
        <v>1397</v>
      </c>
      <c r="BAV1" s="122" t="s">
        <v>1398</v>
      </c>
      <c r="BAW1" s="122" t="s">
        <v>1399</v>
      </c>
      <c r="BAX1" s="122" t="s">
        <v>1400</v>
      </c>
      <c r="BAY1" s="122" t="s">
        <v>1401</v>
      </c>
      <c r="BAZ1" s="122" t="s">
        <v>1402</v>
      </c>
      <c r="BBA1" s="122" t="s">
        <v>1403</v>
      </c>
      <c r="BBB1" s="122" t="s">
        <v>1404</v>
      </c>
      <c r="BBC1" s="122" t="s">
        <v>1405</v>
      </c>
      <c r="BBD1" s="122" t="s">
        <v>1406</v>
      </c>
      <c r="BBE1" s="122" t="s">
        <v>1407</v>
      </c>
      <c r="BBF1" s="122" t="s">
        <v>1408</v>
      </c>
      <c r="BBG1" s="122" t="s">
        <v>1409</v>
      </c>
      <c r="BBH1" s="122" t="s">
        <v>1410</v>
      </c>
      <c r="BBI1" s="122" t="s">
        <v>1411</v>
      </c>
      <c r="BBJ1" s="122" t="s">
        <v>1412</v>
      </c>
      <c r="BBK1" s="122" t="s">
        <v>1413</v>
      </c>
      <c r="BBL1" s="122" t="s">
        <v>1414</v>
      </c>
      <c r="BBM1" s="122" t="s">
        <v>1415</v>
      </c>
      <c r="BBN1" s="122" t="s">
        <v>1416</v>
      </c>
      <c r="BBO1" s="122" t="s">
        <v>1417</v>
      </c>
      <c r="BBP1" s="122" t="s">
        <v>1418</v>
      </c>
      <c r="BBQ1" s="122" t="s">
        <v>1419</v>
      </c>
      <c r="BBR1" s="122" t="s">
        <v>1420</v>
      </c>
      <c r="BBS1" s="122" t="s">
        <v>1421</v>
      </c>
      <c r="BBT1" s="122" t="s">
        <v>1422</v>
      </c>
      <c r="BBU1" s="122" t="s">
        <v>1423</v>
      </c>
      <c r="BBV1" s="122" t="s">
        <v>1424</v>
      </c>
      <c r="BBW1" s="122" t="s">
        <v>1425</v>
      </c>
      <c r="BBX1" s="122" t="s">
        <v>1426</v>
      </c>
      <c r="BBY1" s="122" t="s">
        <v>1427</v>
      </c>
      <c r="BBZ1" s="122" t="s">
        <v>1428</v>
      </c>
      <c r="BCA1" s="122" t="s">
        <v>1429</v>
      </c>
      <c r="BCB1" s="122" t="s">
        <v>1430</v>
      </c>
      <c r="BCC1" s="122" t="s">
        <v>1431</v>
      </c>
      <c r="BCD1" s="122" t="s">
        <v>1432</v>
      </c>
      <c r="BCE1" s="122" t="s">
        <v>1433</v>
      </c>
      <c r="BCF1" s="122" t="s">
        <v>1434</v>
      </c>
      <c r="BCG1" s="122" t="s">
        <v>1435</v>
      </c>
      <c r="BCH1" s="122" t="s">
        <v>1436</v>
      </c>
      <c r="BCI1" s="122" t="s">
        <v>1437</v>
      </c>
      <c r="BCJ1" s="122" t="s">
        <v>1438</v>
      </c>
      <c r="BCK1" s="122" t="s">
        <v>1439</v>
      </c>
      <c r="BCL1" s="122" t="s">
        <v>1440</v>
      </c>
      <c r="BCM1" s="122" t="s">
        <v>1441</v>
      </c>
      <c r="BCN1" s="122" t="s">
        <v>1442</v>
      </c>
      <c r="BCO1" s="122" t="s">
        <v>1443</v>
      </c>
      <c r="BCP1" s="122" t="s">
        <v>1444</v>
      </c>
      <c r="BCQ1" s="122" t="s">
        <v>1445</v>
      </c>
      <c r="BCR1" s="122" t="s">
        <v>1446</v>
      </c>
      <c r="BCS1" s="122" t="s">
        <v>1447</v>
      </c>
      <c r="BCT1" s="122" t="s">
        <v>1448</v>
      </c>
      <c r="BCU1" s="122" t="s">
        <v>1449</v>
      </c>
      <c r="BCV1" s="122" t="s">
        <v>1450</v>
      </c>
      <c r="BCW1" s="122" t="s">
        <v>1451</v>
      </c>
      <c r="BCX1" s="122" t="s">
        <v>1452</v>
      </c>
      <c r="BCY1" s="122" t="s">
        <v>1453</v>
      </c>
      <c r="BCZ1" s="122" t="s">
        <v>1454</v>
      </c>
      <c r="BDA1" s="122" t="s">
        <v>1455</v>
      </c>
      <c r="BDB1" s="122" t="s">
        <v>1456</v>
      </c>
      <c r="BDC1" s="122" t="s">
        <v>1457</v>
      </c>
      <c r="BDD1" s="122" t="s">
        <v>1458</v>
      </c>
      <c r="BDE1" s="122" t="s">
        <v>1459</v>
      </c>
      <c r="BDF1" s="122" t="s">
        <v>1460</v>
      </c>
      <c r="BDG1" s="122" t="s">
        <v>1461</v>
      </c>
      <c r="BDH1" s="122" t="s">
        <v>1462</v>
      </c>
      <c r="BDI1" s="122" t="s">
        <v>1463</v>
      </c>
      <c r="BDJ1" s="122" t="s">
        <v>1464</v>
      </c>
      <c r="BDK1" s="122" t="s">
        <v>1465</v>
      </c>
      <c r="BDL1" s="122" t="s">
        <v>1466</v>
      </c>
      <c r="BDM1" s="122" t="s">
        <v>1467</v>
      </c>
      <c r="BDN1" s="122" t="s">
        <v>1468</v>
      </c>
      <c r="BDO1" s="122" t="s">
        <v>1469</v>
      </c>
      <c r="BDP1" s="122" t="s">
        <v>1470</v>
      </c>
      <c r="BDQ1" s="122" t="s">
        <v>1471</v>
      </c>
      <c r="BDR1" s="122" t="s">
        <v>1472</v>
      </c>
      <c r="BDS1" s="122" t="s">
        <v>1473</v>
      </c>
      <c r="BDT1" s="122" t="s">
        <v>1474</v>
      </c>
      <c r="BDU1" s="122" t="s">
        <v>1475</v>
      </c>
      <c r="BDV1" s="122" t="s">
        <v>1476</v>
      </c>
      <c r="BDW1" s="122" t="s">
        <v>1477</v>
      </c>
      <c r="BDX1" s="122" t="s">
        <v>1478</v>
      </c>
      <c r="BDY1" s="122" t="s">
        <v>1479</v>
      </c>
      <c r="BDZ1" s="122" t="s">
        <v>1480</v>
      </c>
      <c r="BEA1" s="122" t="s">
        <v>1481</v>
      </c>
      <c r="BEB1" s="122" t="s">
        <v>1482</v>
      </c>
      <c r="BEC1" s="122" t="s">
        <v>1483</v>
      </c>
      <c r="BED1" s="122" t="s">
        <v>1484</v>
      </c>
      <c r="BEE1" s="122" t="s">
        <v>1485</v>
      </c>
      <c r="BEF1" s="122" t="s">
        <v>1486</v>
      </c>
      <c r="BEG1" s="122" t="s">
        <v>1487</v>
      </c>
      <c r="BEH1" s="122" t="s">
        <v>1488</v>
      </c>
      <c r="BEI1" s="122" t="s">
        <v>1489</v>
      </c>
      <c r="BEJ1" s="122" t="s">
        <v>1490</v>
      </c>
      <c r="BEK1" s="122" t="s">
        <v>1491</v>
      </c>
      <c r="BEL1" s="122" t="s">
        <v>1492</v>
      </c>
      <c r="BEM1" s="122" t="s">
        <v>1493</v>
      </c>
      <c r="BEN1" s="122" t="s">
        <v>1494</v>
      </c>
      <c r="BEO1" s="122" t="s">
        <v>1495</v>
      </c>
      <c r="BEP1" s="122" t="s">
        <v>1496</v>
      </c>
      <c r="BEQ1" s="122" t="s">
        <v>1497</v>
      </c>
      <c r="BER1" s="122" t="s">
        <v>1498</v>
      </c>
      <c r="BES1" s="122" t="s">
        <v>1499</v>
      </c>
      <c r="BET1" s="122" t="s">
        <v>1500</v>
      </c>
      <c r="BEU1" s="122" t="s">
        <v>1501</v>
      </c>
      <c r="BEV1" s="122" t="s">
        <v>1502</v>
      </c>
      <c r="BEW1" s="122" t="s">
        <v>1503</v>
      </c>
      <c r="BEX1" s="122" t="s">
        <v>1504</v>
      </c>
      <c r="BEY1" s="122" t="s">
        <v>1505</v>
      </c>
      <c r="BEZ1" s="122" t="s">
        <v>1506</v>
      </c>
      <c r="BFA1" s="122" t="s">
        <v>1507</v>
      </c>
      <c r="BFB1" s="122" t="s">
        <v>1508</v>
      </c>
      <c r="BFC1" s="122" t="s">
        <v>1509</v>
      </c>
      <c r="BFD1" s="122" t="s">
        <v>1510</v>
      </c>
      <c r="BFE1" s="122" t="s">
        <v>1511</v>
      </c>
      <c r="BFF1" s="122" t="s">
        <v>1512</v>
      </c>
      <c r="BFG1" s="122" t="s">
        <v>1513</v>
      </c>
      <c r="BFH1" s="122" t="s">
        <v>1514</v>
      </c>
      <c r="BFI1" s="122" t="s">
        <v>1515</v>
      </c>
      <c r="BFJ1" s="122" t="s">
        <v>1516</v>
      </c>
      <c r="BFK1" s="122" t="s">
        <v>1517</v>
      </c>
      <c r="BFL1" s="122" t="s">
        <v>1518</v>
      </c>
      <c r="BFM1" s="122" t="s">
        <v>1519</v>
      </c>
      <c r="BFN1" s="122" t="s">
        <v>1520</v>
      </c>
      <c r="BFO1" s="122" t="s">
        <v>1521</v>
      </c>
      <c r="BFP1" s="122" t="s">
        <v>1522</v>
      </c>
      <c r="BFQ1" s="122" t="s">
        <v>1523</v>
      </c>
      <c r="BFR1" s="122" t="s">
        <v>1524</v>
      </c>
      <c r="BFS1" s="122" t="s">
        <v>1525</v>
      </c>
      <c r="BFT1" s="122" t="s">
        <v>1526</v>
      </c>
      <c r="BFU1" s="122" t="s">
        <v>1527</v>
      </c>
      <c r="BFV1" s="122" t="s">
        <v>1528</v>
      </c>
      <c r="BFW1" s="122" t="s">
        <v>1529</v>
      </c>
      <c r="BFX1" s="122" t="s">
        <v>1530</v>
      </c>
      <c r="BFY1" s="122" t="s">
        <v>1531</v>
      </c>
      <c r="BFZ1" s="122" t="s">
        <v>1532</v>
      </c>
      <c r="BGA1" s="122" t="s">
        <v>1533</v>
      </c>
      <c r="BGB1" s="122" t="s">
        <v>1534</v>
      </c>
      <c r="BGC1" s="122" t="s">
        <v>1535</v>
      </c>
      <c r="BGD1" s="122" t="s">
        <v>1536</v>
      </c>
      <c r="BGE1" s="122" t="s">
        <v>1537</v>
      </c>
      <c r="BGF1" s="122" t="s">
        <v>1538</v>
      </c>
      <c r="BGG1" s="122" t="s">
        <v>1539</v>
      </c>
      <c r="BGH1" s="122" t="s">
        <v>1540</v>
      </c>
      <c r="BGI1" s="122" t="s">
        <v>1541</v>
      </c>
      <c r="BGJ1" s="122" t="s">
        <v>1542</v>
      </c>
      <c r="BGK1" s="122" t="s">
        <v>1543</v>
      </c>
      <c r="BGL1" s="122" t="s">
        <v>1544</v>
      </c>
      <c r="BGM1" s="122" t="s">
        <v>1545</v>
      </c>
      <c r="BGN1" s="122" t="s">
        <v>1546</v>
      </c>
      <c r="BGO1" s="122" t="s">
        <v>1547</v>
      </c>
      <c r="BGP1" s="122" t="s">
        <v>1548</v>
      </c>
      <c r="BGQ1" s="122" t="s">
        <v>1549</v>
      </c>
      <c r="BGR1" s="122" t="s">
        <v>1550</v>
      </c>
      <c r="BGS1" s="122" t="s">
        <v>1551</v>
      </c>
      <c r="BGT1" s="122" t="s">
        <v>1552</v>
      </c>
      <c r="BGU1" s="122" t="s">
        <v>1553</v>
      </c>
      <c r="BGV1" s="122" t="s">
        <v>1554</v>
      </c>
      <c r="BGW1" s="122" t="s">
        <v>1555</v>
      </c>
      <c r="BGX1" s="122" t="s">
        <v>1556</v>
      </c>
      <c r="BGY1" s="122" t="s">
        <v>1557</v>
      </c>
      <c r="BGZ1" s="122" t="s">
        <v>1558</v>
      </c>
      <c r="BHA1" s="122" t="s">
        <v>1559</v>
      </c>
      <c r="BHB1" s="122" t="s">
        <v>1560</v>
      </c>
      <c r="BHC1" s="122" t="s">
        <v>1561</v>
      </c>
      <c r="BHD1" s="122" t="s">
        <v>1562</v>
      </c>
      <c r="BHE1" s="122" t="s">
        <v>1563</v>
      </c>
      <c r="BHF1" s="122" t="s">
        <v>1564</v>
      </c>
      <c r="BHG1" s="122" t="s">
        <v>1565</v>
      </c>
      <c r="BHH1" s="122" t="s">
        <v>1566</v>
      </c>
      <c r="BHI1" s="122" t="s">
        <v>1567</v>
      </c>
      <c r="BHJ1" s="122" t="s">
        <v>1568</v>
      </c>
      <c r="BHK1" s="122" t="s">
        <v>1569</v>
      </c>
      <c r="BHL1" s="122" t="s">
        <v>1570</v>
      </c>
      <c r="BHM1" s="122" t="s">
        <v>1571</v>
      </c>
      <c r="BHN1" s="122" t="s">
        <v>1572</v>
      </c>
      <c r="BHO1" s="122" t="s">
        <v>1573</v>
      </c>
      <c r="BHP1" s="122" t="s">
        <v>1574</v>
      </c>
      <c r="BHQ1" s="122" t="s">
        <v>1575</v>
      </c>
      <c r="BHR1" s="122" t="s">
        <v>1576</v>
      </c>
      <c r="BHS1" s="122" t="s">
        <v>1577</v>
      </c>
      <c r="BHT1" s="122" t="s">
        <v>1578</v>
      </c>
      <c r="BHU1" s="122" t="s">
        <v>1579</v>
      </c>
      <c r="BHV1" s="122" t="s">
        <v>1580</v>
      </c>
      <c r="BHW1" s="122" t="s">
        <v>1581</v>
      </c>
      <c r="BHX1" s="122" t="s">
        <v>1582</v>
      </c>
      <c r="BHY1" s="122" t="s">
        <v>1583</v>
      </c>
      <c r="BHZ1" s="122" t="s">
        <v>1584</v>
      </c>
      <c r="BIA1" s="122" t="s">
        <v>1585</v>
      </c>
      <c r="BIB1" s="122" t="s">
        <v>1586</v>
      </c>
      <c r="BIC1" s="122" t="s">
        <v>1587</v>
      </c>
      <c r="BID1" s="122" t="s">
        <v>1588</v>
      </c>
      <c r="BIE1" s="122" t="s">
        <v>1589</v>
      </c>
      <c r="BIF1" s="122" t="s">
        <v>1590</v>
      </c>
      <c r="BIG1" s="122" t="s">
        <v>1591</v>
      </c>
      <c r="BIH1" s="122" t="s">
        <v>1592</v>
      </c>
      <c r="BII1" s="122" t="s">
        <v>1593</v>
      </c>
      <c r="BIJ1" s="122" t="s">
        <v>1594</v>
      </c>
      <c r="BIK1" s="122" t="s">
        <v>1595</v>
      </c>
      <c r="BIL1" s="122" t="s">
        <v>1596</v>
      </c>
      <c r="BIM1" s="122" t="s">
        <v>1597</v>
      </c>
      <c r="BIN1" s="122" t="s">
        <v>1598</v>
      </c>
      <c r="BIO1" s="122" t="s">
        <v>1599</v>
      </c>
      <c r="BIP1" s="122" t="s">
        <v>1600</v>
      </c>
      <c r="BIQ1" s="122" t="s">
        <v>1601</v>
      </c>
      <c r="BIR1" s="122" t="s">
        <v>1602</v>
      </c>
      <c r="BIS1" s="122" t="s">
        <v>1603</v>
      </c>
      <c r="BIT1" s="122" t="s">
        <v>1604</v>
      </c>
      <c r="BIU1" s="122" t="s">
        <v>1605</v>
      </c>
      <c r="BIV1" s="122" t="s">
        <v>1606</v>
      </c>
      <c r="BIW1" s="122" t="s">
        <v>1607</v>
      </c>
      <c r="BIX1" s="122" t="s">
        <v>1608</v>
      </c>
      <c r="BIY1" s="122" t="s">
        <v>1609</v>
      </c>
      <c r="BIZ1" s="122" t="s">
        <v>1610</v>
      </c>
      <c r="BJA1" s="122" t="s">
        <v>1611</v>
      </c>
      <c r="BJB1" s="122" t="s">
        <v>1612</v>
      </c>
      <c r="BJC1" s="122" t="s">
        <v>1613</v>
      </c>
      <c r="BJD1" s="122" t="s">
        <v>1614</v>
      </c>
      <c r="BJE1" s="122" t="s">
        <v>1615</v>
      </c>
      <c r="BJF1" s="122" t="s">
        <v>1616</v>
      </c>
      <c r="BJG1" s="122" t="s">
        <v>1617</v>
      </c>
      <c r="BJH1" s="122" t="s">
        <v>1618</v>
      </c>
      <c r="BJI1" s="122" t="s">
        <v>1619</v>
      </c>
      <c r="BJJ1" s="122" t="s">
        <v>1620</v>
      </c>
      <c r="BJK1" s="122" t="s">
        <v>1621</v>
      </c>
      <c r="BJL1" s="122" t="s">
        <v>1622</v>
      </c>
      <c r="BJM1" s="122" t="s">
        <v>1623</v>
      </c>
      <c r="BJN1" s="122" t="s">
        <v>1624</v>
      </c>
      <c r="BJO1" s="122" t="s">
        <v>1625</v>
      </c>
      <c r="BJP1" s="122" t="s">
        <v>1626</v>
      </c>
      <c r="BJQ1" s="122" t="s">
        <v>1627</v>
      </c>
      <c r="BJR1" s="122" t="s">
        <v>1628</v>
      </c>
      <c r="BJS1" s="122" t="s">
        <v>1629</v>
      </c>
      <c r="BJT1" s="122" t="s">
        <v>1630</v>
      </c>
      <c r="BJU1" s="122" t="s">
        <v>1631</v>
      </c>
      <c r="BJV1" s="122" t="s">
        <v>1632</v>
      </c>
      <c r="BJW1" s="122" t="s">
        <v>1633</v>
      </c>
      <c r="BJX1" s="122" t="s">
        <v>1634</v>
      </c>
      <c r="BJY1" s="122" t="s">
        <v>1635</v>
      </c>
      <c r="BJZ1" s="122" t="s">
        <v>1636</v>
      </c>
      <c r="BKA1" s="122" t="s">
        <v>1637</v>
      </c>
      <c r="BKB1" s="122" t="s">
        <v>1638</v>
      </c>
      <c r="BKC1" s="122" t="s">
        <v>1639</v>
      </c>
      <c r="BKD1" s="122" t="s">
        <v>1640</v>
      </c>
      <c r="BKE1" s="122" t="s">
        <v>1641</v>
      </c>
      <c r="BKF1" s="122" t="s">
        <v>1642</v>
      </c>
      <c r="BKG1" s="122" t="s">
        <v>1643</v>
      </c>
      <c r="BKH1" s="122" t="s">
        <v>1644</v>
      </c>
      <c r="BKI1" s="122" t="s">
        <v>1645</v>
      </c>
      <c r="BKJ1" s="122" t="s">
        <v>1646</v>
      </c>
      <c r="BKK1" s="122" t="s">
        <v>1647</v>
      </c>
      <c r="BKL1" s="122" t="s">
        <v>1648</v>
      </c>
      <c r="BKM1" s="122" t="s">
        <v>1649</v>
      </c>
      <c r="BKN1" s="122" t="s">
        <v>1650</v>
      </c>
      <c r="BKO1" s="122" t="s">
        <v>1651</v>
      </c>
      <c r="BKP1" s="122" t="s">
        <v>1652</v>
      </c>
      <c r="BKQ1" s="122" t="s">
        <v>1653</v>
      </c>
      <c r="BKR1" s="122" t="s">
        <v>1654</v>
      </c>
      <c r="BKS1" s="122" t="s">
        <v>1655</v>
      </c>
      <c r="BKT1" s="122" t="s">
        <v>1656</v>
      </c>
      <c r="BKU1" s="122" t="s">
        <v>1657</v>
      </c>
      <c r="BKV1" s="122" t="s">
        <v>1658</v>
      </c>
      <c r="BKW1" s="122" t="s">
        <v>1659</v>
      </c>
      <c r="BKX1" s="122" t="s">
        <v>1660</v>
      </c>
      <c r="BKY1" s="122" t="s">
        <v>1661</v>
      </c>
      <c r="BKZ1" s="122" t="s">
        <v>1662</v>
      </c>
      <c r="BLA1" s="122" t="s">
        <v>1663</v>
      </c>
      <c r="BLB1" s="122" t="s">
        <v>1664</v>
      </c>
      <c r="BLC1" s="122" t="s">
        <v>1665</v>
      </c>
      <c r="BLD1" s="122" t="s">
        <v>1666</v>
      </c>
      <c r="BLE1" s="122" t="s">
        <v>1667</v>
      </c>
      <c r="BLF1" s="122" t="s">
        <v>1668</v>
      </c>
      <c r="BLG1" s="122" t="s">
        <v>1669</v>
      </c>
      <c r="BLH1" s="122" t="s">
        <v>1670</v>
      </c>
      <c r="BLI1" s="122" t="s">
        <v>1671</v>
      </c>
      <c r="BLJ1" s="122" t="s">
        <v>1672</v>
      </c>
      <c r="BLK1" s="122" t="s">
        <v>1673</v>
      </c>
      <c r="BLL1" s="122" t="s">
        <v>1674</v>
      </c>
      <c r="BLM1" s="122" t="s">
        <v>1675</v>
      </c>
      <c r="BLN1" s="122" t="s">
        <v>1676</v>
      </c>
      <c r="BLO1" s="122" t="s">
        <v>1677</v>
      </c>
      <c r="BLP1" s="122" t="s">
        <v>1678</v>
      </c>
      <c r="BLQ1" s="122" t="s">
        <v>1679</v>
      </c>
      <c r="BLR1" s="122" t="s">
        <v>1680</v>
      </c>
      <c r="BLS1" s="122" t="s">
        <v>1681</v>
      </c>
      <c r="BLT1" s="122" t="s">
        <v>1682</v>
      </c>
      <c r="BLU1" s="122" t="s">
        <v>1683</v>
      </c>
      <c r="BLV1" s="122" t="s">
        <v>1684</v>
      </c>
      <c r="BLW1" s="122" t="s">
        <v>1685</v>
      </c>
      <c r="BLX1" s="122" t="s">
        <v>1686</v>
      </c>
      <c r="BLY1" s="122" t="s">
        <v>1687</v>
      </c>
      <c r="BLZ1" s="122" t="s">
        <v>1688</v>
      </c>
      <c r="BMA1" s="122" t="s">
        <v>1689</v>
      </c>
      <c r="BMB1" s="122" t="s">
        <v>1690</v>
      </c>
      <c r="BMC1" s="122" t="s">
        <v>1691</v>
      </c>
      <c r="BMD1" s="122" t="s">
        <v>1692</v>
      </c>
      <c r="BME1" s="122" t="s">
        <v>1693</v>
      </c>
      <c r="BMF1" s="122" t="s">
        <v>1694</v>
      </c>
      <c r="BMG1" s="122" t="s">
        <v>1695</v>
      </c>
      <c r="BMH1" s="122" t="s">
        <v>1696</v>
      </c>
      <c r="BMI1" s="122" t="s">
        <v>1697</v>
      </c>
      <c r="BMJ1" s="122" t="s">
        <v>1698</v>
      </c>
      <c r="BMK1" s="122" t="s">
        <v>1699</v>
      </c>
      <c r="BML1" s="122" t="s">
        <v>1700</v>
      </c>
      <c r="BMM1" s="122" t="s">
        <v>1701</v>
      </c>
      <c r="BMN1" s="122" t="s">
        <v>1702</v>
      </c>
      <c r="BMO1" s="122" t="s">
        <v>1703</v>
      </c>
      <c r="BMP1" s="122" t="s">
        <v>1704</v>
      </c>
      <c r="BMQ1" s="122" t="s">
        <v>1705</v>
      </c>
      <c r="BMR1" s="122" t="s">
        <v>1706</v>
      </c>
      <c r="BMS1" s="122" t="s">
        <v>1707</v>
      </c>
      <c r="BMT1" s="122" t="s">
        <v>1708</v>
      </c>
      <c r="BMU1" s="122" t="s">
        <v>1709</v>
      </c>
      <c r="BMV1" s="122" t="s">
        <v>1710</v>
      </c>
      <c r="BMW1" s="122" t="s">
        <v>1711</v>
      </c>
      <c r="BMX1" s="122" t="s">
        <v>1712</v>
      </c>
      <c r="BMY1" s="122" t="s">
        <v>1713</v>
      </c>
      <c r="BMZ1" s="122" t="s">
        <v>1714</v>
      </c>
      <c r="BNA1" s="122" t="s">
        <v>1715</v>
      </c>
      <c r="BNB1" s="122" t="s">
        <v>1716</v>
      </c>
      <c r="BNC1" s="122" t="s">
        <v>1717</v>
      </c>
      <c r="BND1" s="122" t="s">
        <v>1718</v>
      </c>
      <c r="BNE1" s="122" t="s">
        <v>1719</v>
      </c>
      <c r="BNF1" s="122" t="s">
        <v>1720</v>
      </c>
      <c r="BNG1" s="122" t="s">
        <v>1721</v>
      </c>
      <c r="BNH1" s="122" t="s">
        <v>1722</v>
      </c>
      <c r="BNI1" s="122" t="s">
        <v>1723</v>
      </c>
      <c r="BNJ1" s="122" t="s">
        <v>1724</v>
      </c>
      <c r="BNK1" s="122" t="s">
        <v>1725</v>
      </c>
      <c r="BNL1" s="122" t="s">
        <v>1726</v>
      </c>
      <c r="BNM1" s="122" t="s">
        <v>1727</v>
      </c>
      <c r="BNN1" s="122" t="s">
        <v>1728</v>
      </c>
      <c r="BNO1" s="122" t="s">
        <v>1729</v>
      </c>
      <c r="BNP1" s="122" t="s">
        <v>1730</v>
      </c>
      <c r="BNQ1" s="122" t="s">
        <v>1731</v>
      </c>
      <c r="BNR1" s="122" t="s">
        <v>1732</v>
      </c>
      <c r="BNS1" s="122" t="s">
        <v>1733</v>
      </c>
      <c r="BNT1" s="122" t="s">
        <v>1734</v>
      </c>
      <c r="BNU1" s="122" t="s">
        <v>1735</v>
      </c>
      <c r="BNV1" s="122" t="s">
        <v>1736</v>
      </c>
      <c r="BNW1" s="122" t="s">
        <v>1737</v>
      </c>
      <c r="BNX1" s="122" t="s">
        <v>1738</v>
      </c>
      <c r="BNY1" s="122" t="s">
        <v>1739</v>
      </c>
      <c r="BNZ1" s="122" t="s">
        <v>1740</v>
      </c>
      <c r="BOA1" s="122" t="s">
        <v>1741</v>
      </c>
      <c r="BOB1" s="122" t="s">
        <v>1742</v>
      </c>
      <c r="BOC1" s="122" t="s">
        <v>1743</v>
      </c>
      <c r="BOD1" s="122" t="s">
        <v>1744</v>
      </c>
      <c r="BOE1" s="122" t="s">
        <v>1745</v>
      </c>
      <c r="BOF1" s="122" t="s">
        <v>1746</v>
      </c>
      <c r="BOG1" s="122" t="s">
        <v>1747</v>
      </c>
      <c r="BOH1" s="122" t="s">
        <v>1748</v>
      </c>
      <c r="BOI1" s="122" t="s">
        <v>1749</v>
      </c>
      <c r="BOJ1" s="122" t="s">
        <v>1750</v>
      </c>
      <c r="BOK1" s="122" t="s">
        <v>1751</v>
      </c>
      <c r="BOL1" s="122" t="s">
        <v>1752</v>
      </c>
      <c r="BOM1" s="122" t="s">
        <v>1753</v>
      </c>
      <c r="BON1" s="122" t="s">
        <v>1754</v>
      </c>
      <c r="BOO1" s="122" t="s">
        <v>1755</v>
      </c>
      <c r="BOP1" s="122" t="s">
        <v>1756</v>
      </c>
      <c r="BOQ1" s="122" t="s">
        <v>1757</v>
      </c>
      <c r="BOR1" s="122" t="s">
        <v>1758</v>
      </c>
      <c r="BOS1" s="122" t="s">
        <v>1759</v>
      </c>
      <c r="BOT1" s="122" t="s">
        <v>1760</v>
      </c>
      <c r="BOU1" s="122" t="s">
        <v>1761</v>
      </c>
      <c r="BOV1" s="122" t="s">
        <v>1762</v>
      </c>
      <c r="BOW1" s="122" t="s">
        <v>1763</v>
      </c>
      <c r="BOX1" s="122" t="s">
        <v>1764</v>
      </c>
      <c r="BOY1" s="122" t="s">
        <v>1765</v>
      </c>
      <c r="BOZ1" s="122" t="s">
        <v>1766</v>
      </c>
      <c r="BPA1" s="122" t="s">
        <v>1767</v>
      </c>
      <c r="BPB1" s="122" t="s">
        <v>1768</v>
      </c>
      <c r="BPC1" s="122" t="s">
        <v>1769</v>
      </c>
      <c r="BPD1" s="122" t="s">
        <v>1770</v>
      </c>
      <c r="BPE1" s="122" t="s">
        <v>1771</v>
      </c>
      <c r="BPF1" s="122" t="s">
        <v>1772</v>
      </c>
      <c r="BPG1" s="122" t="s">
        <v>1773</v>
      </c>
      <c r="BPH1" s="122" t="s">
        <v>1774</v>
      </c>
      <c r="BPI1" s="122" t="s">
        <v>1775</v>
      </c>
      <c r="BPJ1" s="122" t="s">
        <v>1776</v>
      </c>
      <c r="BPK1" s="122" t="s">
        <v>1777</v>
      </c>
      <c r="BPL1" s="122" t="s">
        <v>1778</v>
      </c>
      <c r="BPM1" s="122" t="s">
        <v>1779</v>
      </c>
      <c r="BPN1" s="122" t="s">
        <v>1780</v>
      </c>
      <c r="BPO1" s="122" t="s">
        <v>1781</v>
      </c>
      <c r="BPP1" s="122" t="s">
        <v>1782</v>
      </c>
      <c r="BPQ1" s="122" t="s">
        <v>1783</v>
      </c>
      <c r="BPR1" s="122" t="s">
        <v>1784</v>
      </c>
      <c r="BPS1" s="122" t="s">
        <v>1785</v>
      </c>
      <c r="BPT1" s="122" t="s">
        <v>1786</v>
      </c>
      <c r="BPU1" s="122" t="s">
        <v>1787</v>
      </c>
      <c r="BPV1" s="122" t="s">
        <v>1788</v>
      </c>
      <c r="BPW1" s="122" t="s">
        <v>1789</v>
      </c>
      <c r="BPX1" s="122" t="s">
        <v>1790</v>
      </c>
      <c r="BPY1" s="122" t="s">
        <v>1791</v>
      </c>
      <c r="BPZ1" s="122" t="s">
        <v>1792</v>
      </c>
      <c r="BQA1" s="122" t="s">
        <v>1793</v>
      </c>
      <c r="BQB1" s="122" t="s">
        <v>1794</v>
      </c>
      <c r="BQC1" s="122" t="s">
        <v>1795</v>
      </c>
      <c r="BQD1" s="122" t="s">
        <v>1796</v>
      </c>
      <c r="BQE1" s="122" t="s">
        <v>1797</v>
      </c>
      <c r="BQF1" s="122" t="s">
        <v>1798</v>
      </c>
      <c r="BQG1" s="122" t="s">
        <v>1799</v>
      </c>
      <c r="BQH1" s="122" t="s">
        <v>1800</v>
      </c>
      <c r="BQI1" s="122" t="s">
        <v>1801</v>
      </c>
      <c r="BQJ1" s="122" t="s">
        <v>1802</v>
      </c>
      <c r="BQK1" s="122" t="s">
        <v>1803</v>
      </c>
      <c r="BQL1" s="122" t="s">
        <v>1804</v>
      </c>
      <c r="BQM1" s="122" t="s">
        <v>1805</v>
      </c>
      <c r="BQN1" s="122" t="s">
        <v>1806</v>
      </c>
      <c r="BQO1" s="122" t="s">
        <v>1807</v>
      </c>
      <c r="BQP1" s="122" t="s">
        <v>1808</v>
      </c>
      <c r="BQQ1" s="122" t="s">
        <v>1809</v>
      </c>
      <c r="BQR1" s="122" t="s">
        <v>1810</v>
      </c>
      <c r="BQS1" s="122" t="s">
        <v>1811</v>
      </c>
      <c r="BQT1" s="122" t="s">
        <v>1812</v>
      </c>
      <c r="BQU1" s="122" t="s">
        <v>1813</v>
      </c>
      <c r="BQV1" s="122" t="s">
        <v>1814</v>
      </c>
      <c r="BQW1" s="122" t="s">
        <v>1815</v>
      </c>
      <c r="BQX1" s="122" t="s">
        <v>1816</v>
      </c>
      <c r="BQY1" s="122" t="s">
        <v>1817</v>
      </c>
      <c r="BQZ1" s="122" t="s">
        <v>1818</v>
      </c>
      <c r="BRA1" s="122" t="s">
        <v>1819</v>
      </c>
      <c r="BRB1" s="122" t="s">
        <v>1820</v>
      </c>
      <c r="BRC1" s="122" t="s">
        <v>1821</v>
      </c>
      <c r="BRD1" s="122" t="s">
        <v>1822</v>
      </c>
      <c r="BRE1" s="122" t="s">
        <v>1823</v>
      </c>
      <c r="BRF1" s="122" t="s">
        <v>1824</v>
      </c>
      <c r="BRG1" s="122" t="s">
        <v>1825</v>
      </c>
      <c r="BRH1" s="122" t="s">
        <v>1826</v>
      </c>
      <c r="BRI1" s="122" t="s">
        <v>1827</v>
      </c>
      <c r="BRJ1" s="122" t="s">
        <v>1828</v>
      </c>
      <c r="BRK1" s="122" t="s">
        <v>1829</v>
      </c>
      <c r="BRL1" s="122" t="s">
        <v>1830</v>
      </c>
      <c r="BRM1" s="122" t="s">
        <v>1831</v>
      </c>
      <c r="BRN1" s="122" t="s">
        <v>1832</v>
      </c>
      <c r="BRO1" s="122" t="s">
        <v>1833</v>
      </c>
      <c r="BRP1" s="122" t="s">
        <v>1834</v>
      </c>
      <c r="BRQ1" s="122" t="s">
        <v>1835</v>
      </c>
      <c r="BRR1" s="122" t="s">
        <v>1836</v>
      </c>
      <c r="BRS1" s="122" t="s">
        <v>1837</v>
      </c>
      <c r="BRT1" s="122" t="s">
        <v>1838</v>
      </c>
      <c r="BRU1" s="122" t="s">
        <v>1839</v>
      </c>
      <c r="BRV1" s="122" t="s">
        <v>1840</v>
      </c>
      <c r="BRW1" s="122" t="s">
        <v>1841</v>
      </c>
      <c r="BRX1" s="122" t="s">
        <v>1842</v>
      </c>
      <c r="BRY1" s="122" t="s">
        <v>1843</v>
      </c>
      <c r="BRZ1" s="122" t="s">
        <v>1844</v>
      </c>
      <c r="BSA1" s="122" t="s">
        <v>1845</v>
      </c>
      <c r="BSB1" s="122" t="s">
        <v>1846</v>
      </c>
      <c r="BSC1" s="122" t="s">
        <v>1847</v>
      </c>
      <c r="BSD1" s="122" t="s">
        <v>1848</v>
      </c>
      <c r="BSE1" s="122" t="s">
        <v>1849</v>
      </c>
      <c r="BSF1" s="122" t="s">
        <v>1850</v>
      </c>
      <c r="BSG1" s="122" t="s">
        <v>1851</v>
      </c>
      <c r="BSH1" s="122" t="s">
        <v>1852</v>
      </c>
      <c r="BSI1" s="122" t="s">
        <v>1853</v>
      </c>
      <c r="BSJ1" s="122" t="s">
        <v>1854</v>
      </c>
      <c r="BSK1" s="122" t="s">
        <v>1855</v>
      </c>
      <c r="BSL1" s="122" t="s">
        <v>1856</v>
      </c>
      <c r="BSM1" s="122" t="s">
        <v>1857</v>
      </c>
      <c r="BSN1" s="122" t="s">
        <v>1858</v>
      </c>
      <c r="BSO1" s="122" t="s">
        <v>1859</v>
      </c>
      <c r="BSP1" s="122" t="s">
        <v>1860</v>
      </c>
      <c r="BSQ1" s="122" t="s">
        <v>1861</v>
      </c>
      <c r="BSR1" s="122" t="s">
        <v>1862</v>
      </c>
      <c r="BSS1" s="122" t="s">
        <v>1863</v>
      </c>
      <c r="BST1" s="122" t="s">
        <v>1864</v>
      </c>
      <c r="BSU1" s="122" t="s">
        <v>1865</v>
      </c>
      <c r="BSV1" s="122" t="s">
        <v>1866</v>
      </c>
      <c r="BSW1" s="122" t="s">
        <v>1867</v>
      </c>
      <c r="BSX1" s="122" t="s">
        <v>1868</v>
      </c>
      <c r="BSY1" s="122" t="s">
        <v>1869</v>
      </c>
      <c r="BSZ1" s="122" t="s">
        <v>1870</v>
      </c>
      <c r="BTA1" s="122" t="s">
        <v>1871</v>
      </c>
      <c r="BTB1" s="122" t="s">
        <v>1872</v>
      </c>
      <c r="BTC1" s="122" t="s">
        <v>1873</v>
      </c>
      <c r="BTD1" s="122" t="s">
        <v>1874</v>
      </c>
      <c r="BTE1" s="122" t="s">
        <v>1875</v>
      </c>
      <c r="BTF1" s="122" t="s">
        <v>1876</v>
      </c>
      <c r="BTG1" s="122" t="s">
        <v>1877</v>
      </c>
      <c r="BTH1" s="122" t="s">
        <v>1878</v>
      </c>
      <c r="BTI1" s="122" t="s">
        <v>1879</v>
      </c>
      <c r="BTJ1" s="122" t="s">
        <v>1880</v>
      </c>
      <c r="BTK1" s="122" t="s">
        <v>1881</v>
      </c>
      <c r="BTL1" s="122" t="s">
        <v>1882</v>
      </c>
      <c r="BTM1" s="122" t="s">
        <v>1883</v>
      </c>
      <c r="BTN1" s="122" t="s">
        <v>1884</v>
      </c>
      <c r="BTO1" s="122" t="s">
        <v>1885</v>
      </c>
      <c r="BTP1" s="122" t="s">
        <v>1886</v>
      </c>
      <c r="BTQ1" s="122" t="s">
        <v>1887</v>
      </c>
      <c r="BTR1" s="122" t="s">
        <v>1888</v>
      </c>
      <c r="BTS1" s="122" t="s">
        <v>1889</v>
      </c>
      <c r="BTT1" s="122" t="s">
        <v>1890</v>
      </c>
      <c r="BTU1" s="122" t="s">
        <v>1891</v>
      </c>
      <c r="BTV1" s="122" t="s">
        <v>1892</v>
      </c>
      <c r="BTW1" s="122" t="s">
        <v>1893</v>
      </c>
      <c r="BTX1" s="122" t="s">
        <v>1894</v>
      </c>
      <c r="BTY1" s="122" t="s">
        <v>1895</v>
      </c>
      <c r="BTZ1" s="122" t="s">
        <v>1896</v>
      </c>
      <c r="BUA1" s="122" t="s">
        <v>1897</v>
      </c>
      <c r="BUB1" s="122" t="s">
        <v>1898</v>
      </c>
      <c r="BUC1" s="122" t="s">
        <v>1899</v>
      </c>
      <c r="BUD1" s="122" t="s">
        <v>1900</v>
      </c>
      <c r="BUE1" s="122" t="s">
        <v>1901</v>
      </c>
      <c r="BUF1" s="122" t="s">
        <v>1902</v>
      </c>
      <c r="BUG1" s="122" t="s">
        <v>1903</v>
      </c>
      <c r="BUH1" s="122" t="s">
        <v>1904</v>
      </c>
      <c r="BUI1" s="122" t="s">
        <v>1905</v>
      </c>
      <c r="BUJ1" s="122" t="s">
        <v>1906</v>
      </c>
      <c r="BUK1" s="122" t="s">
        <v>1907</v>
      </c>
      <c r="BUL1" s="122" t="s">
        <v>1908</v>
      </c>
      <c r="BUM1" s="122" t="s">
        <v>1909</v>
      </c>
      <c r="BUN1" s="122" t="s">
        <v>1910</v>
      </c>
      <c r="BUO1" s="122" t="s">
        <v>1911</v>
      </c>
      <c r="BUP1" s="122" t="s">
        <v>1912</v>
      </c>
      <c r="BUQ1" s="122" t="s">
        <v>1913</v>
      </c>
      <c r="BUR1" s="122" t="s">
        <v>1914</v>
      </c>
      <c r="BUS1" s="122" t="s">
        <v>1915</v>
      </c>
      <c r="BUT1" s="122" t="s">
        <v>1916</v>
      </c>
      <c r="BUU1" s="122" t="s">
        <v>1917</v>
      </c>
      <c r="BUV1" s="122" t="s">
        <v>1918</v>
      </c>
      <c r="BUW1" s="122" t="s">
        <v>1919</v>
      </c>
      <c r="BUX1" s="122" t="s">
        <v>1920</v>
      </c>
      <c r="BUY1" s="122" t="s">
        <v>1921</v>
      </c>
      <c r="BUZ1" s="122" t="s">
        <v>1922</v>
      </c>
      <c r="BVA1" s="122" t="s">
        <v>1923</v>
      </c>
      <c r="BVB1" s="122" t="s">
        <v>1924</v>
      </c>
      <c r="BVC1" s="122" t="s">
        <v>1925</v>
      </c>
      <c r="BVD1" s="122" t="s">
        <v>1926</v>
      </c>
      <c r="BVE1" s="122" t="s">
        <v>1927</v>
      </c>
      <c r="BVF1" s="122" t="s">
        <v>1928</v>
      </c>
      <c r="BVG1" s="122" t="s">
        <v>1929</v>
      </c>
      <c r="BVH1" s="122" t="s">
        <v>1930</v>
      </c>
      <c r="BVI1" s="122" t="s">
        <v>1931</v>
      </c>
      <c r="BVJ1" s="122" t="s">
        <v>1932</v>
      </c>
      <c r="BVK1" s="122" t="s">
        <v>1933</v>
      </c>
      <c r="BVL1" s="122" t="s">
        <v>1934</v>
      </c>
      <c r="BVM1" s="122" t="s">
        <v>1935</v>
      </c>
      <c r="BVN1" s="122" t="s">
        <v>1936</v>
      </c>
      <c r="BVO1" s="122" t="s">
        <v>1937</v>
      </c>
      <c r="BVP1" s="122" t="s">
        <v>1938</v>
      </c>
      <c r="BVQ1" s="122" t="s">
        <v>1939</v>
      </c>
      <c r="BVR1" s="122" t="s">
        <v>1940</v>
      </c>
      <c r="BVS1" s="122" t="s">
        <v>1941</v>
      </c>
      <c r="BVT1" s="122" t="s">
        <v>1942</v>
      </c>
      <c r="BVU1" s="122" t="s">
        <v>1943</v>
      </c>
      <c r="BVV1" s="122" t="s">
        <v>1944</v>
      </c>
      <c r="BVW1" s="122" t="s">
        <v>1945</v>
      </c>
      <c r="BVX1" s="122" t="s">
        <v>1946</v>
      </c>
      <c r="BVY1" s="122" t="s">
        <v>1947</v>
      </c>
      <c r="BVZ1" s="122" t="s">
        <v>1948</v>
      </c>
      <c r="BWA1" s="122" t="s">
        <v>1949</v>
      </c>
      <c r="BWB1" s="122" t="s">
        <v>1950</v>
      </c>
      <c r="BWC1" s="122" t="s">
        <v>1951</v>
      </c>
      <c r="BWD1" s="122" t="s">
        <v>1952</v>
      </c>
      <c r="BWE1" s="122" t="s">
        <v>1953</v>
      </c>
      <c r="BWF1" s="122" t="s">
        <v>1954</v>
      </c>
      <c r="BWG1" s="122" t="s">
        <v>1955</v>
      </c>
      <c r="BWH1" s="122" t="s">
        <v>1956</v>
      </c>
      <c r="BWI1" s="122" t="s">
        <v>1957</v>
      </c>
      <c r="BWJ1" s="122" t="s">
        <v>1958</v>
      </c>
      <c r="BWK1" s="122" t="s">
        <v>1959</v>
      </c>
      <c r="BWL1" s="122" t="s">
        <v>1960</v>
      </c>
      <c r="BWM1" s="122" t="s">
        <v>1961</v>
      </c>
      <c r="BWN1" s="122" t="s">
        <v>1962</v>
      </c>
      <c r="BWO1" s="122" t="s">
        <v>1963</v>
      </c>
      <c r="BWP1" s="122" t="s">
        <v>1964</v>
      </c>
      <c r="BWQ1" s="122" t="s">
        <v>1965</v>
      </c>
      <c r="BWR1" s="122" t="s">
        <v>1966</v>
      </c>
      <c r="BWS1" s="122" t="s">
        <v>1967</v>
      </c>
      <c r="BWT1" s="122" t="s">
        <v>1968</v>
      </c>
      <c r="BWU1" s="122" t="s">
        <v>1969</v>
      </c>
      <c r="BWV1" s="122" t="s">
        <v>1970</v>
      </c>
      <c r="BWW1" s="122" t="s">
        <v>1971</v>
      </c>
      <c r="BWX1" s="122" t="s">
        <v>1972</v>
      </c>
      <c r="BWY1" s="122" t="s">
        <v>1973</v>
      </c>
      <c r="BWZ1" s="122" t="s">
        <v>1974</v>
      </c>
      <c r="BXA1" s="122" t="s">
        <v>1975</v>
      </c>
      <c r="BXB1" s="122" t="s">
        <v>1976</v>
      </c>
      <c r="BXC1" s="122" t="s">
        <v>1977</v>
      </c>
      <c r="BXD1" s="122" t="s">
        <v>1978</v>
      </c>
      <c r="BXE1" s="122" t="s">
        <v>1979</v>
      </c>
      <c r="BXF1" s="122" t="s">
        <v>1980</v>
      </c>
      <c r="BXG1" s="122" t="s">
        <v>1981</v>
      </c>
      <c r="BXH1" s="122" t="s">
        <v>1982</v>
      </c>
      <c r="BXI1" s="122" t="s">
        <v>1983</v>
      </c>
      <c r="BXJ1" s="122" t="s">
        <v>1984</v>
      </c>
      <c r="BXK1" s="122" t="s">
        <v>1985</v>
      </c>
      <c r="BXL1" s="122" t="s">
        <v>1986</v>
      </c>
      <c r="BXM1" s="122" t="s">
        <v>1987</v>
      </c>
      <c r="BXN1" s="122" t="s">
        <v>1988</v>
      </c>
      <c r="BXO1" s="122" t="s">
        <v>1989</v>
      </c>
      <c r="BXP1" s="122" t="s">
        <v>1990</v>
      </c>
      <c r="BXQ1" s="122" t="s">
        <v>1991</v>
      </c>
      <c r="BXR1" s="122" t="s">
        <v>1992</v>
      </c>
      <c r="BXS1" s="122" t="s">
        <v>1993</v>
      </c>
      <c r="BXT1" s="122" t="s">
        <v>1994</v>
      </c>
      <c r="BXU1" s="122" t="s">
        <v>1995</v>
      </c>
      <c r="BXV1" s="122" t="s">
        <v>1996</v>
      </c>
      <c r="BXW1" s="122" t="s">
        <v>1997</v>
      </c>
      <c r="BXX1" s="122" t="s">
        <v>1998</v>
      </c>
      <c r="BXY1" s="122" t="s">
        <v>1999</v>
      </c>
      <c r="BXZ1" s="122" t="s">
        <v>2000</v>
      </c>
      <c r="BYA1" s="122" t="s">
        <v>2001</v>
      </c>
      <c r="BYB1" s="122" t="s">
        <v>2002</v>
      </c>
      <c r="BYC1" s="122" t="s">
        <v>2003</v>
      </c>
      <c r="BYD1" s="122" t="s">
        <v>2004</v>
      </c>
      <c r="BYE1" s="122" t="s">
        <v>2005</v>
      </c>
      <c r="BYF1" s="122" t="s">
        <v>2006</v>
      </c>
      <c r="BYG1" s="122" t="s">
        <v>2007</v>
      </c>
      <c r="BYH1" s="122" t="s">
        <v>2008</v>
      </c>
      <c r="BYI1" s="122" t="s">
        <v>2009</v>
      </c>
      <c r="BYJ1" s="122" t="s">
        <v>2010</v>
      </c>
      <c r="BYK1" s="122" t="s">
        <v>2011</v>
      </c>
      <c r="BYL1" s="122" t="s">
        <v>2012</v>
      </c>
      <c r="BYM1" s="122" t="s">
        <v>2013</v>
      </c>
      <c r="BYN1" s="122" t="s">
        <v>2014</v>
      </c>
      <c r="BYO1" s="122" t="s">
        <v>2015</v>
      </c>
      <c r="BYP1" s="122" t="s">
        <v>2016</v>
      </c>
      <c r="BYQ1" s="122" t="s">
        <v>2017</v>
      </c>
      <c r="BYR1" s="122" t="s">
        <v>2018</v>
      </c>
      <c r="BYS1" s="122" t="s">
        <v>2019</v>
      </c>
      <c r="BYT1" s="122" t="s">
        <v>2020</v>
      </c>
      <c r="BYU1" s="122" t="s">
        <v>2021</v>
      </c>
      <c r="BYV1" s="122" t="s">
        <v>2022</v>
      </c>
      <c r="BYW1" s="122" t="s">
        <v>2023</v>
      </c>
      <c r="BYX1" s="122" t="s">
        <v>2024</v>
      </c>
      <c r="BYY1" s="122" t="s">
        <v>2025</v>
      </c>
      <c r="BYZ1" s="122" t="s">
        <v>2026</v>
      </c>
      <c r="BZA1" s="122" t="s">
        <v>2027</v>
      </c>
      <c r="BZB1" s="122" t="s">
        <v>2028</v>
      </c>
      <c r="BZC1" s="122" t="s">
        <v>2029</v>
      </c>
      <c r="BZD1" s="122" t="s">
        <v>2030</v>
      </c>
      <c r="BZE1" s="122" t="s">
        <v>2031</v>
      </c>
      <c r="BZF1" s="122" t="s">
        <v>2032</v>
      </c>
      <c r="BZG1" s="122" t="s">
        <v>2033</v>
      </c>
      <c r="BZH1" s="122" t="s">
        <v>2034</v>
      </c>
      <c r="BZI1" s="122" t="s">
        <v>2035</v>
      </c>
      <c r="BZJ1" s="122" t="s">
        <v>2036</v>
      </c>
      <c r="BZK1" s="122" t="s">
        <v>2037</v>
      </c>
      <c r="BZL1" s="122" t="s">
        <v>2038</v>
      </c>
      <c r="BZM1" s="122" t="s">
        <v>2039</v>
      </c>
      <c r="BZN1" s="122" t="s">
        <v>2040</v>
      </c>
      <c r="BZO1" s="122" t="s">
        <v>2041</v>
      </c>
      <c r="BZP1" s="122" t="s">
        <v>2042</v>
      </c>
      <c r="BZQ1" s="122" t="s">
        <v>2043</v>
      </c>
      <c r="BZR1" s="122" t="s">
        <v>2044</v>
      </c>
      <c r="BZS1" s="122" t="s">
        <v>2045</v>
      </c>
      <c r="BZT1" s="122" t="s">
        <v>2046</v>
      </c>
      <c r="BZU1" s="122" t="s">
        <v>2047</v>
      </c>
      <c r="BZV1" s="122" t="s">
        <v>2048</v>
      </c>
      <c r="BZW1" s="122" t="s">
        <v>2049</v>
      </c>
      <c r="BZX1" s="122" t="s">
        <v>2050</v>
      </c>
      <c r="BZY1" s="122" t="s">
        <v>2051</v>
      </c>
      <c r="BZZ1" s="122" t="s">
        <v>2052</v>
      </c>
      <c r="CAA1" s="122" t="s">
        <v>2053</v>
      </c>
      <c r="CAB1" s="122" t="s">
        <v>2054</v>
      </c>
      <c r="CAC1" s="122" t="s">
        <v>2055</v>
      </c>
      <c r="CAD1" s="122" t="s">
        <v>2056</v>
      </c>
      <c r="CAE1" s="122" t="s">
        <v>2057</v>
      </c>
      <c r="CAF1" s="122" t="s">
        <v>2058</v>
      </c>
      <c r="CAG1" s="122" t="s">
        <v>2059</v>
      </c>
      <c r="CAH1" s="122" t="s">
        <v>2060</v>
      </c>
      <c r="CAI1" s="122" t="s">
        <v>2061</v>
      </c>
      <c r="CAJ1" s="122" t="s">
        <v>2062</v>
      </c>
      <c r="CAK1" s="122" t="s">
        <v>2063</v>
      </c>
      <c r="CAL1" s="122" t="s">
        <v>2064</v>
      </c>
      <c r="CAM1" s="122" t="s">
        <v>2065</v>
      </c>
      <c r="CAN1" s="122" t="s">
        <v>2066</v>
      </c>
      <c r="CAO1" s="122" t="s">
        <v>2067</v>
      </c>
      <c r="CAP1" s="122" t="s">
        <v>2068</v>
      </c>
      <c r="CAQ1" s="122" t="s">
        <v>2069</v>
      </c>
      <c r="CAR1" s="122" t="s">
        <v>2070</v>
      </c>
      <c r="CAS1" s="122" t="s">
        <v>2071</v>
      </c>
      <c r="CAT1" s="122" t="s">
        <v>2072</v>
      </c>
      <c r="CAU1" s="122" t="s">
        <v>2073</v>
      </c>
      <c r="CAV1" s="122" t="s">
        <v>2074</v>
      </c>
      <c r="CAW1" s="122" t="s">
        <v>2075</v>
      </c>
      <c r="CAX1" s="122" t="s">
        <v>2076</v>
      </c>
      <c r="CAY1" s="122" t="s">
        <v>2077</v>
      </c>
      <c r="CAZ1" s="122" t="s">
        <v>2078</v>
      </c>
      <c r="CBA1" s="122" t="s">
        <v>2079</v>
      </c>
      <c r="CBB1" s="122" t="s">
        <v>2080</v>
      </c>
      <c r="CBC1" s="122" t="s">
        <v>2081</v>
      </c>
      <c r="CBD1" s="122" t="s">
        <v>2082</v>
      </c>
      <c r="CBE1" s="122" t="s">
        <v>2083</v>
      </c>
      <c r="CBF1" s="122" t="s">
        <v>2084</v>
      </c>
      <c r="CBG1" s="122" t="s">
        <v>2085</v>
      </c>
      <c r="CBH1" s="122" t="s">
        <v>2086</v>
      </c>
      <c r="CBI1" s="122" t="s">
        <v>2087</v>
      </c>
      <c r="CBJ1" s="122" t="s">
        <v>2088</v>
      </c>
      <c r="CBK1" s="122" t="s">
        <v>2089</v>
      </c>
      <c r="CBL1" s="122" t="s">
        <v>2090</v>
      </c>
      <c r="CBM1" s="122" t="s">
        <v>2091</v>
      </c>
      <c r="CBN1" s="122" t="s">
        <v>2092</v>
      </c>
      <c r="CBO1" s="122" t="s">
        <v>2093</v>
      </c>
      <c r="CBP1" s="122" t="s">
        <v>2094</v>
      </c>
      <c r="CBQ1" s="122" t="s">
        <v>2095</v>
      </c>
      <c r="CBR1" s="122" t="s">
        <v>2096</v>
      </c>
      <c r="CBS1" s="122" t="s">
        <v>2097</v>
      </c>
      <c r="CBT1" s="122" t="s">
        <v>2098</v>
      </c>
      <c r="CBU1" s="122" t="s">
        <v>2099</v>
      </c>
      <c r="CBV1" s="122" t="s">
        <v>2100</v>
      </c>
      <c r="CBW1" s="122" t="s">
        <v>2101</v>
      </c>
      <c r="CBX1" s="122" t="s">
        <v>2102</v>
      </c>
      <c r="CBY1" s="122" t="s">
        <v>2103</v>
      </c>
      <c r="CBZ1" s="122" t="s">
        <v>2104</v>
      </c>
      <c r="CCA1" s="122" t="s">
        <v>2105</v>
      </c>
      <c r="CCB1" s="122" t="s">
        <v>2106</v>
      </c>
      <c r="CCC1" s="122" t="s">
        <v>2107</v>
      </c>
      <c r="CCD1" s="122" t="s">
        <v>2108</v>
      </c>
      <c r="CCE1" s="122" t="s">
        <v>2109</v>
      </c>
      <c r="CCF1" s="122" t="s">
        <v>2110</v>
      </c>
      <c r="CCG1" s="122" t="s">
        <v>2111</v>
      </c>
      <c r="CCH1" s="122" t="s">
        <v>2112</v>
      </c>
      <c r="CCI1" s="122" t="s">
        <v>2113</v>
      </c>
      <c r="CCJ1" s="122" t="s">
        <v>2114</v>
      </c>
      <c r="CCK1" s="122" t="s">
        <v>2115</v>
      </c>
      <c r="CCL1" s="122" t="s">
        <v>2116</v>
      </c>
      <c r="CCM1" s="122" t="s">
        <v>2117</v>
      </c>
      <c r="CCN1" s="122" t="s">
        <v>2118</v>
      </c>
      <c r="CCO1" s="122" t="s">
        <v>2119</v>
      </c>
      <c r="CCP1" s="122" t="s">
        <v>2120</v>
      </c>
      <c r="CCQ1" s="122" t="s">
        <v>2121</v>
      </c>
      <c r="CCR1" s="122" t="s">
        <v>2122</v>
      </c>
      <c r="CCS1" s="122" t="s">
        <v>2123</v>
      </c>
      <c r="CCT1" s="122" t="s">
        <v>2124</v>
      </c>
      <c r="CCU1" s="122" t="s">
        <v>2125</v>
      </c>
      <c r="CCV1" s="122" t="s">
        <v>2126</v>
      </c>
      <c r="CCW1" s="122" t="s">
        <v>2127</v>
      </c>
      <c r="CCX1" s="122" t="s">
        <v>2128</v>
      </c>
      <c r="CCY1" s="122" t="s">
        <v>2129</v>
      </c>
      <c r="CCZ1" s="122" t="s">
        <v>2130</v>
      </c>
      <c r="CDA1" s="122" t="s">
        <v>2131</v>
      </c>
      <c r="CDB1" s="122" t="s">
        <v>2132</v>
      </c>
      <c r="CDC1" s="122" t="s">
        <v>2133</v>
      </c>
      <c r="CDD1" s="122" t="s">
        <v>2134</v>
      </c>
      <c r="CDE1" s="122" t="s">
        <v>2135</v>
      </c>
      <c r="CDF1" s="122" t="s">
        <v>2136</v>
      </c>
      <c r="CDG1" s="122" t="s">
        <v>2137</v>
      </c>
      <c r="CDH1" s="122" t="s">
        <v>2138</v>
      </c>
      <c r="CDI1" s="122" t="s">
        <v>2139</v>
      </c>
      <c r="CDJ1" s="122" t="s">
        <v>2140</v>
      </c>
      <c r="CDK1" s="122" t="s">
        <v>2141</v>
      </c>
      <c r="CDL1" s="122" t="s">
        <v>2142</v>
      </c>
      <c r="CDM1" s="122" t="s">
        <v>2143</v>
      </c>
      <c r="CDN1" s="122" t="s">
        <v>2144</v>
      </c>
      <c r="CDO1" s="122" t="s">
        <v>2145</v>
      </c>
      <c r="CDP1" s="122" t="s">
        <v>2146</v>
      </c>
      <c r="CDQ1" s="122" t="s">
        <v>2147</v>
      </c>
      <c r="CDR1" s="122" t="s">
        <v>2148</v>
      </c>
      <c r="CDS1" s="122" t="s">
        <v>2149</v>
      </c>
      <c r="CDT1" s="122" t="s">
        <v>2150</v>
      </c>
      <c r="CDU1" s="122" t="s">
        <v>2151</v>
      </c>
      <c r="CDV1" s="122" t="s">
        <v>2152</v>
      </c>
      <c r="CDW1" s="122" t="s">
        <v>2153</v>
      </c>
      <c r="CDX1" s="122" t="s">
        <v>2154</v>
      </c>
      <c r="CDY1" s="122" t="s">
        <v>2155</v>
      </c>
      <c r="CDZ1" s="122" t="s">
        <v>2156</v>
      </c>
      <c r="CEA1" s="122" t="s">
        <v>2157</v>
      </c>
      <c r="CEB1" s="122" t="s">
        <v>2158</v>
      </c>
      <c r="CEC1" s="122" t="s">
        <v>2159</v>
      </c>
      <c r="CED1" s="122" t="s">
        <v>2160</v>
      </c>
      <c r="CEE1" s="122" t="s">
        <v>2161</v>
      </c>
      <c r="CEF1" s="122" t="s">
        <v>2162</v>
      </c>
      <c r="CEG1" s="122" t="s">
        <v>2163</v>
      </c>
      <c r="CEH1" s="122" t="s">
        <v>2164</v>
      </c>
      <c r="CEI1" s="122" t="s">
        <v>2165</v>
      </c>
      <c r="CEJ1" s="122" t="s">
        <v>2166</v>
      </c>
      <c r="CEK1" s="122" t="s">
        <v>2167</v>
      </c>
      <c r="CEL1" s="122" t="s">
        <v>2168</v>
      </c>
      <c r="CEM1" s="122" t="s">
        <v>2169</v>
      </c>
      <c r="CEN1" s="122" t="s">
        <v>2170</v>
      </c>
      <c r="CEO1" s="122" t="s">
        <v>2171</v>
      </c>
      <c r="CEP1" s="122" t="s">
        <v>2172</v>
      </c>
      <c r="CEQ1" s="122" t="s">
        <v>2173</v>
      </c>
      <c r="CER1" s="122" t="s">
        <v>2174</v>
      </c>
      <c r="CES1" s="122" t="s">
        <v>2175</v>
      </c>
      <c r="CET1" s="122" t="s">
        <v>2176</v>
      </c>
      <c r="CEU1" s="122" t="s">
        <v>2177</v>
      </c>
      <c r="CEV1" s="122" t="s">
        <v>2178</v>
      </c>
      <c r="CEW1" s="122" t="s">
        <v>2179</v>
      </c>
      <c r="CEX1" s="122" t="s">
        <v>2180</v>
      </c>
      <c r="CEY1" s="122" t="s">
        <v>2181</v>
      </c>
      <c r="CEZ1" s="122" t="s">
        <v>2182</v>
      </c>
      <c r="CFA1" s="122" t="s">
        <v>2183</v>
      </c>
      <c r="CFB1" s="122" t="s">
        <v>2184</v>
      </c>
      <c r="CFC1" s="122" t="s">
        <v>2185</v>
      </c>
      <c r="CFD1" s="122" t="s">
        <v>2186</v>
      </c>
      <c r="CFE1" s="122" t="s">
        <v>2187</v>
      </c>
      <c r="CFF1" s="122" t="s">
        <v>2188</v>
      </c>
      <c r="CFG1" s="122" t="s">
        <v>2189</v>
      </c>
      <c r="CFH1" s="122" t="s">
        <v>2190</v>
      </c>
      <c r="CFI1" s="122" t="s">
        <v>2191</v>
      </c>
      <c r="CFJ1" s="122" t="s">
        <v>2192</v>
      </c>
      <c r="CFK1" s="122" t="s">
        <v>2193</v>
      </c>
      <c r="CFL1" s="122" t="s">
        <v>2194</v>
      </c>
      <c r="CFM1" s="122" t="s">
        <v>2195</v>
      </c>
      <c r="CFN1" s="122" t="s">
        <v>2196</v>
      </c>
      <c r="CFO1" s="122" t="s">
        <v>2197</v>
      </c>
      <c r="CFP1" s="122" t="s">
        <v>2198</v>
      </c>
      <c r="CFQ1" s="122" t="s">
        <v>2199</v>
      </c>
      <c r="CFR1" s="122" t="s">
        <v>2200</v>
      </c>
      <c r="CFS1" s="122" t="s">
        <v>2201</v>
      </c>
      <c r="CFT1" s="122" t="s">
        <v>2202</v>
      </c>
      <c r="CFU1" s="122" t="s">
        <v>2203</v>
      </c>
      <c r="CFV1" s="122" t="s">
        <v>2204</v>
      </c>
      <c r="CFW1" s="122" t="s">
        <v>2205</v>
      </c>
      <c r="CFX1" s="122" t="s">
        <v>2206</v>
      </c>
      <c r="CFY1" s="122" t="s">
        <v>2207</v>
      </c>
      <c r="CFZ1" s="122" t="s">
        <v>2208</v>
      </c>
      <c r="CGA1" s="122" t="s">
        <v>2209</v>
      </c>
      <c r="CGB1" s="122" t="s">
        <v>2210</v>
      </c>
      <c r="CGC1" s="122" t="s">
        <v>2211</v>
      </c>
      <c r="CGD1" s="122" t="s">
        <v>2212</v>
      </c>
      <c r="CGE1" s="122" t="s">
        <v>2213</v>
      </c>
      <c r="CGF1" s="122" t="s">
        <v>2214</v>
      </c>
      <c r="CGG1" s="122" t="s">
        <v>2215</v>
      </c>
      <c r="CGH1" s="122" t="s">
        <v>2216</v>
      </c>
      <c r="CGI1" s="122" t="s">
        <v>2217</v>
      </c>
      <c r="CGJ1" s="122" t="s">
        <v>2218</v>
      </c>
      <c r="CGK1" s="122" t="s">
        <v>2219</v>
      </c>
      <c r="CGL1" s="122" t="s">
        <v>2220</v>
      </c>
      <c r="CGM1" s="122" t="s">
        <v>2221</v>
      </c>
      <c r="CGN1" s="122" t="s">
        <v>2222</v>
      </c>
      <c r="CGO1" s="122" t="s">
        <v>2223</v>
      </c>
      <c r="CGP1" s="122" t="s">
        <v>2224</v>
      </c>
      <c r="CGQ1" s="122" t="s">
        <v>2225</v>
      </c>
      <c r="CGR1" s="122" t="s">
        <v>2226</v>
      </c>
      <c r="CGS1" s="122" t="s">
        <v>2227</v>
      </c>
      <c r="CGT1" s="122" t="s">
        <v>2228</v>
      </c>
      <c r="CGU1" s="122" t="s">
        <v>2229</v>
      </c>
      <c r="CGV1" s="122" t="s">
        <v>2230</v>
      </c>
      <c r="CGW1" s="122" t="s">
        <v>2231</v>
      </c>
      <c r="CGX1" s="122" t="s">
        <v>2232</v>
      </c>
      <c r="CGY1" s="122" t="s">
        <v>2233</v>
      </c>
      <c r="CGZ1" s="122" t="s">
        <v>2234</v>
      </c>
      <c r="CHA1" s="122" t="s">
        <v>2235</v>
      </c>
      <c r="CHB1" s="122" t="s">
        <v>2236</v>
      </c>
      <c r="CHC1" s="122" t="s">
        <v>2237</v>
      </c>
      <c r="CHD1" s="122" t="s">
        <v>2238</v>
      </c>
      <c r="CHE1" s="122" t="s">
        <v>2239</v>
      </c>
      <c r="CHF1" s="122" t="s">
        <v>2240</v>
      </c>
      <c r="CHG1" s="122" t="s">
        <v>2241</v>
      </c>
      <c r="CHH1" s="122" t="s">
        <v>2242</v>
      </c>
      <c r="CHI1" s="122" t="s">
        <v>2243</v>
      </c>
      <c r="CHJ1" s="122" t="s">
        <v>2244</v>
      </c>
      <c r="CHK1" s="122" t="s">
        <v>2245</v>
      </c>
      <c r="CHL1" s="122" t="s">
        <v>2246</v>
      </c>
      <c r="CHM1" s="122" t="s">
        <v>2247</v>
      </c>
      <c r="CHN1" s="122" t="s">
        <v>2248</v>
      </c>
      <c r="CHO1" s="122" t="s">
        <v>2249</v>
      </c>
      <c r="CHP1" s="122" t="s">
        <v>2250</v>
      </c>
      <c r="CHQ1" s="122" t="s">
        <v>2251</v>
      </c>
      <c r="CHR1" s="122" t="s">
        <v>2252</v>
      </c>
      <c r="CHS1" s="122" t="s">
        <v>2253</v>
      </c>
      <c r="CHT1" s="122" t="s">
        <v>2254</v>
      </c>
      <c r="CHU1" s="122" t="s">
        <v>2255</v>
      </c>
      <c r="CHV1" s="122" t="s">
        <v>2256</v>
      </c>
      <c r="CHW1" s="122" t="s">
        <v>2257</v>
      </c>
      <c r="CHX1" s="122" t="s">
        <v>2258</v>
      </c>
      <c r="CHY1" s="122" t="s">
        <v>2259</v>
      </c>
      <c r="CHZ1" s="122" t="s">
        <v>2260</v>
      </c>
      <c r="CIA1" s="122" t="s">
        <v>2261</v>
      </c>
      <c r="CIB1" s="122" t="s">
        <v>2262</v>
      </c>
      <c r="CIC1" s="122" t="s">
        <v>2263</v>
      </c>
      <c r="CID1" s="122" t="s">
        <v>2264</v>
      </c>
      <c r="CIE1" s="122" t="s">
        <v>2265</v>
      </c>
      <c r="CIF1" s="122" t="s">
        <v>2266</v>
      </c>
      <c r="CIG1" s="122" t="s">
        <v>2267</v>
      </c>
      <c r="CIH1" s="122" t="s">
        <v>2268</v>
      </c>
      <c r="CII1" s="122" t="s">
        <v>2269</v>
      </c>
      <c r="CIJ1" s="122" t="s">
        <v>2270</v>
      </c>
      <c r="CIK1" s="122" t="s">
        <v>2271</v>
      </c>
      <c r="CIL1" s="122" t="s">
        <v>2272</v>
      </c>
      <c r="CIM1" s="122" t="s">
        <v>2273</v>
      </c>
      <c r="CIN1" s="122" t="s">
        <v>2274</v>
      </c>
      <c r="CIO1" s="122" t="s">
        <v>2275</v>
      </c>
      <c r="CIP1" s="122" t="s">
        <v>2276</v>
      </c>
      <c r="CIQ1" s="122" t="s">
        <v>2277</v>
      </c>
      <c r="CIR1" s="122" t="s">
        <v>2278</v>
      </c>
      <c r="CIS1" s="122" t="s">
        <v>2279</v>
      </c>
      <c r="CIT1" s="122" t="s">
        <v>2280</v>
      </c>
      <c r="CIU1" s="122" t="s">
        <v>2281</v>
      </c>
      <c r="CIV1" s="122" t="s">
        <v>2282</v>
      </c>
      <c r="CIW1" s="122" t="s">
        <v>2283</v>
      </c>
      <c r="CIX1" s="122" t="s">
        <v>2284</v>
      </c>
      <c r="CIY1" s="122" t="s">
        <v>2285</v>
      </c>
      <c r="CIZ1" s="122" t="s">
        <v>2286</v>
      </c>
      <c r="CJA1" s="122" t="s">
        <v>2287</v>
      </c>
      <c r="CJB1" s="122" t="s">
        <v>2288</v>
      </c>
      <c r="CJC1" s="122" t="s">
        <v>2289</v>
      </c>
      <c r="CJD1" s="122" t="s">
        <v>2290</v>
      </c>
      <c r="CJE1" s="122" t="s">
        <v>2291</v>
      </c>
      <c r="CJF1" s="122" t="s">
        <v>2292</v>
      </c>
      <c r="CJG1" s="122" t="s">
        <v>2293</v>
      </c>
      <c r="CJH1" s="122" t="s">
        <v>2294</v>
      </c>
      <c r="CJI1" s="122" t="s">
        <v>2295</v>
      </c>
      <c r="CJJ1" s="122" t="s">
        <v>2296</v>
      </c>
      <c r="CJK1" s="122" t="s">
        <v>2297</v>
      </c>
      <c r="CJL1" s="122" t="s">
        <v>2298</v>
      </c>
      <c r="CJM1" s="122" t="s">
        <v>2299</v>
      </c>
      <c r="CJN1" s="122" t="s">
        <v>2300</v>
      </c>
      <c r="CJO1" s="122" t="s">
        <v>2301</v>
      </c>
      <c r="CJP1" s="122" t="s">
        <v>2302</v>
      </c>
      <c r="CJQ1" s="122" t="s">
        <v>2303</v>
      </c>
      <c r="CJR1" s="122" t="s">
        <v>2304</v>
      </c>
      <c r="CJS1" s="122" t="s">
        <v>2305</v>
      </c>
      <c r="CJT1" s="122" t="s">
        <v>2306</v>
      </c>
      <c r="CJU1" s="122" t="s">
        <v>2307</v>
      </c>
      <c r="CJV1" s="122" t="s">
        <v>2308</v>
      </c>
      <c r="CJW1" s="122" t="s">
        <v>2309</v>
      </c>
      <c r="CJX1" s="122" t="s">
        <v>2310</v>
      </c>
      <c r="CJY1" s="122" t="s">
        <v>2311</v>
      </c>
      <c r="CJZ1" s="122" t="s">
        <v>2312</v>
      </c>
      <c r="CKA1" s="122" t="s">
        <v>2313</v>
      </c>
      <c r="CKB1" s="122" t="s">
        <v>2314</v>
      </c>
      <c r="CKC1" s="122" t="s">
        <v>2315</v>
      </c>
      <c r="CKD1" s="122" t="s">
        <v>2316</v>
      </c>
      <c r="CKE1" s="122" t="s">
        <v>2317</v>
      </c>
      <c r="CKF1" s="122" t="s">
        <v>2318</v>
      </c>
      <c r="CKG1" s="122" t="s">
        <v>2319</v>
      </c>
      <c r="CKH1" s="122" t="s">
        <v>2320</v>
      </c>
      <c r="CKI1" s="122" t="s">
        <v>2321</v>
      </c>
      <c r="CKJ1" s="122" t="s">
        <v>2322</v>
      </c>
      <c r="CKK1" s="122" t="s">
        <v>2323</v>
      </c>
      <c r="CKL1" s="122" t="s">
        <v>2324</v>
      </c>
      <c r="CKM1" s="122" t="s">
        <v>2325</v>
      </c>
      <c r="CKN1" s="122" t="s">
        <v>2326</v>
      </c>
      <c r="CKO1" s="122" t="s">
        <v>2327</v>
      </c>
      <c r="CKP1" s="122" t="s">
        <v>2328</v>
      </c>
      <c r="CKQ1" s="122" t="s">
        <v>2329</v>
      </c>
      <c r="CKR1" s="122" t="s">
        <v>2330</v>
      </c>
      <c r="CKS1" s="122" t="s">
        <v>2331</v>
      </c>
      <c r="CKT1" s="122" t="s">
        <v>2332</v>
      </c>
      <c r="CKU1" s="122" t="s">
        <v>2333</v>
      </c>
      <c r="CKV1" s="122" t="s">
        <v>2334</v>
      </c>
      <c r="CKW1" s="122" t="s">
        <v>2335</v>
      </c>
      <c r="CKX1" s="122" t="s">
        <v>2336</v>
      </c>
      <c r="CKY1" s="122" t="s">
        <v>2337</v>
      </c>
      <c r="CKZ1" s="122" t="s">
        <v>2338</v>
      </c>
      <c r="CLA1" s="122" t="s">
        <v>2339</v>
      </c>
      <c r="CLB1" s="122" t="s">
        <v>2340</v>
      </c>
      <c r="CLC1" s="122" t="s">
        <v>2341</v>
      </c>
      <c r="CLD1" s="122" t="s">
        <v>2342</v>
      </c>
      <c r="CLE1" s="122" t="s">
        <v>2343</v>
      </c>
      <c r="CLF1" s="122" t="s">
        <v>2344</v>
      </c>
      <c r="CLG1" s="122" t="s">
        <v>2345</v>
      </c>
      <c r="CLH1" s="122" t="s">
        <v>2346</v>
      </c>
      <c r="CLI1" s="122" t="s">
        <v>2347</v>
      </c>
      <c r="CLJ1" s="122" t="s">
        <v>2348</v>
      </c>
      <c r="CLK1" s="122" t="s">
        <v>2349</v>
      </c>
      <c r="CLL1" s="122" t="s">
        <v>2350</v>
      </c>
      <c r="CLM1" s="122" t="s">
        <v>2351</v>
      </c>
      <c r="CLN1" s="122" t="s">
        <v>2352</v>
      </c>
      <c r="CLO1" s="122" t="s">
        <v>2353</v>
      </c>
      <c r="CLP1" s="122" t="s">
        <v>2354</v>
      </c>
      <c r="CLQ1" s="122" t="s">
        <v>2355</v>
      </c>
      <c r="CLR1" s="122" t="s">
        <v>2356</v>
      </c>
      <c r="CLS1" s="122" t="s">
        <v>2357</v>
      </c>
      <c r="CLT1" s="122" t="s">
        <v>2358</v>
      </c>
      <c r="CLU1" s="122" t="s">
        <v>2359</v>
      </c>
      <c r="CLV1" s="122" t="s">
        <v>2360</v>
      </c>
      <c r="CLW1" s="122" t="s">
        <v>2361</v>
      </c>
      <c r="CLX1" s="122" t="s">
        <v>2362</v>
      </c>
      <c r="CLY1" s="122" t="s">
        <v>2363</v>
      </c>
      <c r="CLZ1" s="122" t="s">
        <v>2364</v>
      </c>
      <c r="CMA1" s="122" t="s">
        <v>2365</v>
      </c>
      <c r="CMB1" s="122" t="s">
        <v>2366</v>
      </c>
      <c r="CMC1" s="122" t="s">
        <v>2367</v>
      </c>
      <c r="CMD1" s="122" t="s">
        <v>2368</v>
      </c>
      <c r="CME1" s="122" t="s">
        <v>2369</v>
      </c>
      <c r="CMF1" s="122" t="s">
        <v>2370</v>
      </c>
      <c r="CMG1" s="122" t="s">
        <v>2371</v>
      </c>
      <c r="CMH1" s="122" t="s">
        <v>2372</v>
      </c>
      <c r="CMI1" s="122" t="s">
        <v>2373</v>
      </c>
      <c r="CMJ1" s="122" t="s">
        <v>2374</v>
      </c>
      <c r="CMK1" s="122" t="s">
        <v>2375</v>
      </c>
      <c r="CML1" s="122" t="s">
        <v>2376</v>
      </c>
      <c r="CMM1" s="122" t="s">
        <v>2377</v>
      </c>
      <c r="CMN1" s="122" t="s">
        <v>2378</v>
      </c>
      <c r="CMO1" s="122" t="s">
        <v>2379</v>
      </c>
      <c r="CMP1" s="122" t="s">
        <v>2380</v>
      </c>
      <c r="CMQ1" s="122" t="s">
        <v>2381</v>
      </c>
      <c r="CMR1" s="122" t="s">
        <v>2382</v>
      </c>
      <c r="CMS1" s="122" t="s">
        <v>2383</v>
      </c>
      <c r="CMT1" s="122" t="s">
        <v>2384</v>
      </c>
      <c r="CMU1" s="122" t="s">
        <v>2385</v>
      </c>
      <c r="CMV1" s="122" t="s">
        <v>2386</v>
      </c>
      <c r="CMW1" s="122" t="s">
        <v>2387</v>
      </c>
      <c r="CMX1" s="122" t="s">
        <v>2388</v>
      </c>
      <c r="CMY1" s="122" t="s">
        <v>2389</v>
      </c>
      <c r="CMZ1" s="122" t="s">
        <v>2390</v>
      </c>
      <c r="CNA1" s="122" t="s">
        <v>2391</v>
      </c>
      <c r="CNB1" s="122" t="s">
        <v>2392</v>
      </c>
      <c r="CNC1" s="122" t="s">
        <v>2393</v>
      </c>
      <c r="CND1" s="122" t="s">
        <v>2394</v>
      </c>
      <c r="CNE1" s="122" t="s">
        <v>2395</v>
      </c>
      <c r="CNF1" s="122" t="s">
        <v>2396</v>
      </c>
      <c r="CNG1" s="122" t="s">
        <v>2397</v>
      </c>
      <c r="CNH1" s="122" t="s">
        <v>2398</v>
      </c>
      <c r="CNI1" s="122" t="s">
        <v>2399</v>
      </c>
      <c r="CNJ1" s="122" t="s">
        <v>2400</v>
      </c>
      <c r="CNK1" s="122" t="s">
        <v>2401</v>
      </c>
      <c r="CNL1" s="122" t="s">
        <v>2402</v>
      </c>
      <c r="CNM1" s="122" t="s">
        <v>2403</v>
      </c>
      <c r="CNN1" s="122" t="s">
        <v>2404</v>
      </c>
      <c r="CNO1" s="122" t="s">
        <v>2405</v>
      </c>
      <c r="CNP1" s="122" t="s">
        <v>2406</v>
      </c>
      <c r="CNQ1" s="122" t="s">
        <v>2407</v>
      </c>
      <c r="CNR1" s="122" t="s">
        <v>2408</v>
      </c>
      <c r="CNS1" s="122" t="s">
        <v>2409</v>
      </c>
      <c r="CNT1" s="122" t="s">
        <v>2410</v>
      </c>
      <c r="CNU1" s="122" t="s">
        <v>2411</v>
      </c>
      <c r="CNV1" s="122" t="s">
        <v>2412</v>
      </c>
      <c r="CNW1" s="122" t="s">
        <v>2413</v>
      </c>
      <c r="CNX1" s="122" t="s">
        <v>2414</v>
      </c>
      <c r="CNY1" s="122" t="s">
        <v>2415</v>
      </c>
      <c r="CNZ1" s="122" t="s">
        <v>2416</v>
      </c>
      <c r="COA1" s="122" t="s">
        <v>2417</v>
      </c>
      <c r="COB1" s="122" t="s">
        <v>2418</v>
      </c>
      <c r="COC1" s="122" t="s">
        <v>2419</v>
      </c>
      <c r="COD1" s="122" t="s">
        <v>2420</v>
      </c>
      <c r="COE1" s="122" t="s">
        <v>2421</v>
      </c>
      <c r="COF1" s="122" t="s">
        <v>2422</v>
      </c>
      <c r="COG1" s="122" t="s">
        <v>2423</v>
      </c>
      <c r="COH1" s="122" t="s">
        <v>2424</v>
      </c>
      <c r="COI1" s="122" t="s">
        <v>2425</v>
      </c>
      <c r="COJ1" s="122" t="s">
        <v>2426</v>
      </c>
      <c r="COK1" s="122" t="s">
        <v>2427</v>
      </c>
      <c r="COL1" s="122" t="s">
        <v>2428</v>
      </c>
      <c r="COM1" s="122" t="s">
        <v>2429</v>
      </c>
      <c r="CON1" s="122" t="s">
        <v>2430</v>
      </c>
      <c r="COO1" s="122" t="s">
        <v>2431</v>
      </c>
      <c r="COP1" s="122" t="s">
        <v>2432</v>
      </c>
      <c r="COQ1" s="122" t="s">
        <v>2433</v>
      </c>
      <c r="COR1" s="122" t="s">
        <v>2434</v>
      </c>
      <c r="COS1" s="122" t="s">
        <v>2435</v>
      </c>
      <c r="COT1" s="122" t="s">
        <v>2436</v>
      </c>
      <c r="COU1" s="122" t="s">
        <v>2437</v>
      </c>
      <c r="COV1" s="122" t="s">
        <v>2438</v>
      </c>
      <c r="COW1" s="122" t="s">
        <v>2439</v>
      </c>
      <c r="COX1" s="122" t="s">
        <v>2440</v>
      </c>
      <c r="COY1" s="122" t="s">
        <v>2441</v>
      </c>
      <c r="COZ1" s="122" t="s">
        <v>2442</v>
      </c>
      <c r="CPA1" s="122" t="s">
        <v>2443</v>
      </c>
      <c r="CPB1" s="122" t="s">
        <v>2444</v>
      </c>
      <c r="CPC1" s="122" t="s">
        <v>2445</v>
      </c>
      <c r="CPD1" s="122" t="s">
        <v>2446</v>
      </c>
      <c r="CPE1" s="122" t="s">
        <v>2447</v>
      </c>
      <c r="CPF1" s="122" t="s">
        <v>2448</v>
      </c>
      <c r="CPG1" s="122" t="s">
        <v>2449</v>
      </c>
      <c r="CPH1" s="122" t="s">
        <v>2450</v>
      </c>
      <c r="CPI1" s="122" t="s">
        <v>2451</v>
      </c>
      <c r="CPJ1" s="122" t="s">
        <v>2452</v>
      </c>
      <c r="CPK1" s="122" t="s">
        <v>2453</v>
      </c>
      <c r="CPL1" s="122" t="s">
        <v>2454</v>
      </c>
      <c r="CPM1" s="122" t="s">
        <v>2455</v>
      </c>
      <c r="CPN1" s="122" t="s">
        <v>2456</v>
      </c>
      <c r="CPO1" s="122" t="s">
        <v>2457</v>
      </c>
      <c r="CPP1" s="122" t="s">
        <v>2458</v>
      </c>
      <c r="CPQ1" s="122" t="s">
        <v>2459</v>
      </c>
      <c r="CPR1" s="122" t="s">
        <v>2460</v>
      </c>
      <c r="CPS1" s="122" t="s">
        <v>2461</v>
      </c>
      <c r="CPT1" s="122" t="s">
        <v>2462</v>
      </c>
      <c r="CPU1" s="122" t="s">
        <v>2463</v>
      </c>
      <c r="CPV1" s="122" t="s">
        <v>2464</v>
      </c>
      <c r="CPW1" s="122" t="s">
        <v>2465</v>
      </c>
      <c r="CPX1" s="122" t="s">
        <v>2466</v>
      </c>
      <c r="CPY1" s="122" t="s">
        <v>2467</v>
      </c>
      <c r="CPZ1" s="122" t="s">
        <v>2468</v>
      </c>
      <c r="CQA1" s="122" t="s">
        <v>2469</v>
      </c>
      <c r="CQB1" s="122" t="s">
        <v>2470</v>
      </c>
      <c r="CQC1" s="122" t="s">
        <v>2471</v>
      </c>
      <c r="CQD1" s="122" t="s">
        <v>2472</v>
      </c>
      <c r="CQE1" s="122" t="s">
        <v>2473</v>
      </c>
      <c r="CQF1" s="122" t="s">
        <v>2474</v>
      </c>
      <c r="CQG1" s="122" t="s">
        <v>2475</v>
      </c>
      <c r="CQH1" s="122" t="s">
        <v>2476</v>
      </c>
      <c r="CQI1" s="122" t="s">
        <v>2477</v>
      </c>
      <c r="CQJ1" s="122" t="s">
        <v>2478</v>
      </c>
      <c r="CQK1" s="122" t="s">
        <v>2479</v>
      </c>
      <c r="CQL1" s="122" t="s">
        <v>2480</v>
      </c>
      <c r="CQM1" s="122" t="s">
        <v>2481</v>
      </c>
      <c r="CQN1" s="122" t="s">
        <v>2482</v>
      </c>
      <c r="CQO1" s="122" t="s">
        <v>2483</v>
      </c>
      <c r="CQP1" s="122" t="s">
        <v>2484</v>
      </c>
      <c r="CQQ1" s="122" t="s">
        <v>2485</v>
      </c>
      <c r="CQR1" s="122" t="s">
        <v>2486</v>
      </c>
      <c r="CQS1" s="122" t="s">
        <v>2487</v>
      </c>
      <c r="CQT1" s="122" t="s">
        <v>2488</v>
      </c>
      <c r="CQU1" s="122" t="s">
        <v>2489</v>
      </c>
      <c r="CQV1" s="122" t="s">
        <v>2490</v>
      </c>
      <c r="CQW1" s="122" t="s">
        <v>2491</v>
      </c>
      <c r="CQX1" s="122" t="s">
        <v>2492</v>
      </c>
      <c r="CQY1" s="122" t="s">
        <v>2493</v>
      </c>
      <c r="CQZ1" s="122" t="s">
        <v>2494</v>
      </c>
      <c r="CRA1" s="122" t="s">
        <v>2495</v>
      </c>
      <c r="CRB1" s="122" t="s">
        <v>2496</v>
      </c>
      <c r="CRC1" s="122" t="s">
        <v>2497</v>
      </c>
      <c r="CRD1" s="122" t="s">
        <v>2498</v>
      </c>
      <c r="CRE1" s="122" t="s">
        <v>2499</v>
      </c>
      <c r="CRF1" s="122" t="s">
        <v>2500</v>
      </c>
      <c r="CRG1" s="122" t="s">
        <v>2501</v>
      </c>
      <c r="CRH1" s="122" t="s">
        <v>2502</v>
      </c>
      <c r="CRI1" s="122" t="s">
        <v>2503</v>
      </c>
      <c r="CRJ1" s="122" t="s">
        <v>2504</v>
      </c>
      <c r="CRK1" s="122" t="s">
        <v>2505</v>
      </c>
      <c r="CRL1" s="122" t="s">
        <v>2506</v>
      </c>
      <c r="CRM1" s="122" t="s">
        <v>2507</v>
      </c>
      <c r="CRN1" s="122" t="s">
        <v>2508</v>
      </c>
      <c r="CRO1" s="122" t="s">
        <v>2509</v>
      </c>
      <c r="CRP1" s="122" t="s">
        <v>2510</v>
      </c>
      <c r="CRQ1" s="122" t="s">
        <v>2511</v>
      </c>
      <c r="CRR1" s="122" t="s">
        <v>2512</v>
      </c>
      <c r="CRS1" s="122" t="s">
        <v>2513</v>
      </c>
      <c r="CRT1" s="122" t="s">
        <v>2514</v>
      </c>
      <c r="CRU1" s="122" t="s">
        <v>2515</v>
      </c>
      <c r="CRV1" s="122" t="s">
        <v>2516</v>
      </c>
      <c r="CRW1" s="122" t="s">
        <v>2517</v>
      </c>
      <c r="CRX1" s="122" t="s">
        <v>2518</v>
      </c>
      <c r="CRY1" s="122" t="s">
        <v>2519</v>
      </c>
      <c r="CRZ1" s="122" t="s">
        <v>2520</v>
      </c>
      <c r="CSA1" s="122" t="s">
        <v>2521</v>
      </c>
      <c r="CSB1" s="122" t="s">
        <v>2522</v>
      </c>
      <c r="CSC1" s="122" t="s">
        <v>2523</v>
      </c>
      <c r="CSD1" s="122" t="s">
        <v>2524</v>
      </c>
      <c r="CSE1" s="122" t="s">
        <v>2525</v>
      </c>
      <c r="CSF1" s="122" t="s">
        <v>2526</v>
      </c>
      <c r="CSG1" s="122" t="s">
        <v>2527</v>
      </c>
      <c r="CSH1" s="122" t="s">
        <v>2528</v>
      </c>
      <c r="CSI1" s="122" t="s">
        <v>2529</v>
      </c>
      <c r="CSJ1" s="122" t="s">
        <v>2530</v>
      </c>
      <c r="CSK1" s="122" t="s">
        <v>2531</v>
      </c>
      <c r="CSL1" s="122" t="s">
        <v>2532</v>
      </c>
      <c r="CSM1" s="122" t="s">
        <v>2533</v>
      </c>
      <c r="CSN1" s="122" t="s">
        <v>2534</v>
      </c>
      <c r="CSO1" s="122" t="s">
        <v>2535</v>
      </c>
      <c r="CSP1" s="122" t="s">
        <v>2536</v>
      </c>
      <c r="CSQ1" s="122" t="s">
        <v>2537</v>
      </c>
      <c r="CSR1" s="122" t="s">
        <v>2538</v>
      </c>
      <c r="CSS1" s="122" t="s">
        <v>2539</v>
      </c>
      <c r="CST1" s="122" t="s">
        <v>2540</v>
      </c>
      <c r="CSU1" s="122" t="s">
        <v>2541</v>
      </c>
      <c r="CSV1" s="122" t="s">
        <v>2542</v>
      </c>
      <c r="CSW1" s="122" t="s">
        <v>2543</v>
      </c>
      <c r="CSX1" s="122" t="s">
        <v>2544</v>
      </c>
      <c r="CSY1" s="122" t="s">
        <v>2545</v>
      </c>
      <c r="CSZ1" s="122" t="s">
        <v>2546</v>
      </c>
      <c r="CTA1" s="122" t="s">
        <v>2547</v>
      </c>
      <c r="CTB1" s="122" t="s">
        <v>2548</v>
      </c>
      <c r="CTC1" s="122" t="s">
        <v>2549</v>
      </c>
      <c r="CTD1" s="122" t="s">
        <v>2550</v>
      </c>
      <c r="CTE1" s="122" t="s">
        <v>2551</v>
      </c>
      <c r="CTF1" s="122" t="s">
        <v>2552</v>
      </c>
      <c r="CTG1" s="122" t="s">
        <v>2553</v>
      </c>
      <c r="CTH1" s="122" t="s">
        <v>2554</v>
      </c>
      <c r="CTI1" s="122" t="s">
        <v>2555</v>
      </c>
      <c r="CTJ1" s="122" t="s">
        <v>2556</v>
      </c>
      <c r="CTK1" s="122" t="s">
        <v>2557</v>
      </c>
      <c r="CTL1" s="122" t="s">
        <v>2558</v>
      </c>
      <c r="CTM1" s="122" t="s">
        <v>2559</v>
      </c>
      <c r="CTN1" s="122" t="s">
        <v>2560</v>
      </c>
      <c r="CTO1" s="122" t="s">
        <v>2561</v>
      </c>
      <c r="CTP1" s="122" t="s">
        <v>2562</v>
      </c>
      <c r="CTQ1" s="122" t="s">
        <v>2563</v>
      </c>
      <c r="CTR1" s="122" t="s">
        <v>2564</v>
      </c>
      <c r="CTS1" s="122" t="s">
        <v>2565</v>
      </c>
      <c r="CTT1" s="122" t="s">
        <v>2566</v>
      </c>
      <c r="CTU1" s="122" t="s">
        <v>2567</v>
      </c>
      <c r="CTV1" s="122" t="s">
        <v>2568</v>
      </c>
      <c r="CTW1" s="122" t="s">
        <v>2569</v>
      </c>
      <c r="CTX1" s="122" t="s">
        <v>2570</v>
      </c>
      <c r="CTY1" s="122" t="s">
        <v>2571</v>
      </c>
      <c r="CTZ1" s="122" t="s">
        <v>2572</v>
      </c>
      <c r="CUA1" s="122" t="s">
        <v>2573</v>
      </c>
      <c r="CUB1" s="122" t="s">
        <v>2574</v>
      </c>
      <c r="CUC1" s="122" t="s">
        <v>2575</v>
      </c>
      <c r="CUD1" s="122" t="s">
        <v>2576</v>
      </c>
      <c r="CUE1" s="122" t="s">
        <v>2577</v>
      </c>
      <c r="CUF1" s="122" t="s">
        <v>2578</v>
      </c>
      <c r="CUG1" s="122" t="s">
        <v>2579</v>
      </c>
      <c r="CUH1" s="122" t="s">
        <v>2580</v>
      </c>
      <c r="CUI1" s="122" t="s">
        <v>2581</v>
      </c>
      <c r="CUJ1" s="122" t="s">
        <v>2582</v>
      </c>
      <c r="CUK1" s="122" t="s">
        <v>2583</v>
      </c>
      <c r="CUL1" s="122" t="s">
        <v>2584</v>
      </c>
      <c r="CUM1" s="122" t="s">
        <v>2585</v>
      </c>
      <c r="CUN1" s="122" t="s">
        <v>2586</v>
      </c>
      <c r="CUO1" s="122" t="s">
        <v>2587</v>
      </c>
      <c r="CUP1" s="122" t="s">
        <v>2588</v>
      </c>
      <c r="CUQ1" s="122" t="s">
        <v>2589</v>
      </c>
      <c r="CUR1" s="122" t="s">
        <v>2590</v>
      </c>
      <c r="CUS1" s="122" t="s">
        <v>2591</v>
      </c>
      <c r="CUT1" s="122" t="s">
        <v>2592</v>
      </c>
      <c r="CUU1" s="122" t="s">
        <v>2593</v>
      </c>
      <c r="CUV1" s="122" t="s">
        <v>2594</v>
      </c>
      <c r="CUW1" s="122" t="s">
        <v>2595</v>
      </c>
      <c r="CUX1" s="122" t="s">
        <v>2596</v>
      </c>
      <c r="CUY1" s="122" t="s">
        <v>2597</v>
      </c>
      <c r="CUZ1" s="122" t="s">
        <v>2598</v>
      </c>
      <c r="CVA1" s="122" t="s">
        <v>2599</v>
      </c>
      <c r="CVB1" s="122" t="s">
        <v>2600</v>
      </c>
      <c r="CVC1" s="122" t="s">
        <v>2601</v>
      </c>
      <c r="CVD1" s="122" t="s">
        <v>2602</v>
      </c>
      <c r="CVE1" s="122" t="s">
        <v>2603</v>
      </c>
      <c r="CVF1" s="122" t="s">
        <v>2604</v>
      </c>
      <c r="CVG1" s="122" t="s">
        <v>2605</v>
      </c>
      <c r="CVH1" s="122" t="s">
        <v>2606</v>
      </c>
      <c r="CVI1" s="122" t="s">
        <v>2607</v>
      </c>
      <c r="CVJ1" s="122" t="s">
        <v>2608</v>
      </c>
      <c r="CVK1" s="122" t="s">
        <v>2609</v>
      </c>
      <c r="CVL1" s="122" t="s">
        <v>2610</v>
      </c>
      <c r="CVM1" s="122" t="s">
        <v>2611</v>
      </c>
      <c r="CVN1" s="122" t="s">
        <v>2612</v>
      </c>
      <c r="CVO1" s="122" t="s">
        <v>2613</v>
      </c>
      <c r="CVP1" s="122" t="s">
        <v>2614</v>
      </c>
      <c r="CVQ1" s="122" t="s">
        <v>2615</v>
      </c>
      <c r="CVR1" s="122" t="s">
        <v>2616</v>
      </c>
      <c r="CVS1" s="122" t="s">
        <v>2617</v>
      </c>
      <c r="CVT1" s="122" t="s">
        <v>2618</v>
      </c>
      <c r="CVU1" s="122" t="s">
        <v>2619</v>
      </c>
      <c r="CVV1" s="122" t="s">
        <v>2620</v>
      </c>
      <c r="CVW1" s="122" t="s">
        <v>2621</v>
      </c>
      <c r="CVX1" s="122" t="s">
        <v>2622</v>
      </c>
      <c r="CVY1" s="122" t="s">
        <v>2623</v>
      </c>
      <c r="CVZ1" s="122" t="s">
        <v>2624</v>
      </c>
      <c r="CWA1" s="122" t="s">
        <v>2625</v>
      </c>
      <c r="CWB1" s="122" t="s">
        <v>2626</v>
      </c>
      <c r="CWC1" s="122" t="s">
        <v>2627</v>
      </c>
      <c r="CWD1" s="122" t="s">
        <v>2628</v>
      </c>
      <c r="CWE1" s="122" t="s">
        <v>2629</v>
      </c>
      <c r="CWF1" s="122" t="s">
        <v>2630</v>
      </c>
      <c r="CWG1" s="122" t="s">
        <v>2631</v>
      </c>
      <c r="CWH1" s="122" t="s">
        <v>2632</v>
      </c>
      <c r="CWI1" s="122" t="s">
        <v>2633</v>
      </c>
      <c r="CWJ1" s="122" t="s">
        <v>2634</v>
      </c>
      <c r="CWK1" s="122" t="s">
        <v>2635</v>
      </c>
      <c r="CWL1" s="122" t="s">
        <v>2636</v>
      </c>
      <c r="CWM1" s="122" t="s">
        <v>2637</v>
      </c>
      <c r="CWN1" s="122" t="s">
        <v>2638</v>
      </c>
      <c r="CWO1" s="122" t="s">
        <v>2639</v>
      </c>
      <c r="CWP1" s="122" t="s">
        <v>2640</v>
      </c>
      <c r="CWQ1" s="122" t="s">
        <v>2641</v>
      </c>
      <c r="CWR1" s="122" t="s">
        <v>2642</v>
      </c>
      <c r="CWS1" s="122" t="s">
        <v>2643</v>
      </c>
      <c r="CWT1" s="122" t="s">
        <v>2644</v>
      </c>
      <c r="CWU1" s="122" t="s">
        <v>2645</v>
      </c>
      <c r="CWV1" s="122" t="s">
        <v>2646</v>
      </c>
      <c r="CWW1" s="122" t="s">
        <v>2647</v>
      </c>
      <c r="CWX1" s="122" t="s">
        <v>2648</v>
      </c>
      <c r="CWY1" s="122" t="s">
        <v>2649</v>
      </c>
      <c r="CWZ1" s="122" t="s">
        <v>2650</v>
      </c>
      <c r="CXA1" s="122" t="s">
        <v>2651</v>
      </c>
      <c r="CXB1" s="122" t="s">
        <v>2652</v>
      </c>
      <c r="CXC1" s="122" t="s">
        <v>2653</v>
      </c>
      <c r="CXD1" s="122" t="s">
        <v>2654</v>
      </c>
      <c r="CXE1" s="122" t="s">
        <v>2655</v>
      </c>
      <c r="CXF1" s="122" t="s">
        <v>2656</v>
      </c>
      <c r="CXG1" s="122" t="s">
        <v>2657</v>
      </c>
      <c r="CXH1" s="122" t="s">
        <v>2658</v>
      </c>
      <c r="CXI1" s="122" t="s">
        <v>2659</v>
      </c>
      <c r="CXJ1" s="122" t="s">
        <v>2660</v>
      </c>
      <c r="CXK1" s="122" t="s">
        <v>2661</v>
      </c>
      <c r="CXL1" s="122" t="s">
        <v>2662</v>
      </c>
      <c r="CXM1" s="122" t="s">
        <v>2663</v>
      </c>
      <c r="CXN1" s="122" t="s">
        <v>2664</v>
      </c>
      <c r="CXO1" s="122" t="s">
        <v>2665</v>
      </c>
      <c r="CXP1" s="122" t="s">
        <v>2666</v>
      </c>
      <c r="CXQ1" s="122" t="s">
        <v>2667</v>
      </c>
      <c r="CXR1" s="122" t="s">
        <v>2668</v>
      </c>
      <c r="CXS1" s="122" t="s">
        <v>2669</v>
      </c>
      <c r="CXT1" s="122" t="s">
        <v>2670</v>
      </c>
      <c r="CXU1" s="122" t="s">
        <v>2671</v>
      </c>
      <c r="CXV1" s="122" t="s">
        <v>2672</v>
      </c>
      <c r="CXW1" s="122" t="s">
        <v>2673</v>
      </c>
      <c r="CXX1" s="122" t="s">
        <v>2674</v>
      </c>
      <c r="CXY1" s="122" t="s">
        <v>2675</v>
      </c>
      <c r="CXZ1" s="122" t="s">
        <v>2676</v>
      </c>
      <c r="CYA1" s="122" t="s">
        <v>2677</v>
      </c>
      <c r="CYB1" s="122" t="s">
        <v>2678</v>
      </c>
      <c r="CYC1" s="122" t="s">
        <v>2679</v>
      </c>
      <c r="CYD1" s="122" t="s">
        <v>2680</v>
      </c>
      <c r="CYE1" s="122" t="s">
        <v>2681</v>
      </c>
      <c r="CYF1" s="122" t="s">
        <v>2682</v>
      </c>
      <c r="CYG1" s="122" t="s">
        <v>2683</v>
      </c>
      <c r="CYH1" s="122" t="s">
        <v>2684</v>
      </c>
      <c r="CYI1" s="122" t="s">
        <v>2685</v>
      </c>
      <c r="CYJ1" s="122" t="s">
        <v>2686</v>
      </c>
      <c r="CYK1" s="122" t="s">
        <v>2687</v>
      </c>
      <c r="CYL1" s="122" t="s">
        <v>2688</v>
      </c>
      <c r="CYM1" s="122" t="s">
        <v>2689</v>
      </c>
      <c r="CYN1" s="122" t="s">
        <v>2690</v>
      </c>
      <c r="CYO1" s="122" t="s">
        <v>2691</v>
      </c>
      <c r="CYP1" s="122" t="s">
        <v>2692</v>
      </c>
      <c r="CYQ1" s="122" t="s">
        <v>2693</v>
      </c>
      <c r="CYR1" s="122" t="s">
        <v>2694</v>
      </c>
      <c r="CYS1" s="122" t="s">
        <v>2695</v>
      </c>
      <c r="CYT1" s="122" t="s">
        <v>2696</v>
      </c>
      <c r="CYU1" s="122" t="s">
        <v>2697</v>
      </c>
      <c r="CYV1" s="122" t="s">
        <v>2698</v>
      </c>
      <c r="CYW1" s="122" t="s">
        <v>2699</v>
      </c>
      <c r="CYX1" s="122" t="s">
        <v>2700</v>
      </c>
      <c r="CYY1" s="122" t="s">
        <v>2701</v>
      </c>
      <c r="CYZ1" s="122" t="s">
        <v>2702</v>
      </c>
      <c r="CZA1" s="122" t="s">
        <v>2703</v>
      </c>
      <c r="CZB1" s="122" t="s">
        <v>2704</v>
      </c>
      <c r="CZC1" s="122" t="s">
        <v>2705</v>
      </c>
      <c r="CZD1" s="122" t="s">
        <v>2706</v>
      </c>
      <c r="CZE1" s="122" t="s">
        <v>2707</v>
      </c>
      <c r="CZF1" s="122" t="s">
        <v>2708</v>
      </c>
      <c r="CZG1" s="122" t="s">
        <v>2709</v>
      </c>
      <c r="CZH1" s="122" t="s">
        <v>2710</v>
      </c>
      <c r="CZI1" s="122" t="s">
        <v>2711</v>
      </c>
      <c r="CZJ1" s="122" t="s">
        <v>2712</v>
      </c>
      <c r="CZK1" s="122" t="s">
        <v>2713</v>
      </c>
      <c r="CZL1" s="122" t="s">
        <v>2714</v>
      </c>
      <c r="CZM1" s="122" t="s">
        <v>2715</v>
      </c>
      <c r="CZN1" s="122" t="s">
        <v>2716</v>
      </c>
      <c r="CZO1" s="122" t="s">
        <v>2717</v>
      </c>
      <c r="CZP1" s="122" t="s">
        <v>2718</v>
      </c>
      <c r="CZQ1" s="122" t="s">
        <v>2719</v>
      </c>
      <c r="CZR1" s="122" t="s">
        <v>2720</v>
      </c>
      <c r="CZS1" s="122" t="s">
        <v>2721</v>
      </c>
      <c r="CZT1" s="122" t="s">
        <v>2722</v>
      </c>
      <c r="CZU1" s="122" t="s">
        <v>2723</v>
      </c>
      <c r="CZV1" s="122" t="s">
        <v>2724</v>
      </c>
      <c r="CZW1" s="122" t="s">
        <v>2725</v>
      </c>
      <c r="CZX1" s="122" t="s">
        <v>2726</v>
      </c>
      <c r="CZY1" s="122" t="s">
        <v>2727</v>
      </c>
      <c r="CZZ1" s="122" t="s">
        <v>2728</v>
      </c>
      <c r="DAA1" s="122" t="s">
        <v>2729</v>
      </c>
      <c r="DAB1" s="122" t="s">
        <v>2730</v>
      </c>
      <c r="DAC1" s="122" t="s">
        <v>2731</v>
      </c>
      <c r="DAD1" s="122" t="s">
        <v>2732</v>
      </c>
      <c r="DAE1" s="122" t="s">
        <v>2733</v>
      </c>
      <c r="DAF1" s="122" t="s">
        <v>2734</v>
      </c>
      <c r="DAG1" s="122" t="s">
        <v>2735</v>
      </c>
      <c r="DAH1" s="122" t="s">
        <v>2736</v>
      </c>
      <c r="DAI1" s="122" t="s">
        <v>2737</v>
      </c>
      <c r="DAJ1" s="122" t="s">
        <v>2738</v>
      </c>
      <c r="DAK1" s="122" t="s">
        <v>2739</v>
      </c>
      <c r="DAL1" s="122" t="s">
        <v>2740</v>
      </c>
      <c r="DAM1" s="122" t="s">
        <v>2741</v>
      </c>
      <c r="DAN1" s="122" t="s">
        <v>2742</v>
      </c>
      <c r="DAO1" s="122" t="s">
        <v>2743</v>
      </c>
      <c r="DAP1" s="122" t="s">
        <v>2744</v>
      </c>
      <c r="DAQ1" s="122" t="s">
        <v>2745</v>
      </c>
      <c r="DAR1" s="122" t="s">
        <v>2746</v>
      </c>
      <c r="DAS1" s="122" t="s">
        <v>2747</v>
      </c>
      <c r="DAT1" s="122" t="s">
        <v>2748</v>
      </c>
      <c r="DAU1" s="122" t="s">
        <v>2749</v>
      </c>
      <c r="DAV1" s="122" t="s">
        <v>2750</v>
      </c>
      <c r="DAW1" s="122" t="s">
        <v>2751</v>
      </c>
      <c r="DAX1" s="122" t="s">
        <v>2752</v>
      </c>
      <c r="DAY1" s="122" t="s">
        <v>2753</v>
      </c>
      <c r="DAZ1" s="122" t="s">
        <v>2754</v>
      </c>
      <c r="DBA1" s="122" t="s">
        <v>2755</v>
      </c>
      <c r="DBB1" s="122" t="s">
        <v>2756</v>
      </c>
      <c r="DBC1" s="122" t="s">
        <v>2757</v>
      </c>
      <c r="DBD1" s="122" t="s">
        <v>2758</v>
      </c>
      <c r="DBE1" s="122" t="s">
        <v>2759</v>
      </c>
      <c r="DBF1" s="122" t="s">
        <v>2760</v>
      </c>
      <c r="DBG1" s="122" t="s">
        <v>2761</v>
      </c>
      <c r="DBH1" s="122" t="s">
        <v>2762</v>
      </c>
      <c r="DBI1" s="122" t="s">
        <v>2763</v>
      </c>
      <c r="DBJ1" s="122" t="s">
        <v>2764</v>
      </c>
      <c r="DBK1" s="122" t="s">
        <v>2765</v>
      </c>
      <c r="DBL1" s="122" t="s">
        <v>2766</v>
      </c>
      <c r="DBM1" s="122" t="s">
        <v>2767</v>
      </c>
      <c r="DBN1" s="122" t="s">
        <v>2768</v>
      </c>
      <c r="DBO1" s="122" t="s">
        <v>2769</v>
      </c>
      <c r="DBP1" s="122" t="s">
        <v>2770</v>
      </c>
      <c r="DBQ1" s="122" t="s">
        <v>2771</v>
      </c>
      <c r="DBR1" s="122" t="s">
        <v>2772</v>
      </c>
      <c r="DBS1" s="122" t="s">
        <v>2773</v>
      </c>
      <c r="DBT1" s="122" t="s">
        <v>2774</v>
      </c>
      <c r="DBU1" s="122" t="s">
        <v>2775</v>
      </c>
      <c r="DBV1" s="122" t="s">
        <v>2776</v>
      </c>
      <c r="DBW1" s="122" t="s">
        <v>2777</v>
      </c>
      <c r="DBX1" s="122" t="s">
        <v>2778</v>
      </c>
      <c r="DBY1" s="122" t="s">
        <v>2779</v>
      </c>
      <c r="DBZ1" s="122" t="s">
        <v>2780</v>
      </c>
      <c r="DCA1" s="122" t="s">
        <v>2781</v>
      </c>
      <c r="DCB1" s="122" t="s">
        <v>2782</v>
      </c>
      <c r="DCC1" s="122" t="s">
        <v>2783</v>
      </c>
      <c r="DCD1" s="122" t="s">
        <v>2784</v>
      </c>
      <c r="DCE1" s="122" t="s">
        <v>2785</v>
      </c>
      <c r="DCF1" s="122" t="s">
        <v>2786</v>
      </c>
      <c r="DCG1" s="122" t="s">
        <v>2787</v>
      </c>
      <c r="DCH1" s="122" t="s">
        <v>2788</v>
      </c>
      <c r="DCI1" s="122" t="s">
        <v>2789</v>
      </c>
      <c r="DCJ1" s="122" t="s">
        <v>2790</v>
      </c>
      <c r="DCK1" s="122" t="s">
        <v>2791</v>
      </c>
      <c r="DCL1" s="122" t="s">
        <v>2792</v>
      </c>
      <c r="DCM1" s="122" t="s">
        <v>2793</v>
      </c>
      <c r="DCN1" s="122" t="s">
        <v>2794</v>
      </c>
      <c r="DCO1" s="122" t="s">
        <v>2795</v>
      </c>
      <c r="DCP1" s="122" t="s">
        <v>2796</v>
      </c>
      <c r="DCQ1" s="122" t="s">
        <v>2797</v>
      </c>
      <c r="DCR1" s="122" t="s">
        <v>2798</v>
      </c>
      <c r="DCS1" s="122" t="s">
        <v>2799</v>
      </c>
      <c r="DCT1" s="122" t="s">
        <v>2800</v>
      </c>
      <c r="DCU1" s="122" t="s">
        <v>2801</v>
      </c>
      <c r="DCV1" s="122" t="s">
        <v>2802</v>
      </c>
      <c r="DCW1" s="122" t="s">
        <v>2803</v>
      </c>
      <c r="DCX1" s="122" t="s">
        <v>2804</v>
      </c>
      <c r="DCY1" s="122" t="s">
        <v>2805</v>
      </c>
      <c r="DCZ1" s="122" t="s">
        <v>2806</v>
      </c>
      <c r="DDA1" s="122" t="s">
        <v>2807</v>
      </c>
      <c r="DDB1" s="122" t="s">
        <v>2808</v>
      </c>
      <c r="DDC1" s="122" t="s">
        <v>2809</v>
      </c>
      <c r="DDD1" s="122" t="s">
        <v>2810</v>
      </c>
      <c r="DDE1" s="122" t="s">
        <v>2811</v>
      </c>
      <c r="DDF1" s="122" t="s">
        <v>2812</v>
      </c>
      <c r="DDG1" s="122" t="s">
        <v>2813</v>
      </c>
      <c r="DDH1" s="122" t="s">
        <v>2814</v>
      </c>
      <c r="DDI1" s="122" t="s">
        <v>2815</v>
      </c>
      <c r="DDJ1" s="122" t="s">
        <v>2816</v>
      </c>
      <c r="DDK1" s="122" t="s">
        <v>2817</v>
      </c>
      <c r="DDL1" s="122" t="s">
        <v>2818</v>
      </c>
      <c r="DDM1" s="122" t="s">
        <v>2819</v>
      </c>
      <c r="DDN1" s="122" t="s">
        <v>2820</v>
      </c>
      <c r="DDO1" s="122" t="s">
        <v>2821</v>
      </c>
      <c r="DDP1" s="122" t="s">
        <v>2822</v>
      </c>
      <c r="DDQ1" s="122" t="s">
        <v>2823</v>
      </c>
      <c r="DDR1" s="122" t="s">
        <v>2824</v>
      </c>
      <c r="DDS1" s="122" t="s">
        <v>2825</v>
      </c>
      <c r="DDT1" s="122" t="s">
        <v>2826</v>
      </c>
      <c r="DDU1" s="122" t="s">
        <v>2827</v>
      </c>
      <c r="DDV1" s="122" t="s">
        <v>2828</v>
      </c>
      <c r="DDW1" s="122" t="s">
        <v>2829</v>
      </c>
      <c r="DDX1" s="122" t="s">
        <v>2830</v>
      </c>
      <c r="DDY1" s="122" t="s">
        <v>2831</v>
      </c>
      <c r="DDZ1" s="122" t="s">
        <v>2832</v>
      </c>
      <c r="DEA1" s="122" t="s">
        <v>2833</v>
      </c>
      <c r="DEB1" s="122" t="s">
        <v>2834</v>
      </c>
      <c r="DEC1" s="122" t="s">
        <v>2835</v>
      </c>
      <c r="DED1" s="122" t="s">
        <v>2836</v>
      </c>
      <c r="DEE1" s="122" t="s">
        <v>2837</v>
      </c>
      <c r="DEF1" s="122" t="s">
        <v>2838</v>
      </c>
      <c r="DEG1" s="122" t="s">
        <v>2839</v>
      </c>
      <c r="DEH1" s="122" t="s">
        <v>2840</v>
      </c>
      <c r="DEI1" s="122" t="s">
        <v>2841</v>
      </c>
      <c r="DEJ1" s="122" t="s">
        <v>2842</v>
      </c>
      <c r="DEK1" s="122" t="s">
        <v>2843</v>
      </c>
      <c r="DEL1" s="122" t="s">
        <v>2844</v>
      </c>
      <c r="DEM1" s="122" t="s">
        <v>2845</v>
      </c>
      <c r="DEN1" s="122" t="s">
        <v>2846</v>
      </c>
      <c r="DEO1" s="122" t="s">
        <v>2847</v>
      </c>
      <c r="DEP1" s="122" t="s">
        <v>2848</v>
      </c>
      <c r="DEQ1" s="122" t="s">
        <v>2849</v>
      </c>
      <c r="DER1" s="122" t="s">
        <v>2850</v>
      </c>
      <c r="DES1" s="122" t="s">
        <v>2851</v>
      </c>
      <c r="DET1" s="122" t="s">
        <v>2852</v>
      </c>
      <c r="DEU1" s="122" t="s">
        <v>2853</v>
      </c>
      <c r="DEV1" s="122" t="s">
        <v>2854</v>
      </c>
      <c r="DEW1" s="122" t="s">
        <v>2855</v>
      </c>
      <c r="DEX1" s="122" t="s">
        <v>2856</v>
      </c>
      <c r="DEY1" s="122" t="s">
        <v>2857</v>
      </c>
      <c r="DEZ1" s="122" t="s">
        <v>2858</v>
      </c>
      <c r="DFA1" s="122" t="s">
        <v>2859</v>
      </c>
      <c r="DFB1" s="122" t="s">
        <v>2860</v>
      </c>
      <c r="DFC1" s="122" t="s">
        <v>2861</v>
      </c>
      <c r="DFD1" s="122" t="s">
        <v>2862</v>
      </c>
      <c r="DFE1" s="122" t="s">
        <v>2863</v>
      </c>
      <c r="DFF1" s="122" t="s">
        <v>2864</v>
      </c>
      <c r="DFG1" s="122" t="s">
        <v>2865</v>
      </c>
      <c r="DFH1" s="122" t="s">
        <v>2866</v>
      </c>
      <c r="DFI1" s="122" t="s">
        <v>2867</v>
      </c>
      <c r="DFJ1" s="122" t="s">
        <v>2868</v>
      </c>
      <c r="DFK1" s="122" t="s">
        <v>2869</v>
      </c>
      <c r="DFL1" s="122" t="s">
        <v>2870</v>
      </c>
      <c r="DFM1" s="122" t="s">
        <v>2871</v>
      </c>
      <c r="DFN1" s="122" t="s">
        <v>2872</v>
      </c>
      <c r="DFO1" s="122" t="s">
        <v>2873</v>
      </c>
      <c r="DFP1" s="122" t="s">
        <v>2874</v>
      </c>
      <c r="DFQ1" s="122" t="s">
        <v>2875</v>
      </c>
      <c r="DFR1" s="122" t="s">
        <v>2876</v>
      </c>
      <c r="DFS1" s="122" t="s">
        <v>2877</v>
      </c>
      <c r="DFT1" s="122" t="s">
        <v>2878</v>
      </c>
      <c r="DFU1" s="122" t="s">
        <v>2879</v>
      </c>
      <c r="DFV1" s="122" t="s">
        <v>2880</v>
      </c>
      <c r="DFW1" s="122" t="s">
        <v>2881</v>
      </c>
      <c r="DFX1" s="122" t="s">
        <v>2882</v>
      </c>
      <c r="DFY1" s="122" t="s">
        <v>2883</v>
      </c>
      <c r="DFZ1" s="122" t="s">
        <v>2884</v>
      </c>
      <c r="DGA1" s="122" t="s">
        <v>2885</v>
      </c>
      <c r="DGB1" s="122" t="s">
        <v>2886</v>
      </c>
      <c r="DGC1" s="122" t="s">
        <v>2887</v>
      </c>
      <c r="DGD1" s="122" t="s">
        <v>2888</v>
      </c>
      <c r="DGE1" s="122" t="s">
        <v>2889</v>
      </c>
      <c r="DGF1" s="122" t="s">
        <v>2890</v>
      </c>
      <c r="DGG1" s="122" t="s">
        <v>2891</v>
      </c>
      <c r="DGH1" s="122" t="s">
        <v>2892</v>
      </c>
      <c r="DGI1" s="122" t="s">
        <v>2893</v>
      </c>
      <c r="DGJ1" s="122" t="s">
        <v>2894</v>
      </c>
      <c r="DGK1" s="122" t="s">
        <v>2895</v>
      </c>
      <c r="DGL1" s="122" t="s">
        <v>2896</v>
      </c>
      <c r="DGM1" s="122" t="s">
        <v>2897</v>
      </c>
      <c r="DGN1" s="122" t="s">
        <v>2898</v>
      </c>
      <c r="DGO1" s="122" t="s">
        <v>2899</v>
      </c>
      <c r="DGP1" s="122" t="s">
        <v>2900</v>
      </c>
      <c r="DGQ1" s="122" t="s">
        <v>2901</v>
      </c>
      <c r="DGR1" s="122" t="s">
        <v>2902</v>
      </c>
      <c r="DGS1" s="122" t="s">
        <v>2903</v>
      </c>
      <c r="DGT1" s="122" t="s">
        <v>2904</v>
      </c>
      <c r="DGU1" s="122" t="s">
        <v>2905</v>
      </c>
      <c r="DGV1" s="122" t="s">
        <v>2906</v>
      </c>
      <c r="DGW1" s="122" t="s">
        <v>2907</v>
      </c>
      <c r="DGX1" s="122" t="s">
        <v>2908</v>
      </c>
      <c r="DGY1" s="122" t="s">
        <v>2909</v>
      </c>
      <c r="DGZ1" s="122" t="s">
        <v>2910</v>
      </c>
      <c r="DHA1" s="122" t="s">
        <v>2911</v>
      </c>
      <c r="DHB1" s="122" t="s">
        <v>2912</v>
      </c>
      <c r="DHC1" s="122" t="s">
        <v>2913</v>
      </c>
      <c r="DHD1" s="122" t="s">
        <v>2914</v>
      </c>
      <c r="DHE1" s="122" t="s">
        <v>2915</v>
      </c>
      <c r="DHF1" s="122" t="s">
        <v>2916</v>
      </c>
      <c r="DHG1" s="122" t="s">
        <v>2917</v>
      </c>
      <c r="DHH1" s="122" t="s">
        <v>2918</v>
      </c>
      <c r="DHI1" s="122" t="s">
        <v>2919</v>
      </c>
      <c r="DHJ1" s="122" t="s">
        <v>2920</v>
      </c>
      <c r="DHK1" s="122" t="s">
        <v>2921</v>
      </c>
      <c r="DHL1" s="122" t="s">
        <v>2922</v>
      </c>
      <c r="DHM1" s="122" t="s">
        <v>2923</v>
      </c>
      <c r="DHN1" s="122" t="s">
        <v>2924</v>
      </c>
      <c r="DHO1" s="122" t="s">
        <v>2925</v>
      </c>
      <c r="DHP1" s="122" t="s">
        <v>2926</v>
      </c>
      <c r="DHQ1" s="122" t="s">
        <v>2927</v>
      </c>
      <c r="DHR1" s="122" t="s">
        <v>2928</v>
      </c>
      <c r="DHS1" s="122" t="s">
        <v>2929</v>
      </c>
      <c r="DHT1" s="122" t="s">
        <v>2930</v>
      </c>
      <c r="DHU1" s="122" t="s">
        <v>2931</v>
      </c>
      <c r="DHV1" s="122" t="s">
        <v>2932</v>
      </c>
      <c r="DHW1" s="122" t="s">
        <v>2933</v>
      </c>
      <c r="DHX1" s="122" t="s">
        <v>2934</v>
      </c>
      <c r="DHY1" s="122" t="s">
        <v>2935</v>
      </c>
      <c r="DHZ1" s="122" t="s">
        <v>2936</v>
      </c>
      <c r="DIA1" s="122" t="s">
        <v>2937</v>
      </c>
      <c r="DIB1" s="122" t="s">
        <v>2938</v>
      </c>
      <c r="DIC1" s="122" t="s">
        <v>2939</v>
      </c>
      <c r="DID1" s="122" t="s">
        <v>2940</v>
      </c>
      <c r="DIE1" s="122" t="s">
        <v>2941</v>
      </c>
      <c r="DIF1" s="122" t="s">
        <v>2942</v>
      </c>
      <c r="DIG1" s="122" t="s">
        <v>2943</v>
      </c>
      <c r="DIH1" s="122" t="s">
        <v>2944</v>
      </c>
      <c r="DII1" s="122" t="s">
        <v>2945</v>
      </c>
      <c r="DIJ1" s="122" t="s">
        <v>2946</v>
      </c>
      <c r="DIK1" s="122" t="s">
        <v>2947</v>
      </c>
      <c r="DIL1" s="122" t="s">
        <v>2948</v>
      </c>
      <c r="DIM1" s="122" t="s">
        <v>2949</v>
      </c>
      <c r="DIN1" s="122" t="s">
        <v>2950</v>
      </c>
      <c r="DIO1" s="122" t="s">
        <v>2951</v>
      </c>
      <c r="DIP1" s="122" t="s">
        <v>2952</v>
      </c>
      <c r="DIQ1" s="122" t="s">
        <v>2953</v>
      </c>
      <c r="DIR1" s="122" t="s">
        <v>2954</v>
      </c>
      <c r="DIS1" s="122" t="s">
        <v>2955</v>
      </c>
      <c r="DIT1" s="122" t="s">
        <v>2956</v>
      </c>
      <c r="DIU1" s="122" t="s">
        <v>2957</v>
      </c>
      <c r="DIV1" s="122" t="s">
        <v>2958</v>
      </c>
      <c r="DIW1" s="122" t="s">
        <v>2959</v>
      </c>
      <c r="DIX1" s="122" t="s">
        <v>2960</v>
      </c>
      <c r="DIY1" s="122" t="s">
        <v>2961</v>
      </c>
      <c r="DIZ1" s="122" t="s">
        <v>2962</v>
      </c>
      <c r="DJA1" s="122" t="s">
        <v>2963</v>
      </c>
      <c r="DJB1" s="122" t="s">
        <v>2964</v>
      </c>
      <c r="DJC1" s="122" t="s">
        <v>2965</v>
      </c>
      <c r="DJD1" s="122" t="s">
        <v>2966</v>
      </c>
      <c r="DJE1" s="122" t="s">
        <v>2967</v>
      </c>
      <c r="DJF1" s="122" t="s">
        <v>2968</v>
      </c>
      <c r="DJG1" s="122" t="s">
        <v>2969</v>
      </c>
      <c r="DJH1" s="122" t="s">
        <v>2970</v>
      </c>
      <c r="DJI1" s="122" t="s">
        <v>2971</v>
      </c>
      <c r="DJJ1" s="122" t="s">
        <v>2972</v>
      </c>
      <c r="DJK1" s="122" t="s">
        <v>2973</v>
      </c>
      <c r="DJL1" s="122" t="s">
        <v>2974</v>
      </c>
      <c r="DJM1" s="122" t="s">
        <v>2975</v>
      </c>
      <c r="DJN1" s="122" t="s">
        <v>2976</v>
      </c>
      <c r="DJO1" s="122" t="s">
        <v>2977</v>
      </c>
      <c r="DJP1" s="122" t="s">
        <v>2978</v>
      </c>
      <c r="DJQ1" s="122" t="s">
        <v>2979</v>
      </c>
      <c r="DJR1" s="122" t="s">
        <v>2980</v>
      </c>
      <c r="DJS1" s="122" t="s">
        <v>2981</v>
      </c>
      <c r="DJT1" s="122" t="s">
        <v>2982</v>
      </c>
      <c r="DJU1" s="122" t="s">
        <v>2983</v>
      </c>
      <c r="DJV1" s="122" t="s">
        <v>2984</v>
      </c>
      <c r="DJW1" s="122" t="s">
        <v>2985</v>
      </c>
      <c r="DJX1" s="122" t="s">
        <v>2986</v>
      </c>
      <c r="DJY1" s="122" t="s">
        <v>2987</v>
      </c>
      <c r="DJZ1" s="122" t="s">
        <v>2988</v>
      </c>
      <c r="DKA1" s="122" t="s">
        <v>2989</v>
      </c>
      <c r="DKB1" s="122" t="s">
        <v>2990</v>
      </c>
      <c r="DKC1" s="122" t="s">
        <v>2991</v>
      </c>
      <c r="DKD1" s="122" t="s">
        <v>2992</v>
      </c>
      <c r="DKE1" s="122" t="s">
        <v>2993</v>
      </c>
      <c r="DKF1" s="122" t="s">
        <v>2994</v>
      </c>
      <c r="DKG1" s="122" t="s">
        <v>2995</v>
      </c>
      <c r="DKH1" s="122" t="s">
        <v>2996</v>
      </c>
      <c r="DKI1" s="122" t="s">
        <v>2997</v>
      </c>
      <c r="DKJ1" s="122" t="s">
        <v>2998</v>
      </c>
      <c r="DKK1" s="122" t="s">
        <v>2999</v>
      </c>
      <c r="DKL1" s="122" t="s">
        <v>3000</v>
      </c>
      <c r="DKM1" s="122" t="s">
        <v>3001</v>
      </c>
      <c r="DKN1" s="122" t="s">
        <v>3002</v>
      </c>
      <c r="DKO1" s="122" t="s">
        <v>3003</v>
      </c>
      <c r="DKP1" s="122" t="s">
        <v>3004</v>
      </c>
      <c r="DKQ1" s="122" t="s">
        <v>3005</v>
      </c>
      <c r="DKR1" s="122" t="s">
        <v>3006</v>
      </c>
      <c r="DKS1" s="122" t="s">
        <v>3007</v>
      </c>
      <c r="DKT1" s="122" t="s">
        <v>3008</v>
      </c>
      <c r="DKU1" s="122" t="s">
        <v>3009</v>
      </c>
      <c r="DKV1" s="122" t="s">
        <v>3010</v>
      </c>
      <c r="DKW1" s="122" t="s">
        <v>3011</v>
      </c>
      <c r="DKX1" s="122" t="s">
        <v>3012</v>
      </c>
      <c r="DKY1" s="122" t="s">
        <v>3013</v>
      </c>
      <c r="DKZ1" s="122" t="s">
        <v>3014</v>
      </c>
      <c r="DLA1" s="122" t="s">
        <v>3015</v>
      </c>
      <c r="DLB1" s="122" t="s">
        <v>3016</v>
      </c>
      <c r="DLC1" s="122" t="s">
        <v>3017</v>
      </c>
      <c r="DLD1" s="122" t="s">
        <v>3018</v>
      </c>
      <c r="DLE1" s="122" t="s">
        <v>3019</v>
      </c>
      <c r="DLF1" s="122" t="s">
        <v>3020</v>
      </c>
      <c r="DLG1" s="122" t="s">
        <v>3021</v>
      </c>
      <c r="DLH1" s="122" t="s">
        <v>3022</v>
      </c>
      <c r="DLI1" s="122" t="s">
        <v>3023</v>
      </c>
      <c r="DLJ1" s="122" t="s">
        <v>3024</v>
      </c>
      <c r="DLK1" s="122" t="s">
        <v>3025</v>
      </c>
      <c r="DLL1" s="122" t="s">
        <v>3026</v>
      </c>
      <c r="DLM1" s="122" t="s">
        <v>3027</v>
      </c>
      <c r="DLN1" s="122" t="s">
        <v>3028</v>
      </c>
      <c r="DLO1" s="122" t="s">
        <v>3029</v>
      </c>
      <c r="DLP1" s="122" t="s">
        <v>3030</v>
      </c>
      <c r="DLQ1" s="122" t="s">
        <v>3031</v>
      </c>
      <c r="DLR1" s="122" t="s">
        <v>3032</v>
      </c>
      <c r="DLS1" s="122" t="s">
        <v>3033</v>
      </c>
      <c r="DLT1" s="122" t="s">
        <v>3034</v>
      </c>
      <c r="DLU1" s="122" t="s">
        <v>3035</v>
      </c>
      <c r="DLV1" s="122" t="s">
        <v>3036</v>
      </c>
      <c r="DLW1" s="122" t="s">
        <v>3037</v>
      </c>
      <c r="DLX1" s="122" t="s">
        <v>3038</v>
      </c>
      <c r="DLY1" s="122" t="s">
        <v>3039</v>
      </c>
      <c r="DLZ1" s="122" t="s">
        <v>3040</v>
      </c>
      <c r="DMA1" s="122" t="s">
        <v>3041</v>
      </c>
      <c r="DMB1" s="122" t="s">
        <v>3042</v>
      </c>
      <c r="DMC1" s="122" t="s">
        <v>3043</v>
      </c>
      <c r="DMD1" s="122" t="s">
        <v>3044</v>
      </c>
      <c r="DME1" s="122" t="s">
        <v>3045</v>
      </c>
      <c r="DMF1" s="122" t="s">
        <v>3046</v>
      </c>
      <c r="DMG1" s="122" t="s">
        <v>3047</v>
      </c>
      <c r="DMH1" s="122" t="s">
        <v>3048</v>
      </c>
      <c r="DMI1" s="122" t="s">
        <v>3049</v>
      </c>
      <c r="DMJ1" s="122" t="s">
        <v>3050</v>
      </c>
      <c r="DMK1" s="122" t="s">
        <v>3051</v>
      </c>
      <c r="DML1" s="122" t="s">
        <v>3052</v>
      </c>
      <c r="DMM1" s="122" t="s">
        <v>3053</v>
      </c>
      <c r="DMN1" s="122" t="s">
        <v>3054</v>
      </c>
      <c r="DMO1" s="122" t="s">
        <v>3055</v>
      </c>
      <c r="DMP1" s="122" t="s">
        <v>3056</v>
      </c>
      <c r="DMQ1" s="122" t="s">
        <v>3057</v>
      </c>
      <c r="DMR1" s="122" t="s">
        <v>3058</v>
      </c>
      <c r="DMS1" s="122" t="s">
        <v>3059</v>
      </c>
      <c r="DMT1" s="122" t="s">
        <v>3060</v>
      </c>
      <c r="DMU1" s="122" t="s">
        <v>3061</v>
      </c>
      <c r="DMV1" s="122" t="s">
        <v>3062</v>
      </c>
      <c r="DMW1" s="122" t="s">
        <v>3063</v>
      </c>
      <c r="DMX1" s="122" t="s">
        <v>3064</v>
      </c>
      <c r="DMY1" s="122" t="s">
        <v>3065</v>
      </c>
      <c r="DMZ1" s="122" t="s">
        <v>3066</v>
      </c>
      <c r="DNA1" s="122" t="s">
        <v>3067</v>
      </c>
      <c r="DNB1" s="122" t="s">
        <v>3068</v>
      </c>
      <c r="DNC1" s="122" t="s">
        <v>3069</v>
      </c>
      <c r="DND1" s="122" t="s">
        <v>3070</v>
      </c>
      <c r="DNE1" s="122" t="s">
        <v>3071</v>
      </c>
      <c r="DNF1" s="122" t="s">
        <v>3072</v>
      </c>
      <c r="DNG1" s="122" t="s">
        <v>3073</v>
      </c>
      <c r="DNH1" s="122" t="s">
        <v>3074</v>
      </c>
      <c r="DNI1" s="122" t="s">
        <v>3075</v>
      </c>
      <c r="DNJ1" s="122" t="s">
        <v>3076</v>
      </c>
      <c r="DNK1" s="122" t="s">
        <v>3077</v>
      </c>
      <c r="DNL1" s="122" t="s">
        <v>3078</v>
      </c>
      <c r="DNM1" s="122" t="s">
        <v>3079</v>
      </c>
      <c r="DNN1" s="122" t="s">
        <v>3080</v>
      </c>
      <c r="DNO1" s="122" t="s">
        <v>3081</v>
      </c>
      <c r="DNP1" s="122" t="s">
        <v>3082</v>
      </c>
      <c r="DNQ1" s="122" t="s">
        <v>3083</v>
      </c>
      <c r="DNR1" s="122" t="s">
        <v>3084</v>
      </c>
      <c r="DNS1" s="122" t="s">
        <v>3085</v>
      </c>
      <c r="DNT1" s="122" t="s">
        <v>3086</v>
      </c>
      <c r="DNU1" s="122" t="s">
        <v>3087</v>
      </c>
      <c r="DNV1" s="122" t="s">
        <v>3088</v>
      </c>
      <c r="DNW1" s="122" t="s">
        <v>3089</v>
      </c>
      <c r="DNX1" s="122" t="s">
        <v>3090</v>
      </c>
      <c r="DNY1" s="122" t="s">
        <v>3091</v>
      </c>
      <c r="DNZ1" s="122" t="s">
        <v>3092</v>
      </c>
      <c r="DOA1" s="122" t="s">
        <v>3093</v>
      </c>
      <c r="DOB1" s="122" t="s">
        <v>3094</v>
      </c>
      <c r="DOC1" s="122" t="s">
        <v>3095</v>
      </c>
      <c r="DOD1" s="122" t="s">
        <v>3096</v>
      </c>
      <c r="DOE1" s="122" t="s">
        <v>3097</v>
      </c>
      <c r="DOF1" s="122" t="s">
        <v>3098</v>
      </c>
      <c r="DOG1" s="122" t="s">
        <v>3099</v>
      </c>
      <c r="DOH1" s="122" t="s">
        <v>3100</v>
      </c>
      <c r="DOI1" s="122" t="s">
        <v>3101</v>
      </c>
      <c r="DOJ1" s="122" t="s">
        <v>3102</v>
      </c>
      <c r="DOK1" s="122" t="s">
        <v>3103</v>
      </c>
      <c r="DOL1" s="122" t="s">
        <v>3104</v>
      </c>
      <c r="DOM1" s="122" t="s">
        <v>3105</v>
      </c>
      <c r="DON1" s="122" t="s">
        <v>3106</v>
      </c>
      <c r="DOO1" s="122" t="s">
        <v>3107</v>
      </c>
      <c r="DOP1" s="122" t="s">
        <v>3108</v>
      </c>
      <c r="DOQ1" s="122" t="s">
        <v>3109</v>
      </c>
      <c r="DOR1" s="122" t="s">
        <v>3110</v>
      </c>
      <c r="DOS1" s="122" t="s">
        <v>3111</v>
      </c>
      <c r="DOT1" s="122" t="s">
        <v>3112</v>
      </c>
      <c r="DOU1" s="122" t="s">
        <v>3113</v>
      </c>
      <c r="DOV1" s="122" t="s">
        <v>3114</v>
      </c>
      <c r="DOW1" s="122" t="s">
        <v>3115</v>
      </c>
      <c r="DOX1" s="122" t="s">
        <v>3116</v>
      </c>
      <c r="DOY1" s="122" t="s">
        <v>3117</v>
      </c>
      <c r="DOZ1" s="122" t="s">
        <v>3118</v>
      </c>
      <c r="DPA1" s="122" t="s">
        <v>3119</v>
      </c>
      <c r="DPB1" s="122" t="s">
        <v>3120</v>
      </c>
      <c r="DPC1" s="122" t="s">
        <v>3121</v>
      </c>
      <c r="DPD1" s="122" t="s">
        <v>3122</v>
      </c>
      <c r="DPE1" s="122" t="s">
        <v>3123</v>
      </c>
      <c r="DPF1" s="122" t="s">
        <v>3124</v>
      </c>
      <c r="DPG1" s="122" t="s">
        <v>3125</v>
      </c>
      <c r="DPH1" s="122" t="s">
        <v>3126</v>
      </c>
      <c r="DPI1" s="122" t="s">
        <v>3127</v>
      </c>
      <c r="DPJ1" s="122" t="s">
        <v>3128</v>
      </c>
      <c r="DPK1" s="122" t="s">
        <v>3129</v>
      </c>
      <c r="DPL1" s="122" t="s">
        <v>3130</v>
      </c>
      <c r="DPM1" s="122" t="s">
        <v>3131</v>
      </c>
      <c r="DPN1" s="122" t="s">
        <v>3132</v>
      </c>
      <c r="DPO1" s="122" t="s">
        <v>3133</v>
      </c>
      <c r="DPP1" s="122" t="s">
        <v>3134</v>
      </c>
      <c r="DPQ1" s="122" t="s">
        <v>3135</v>
      </c>
      <c r="DPR1" s="122" t="s">
        <v>3136</v>
      </c>
      <c r="DPS1" s="122" t="s">
        <v>3137</v>
      </c>
      <c r="DPT1" s="122" t="s">
        <v>3138</v>
      </c>
      <c r="DPU1" s="122" t="s">
        <v>3139</v>
      </c>
      <c r="DPV1" s="122" t="s">
        <v>3140</v>
      </c>
      <c r="DPW1" s="122" t="s">
        <v>3141</v>
      </c>
      <c r="DPX1" s="122" t="s">
        <v>3142</v>
      </c>
      <c r="DPY1" s="122" t="s">
        <v>3143</v>
      </c>
      <c r="DPZ1" s="122" t="s">
        <v>3144</v>
      </c>
      <c r="DQA1" s="122" t="s">
        <v>3145</v>
      </c>
      <c r="DQB1" s="122" t="s">
        <v>3146</v>
      </c>
      <c r="DQC1" s="122" t="s">
        <v>3147</v>
      </c>
      <c r="DQD1" s="122" t="s">
        <v>3148</v>
      </c>
      <c r="DQE1" s="122" t="s">
        <v>3149</v>
      </c>
      <c r="DQF1" s="122" t="s">
        <v>3150</v>
      </c>
      <c r="DQG1" s="122" t="s">
        <v>3151</v>
      </c>
      <c r="DQH1" s="122" t="s">
        <v>3152</v>
      </c>
      <c r="DQI1" s="122" t="s">
        <v>3153</v>
      </c>
      <c r="DQJ1" s="122" t="s">
        <v>3154</v>
      </c>
      <c r="DQK1" s="122" t="s">
        <v>3155</v>
      </c>
      <c r="DQL1" s="122" t="s">
        <v>3156</v>
      </c>
      <c r="DQM1" s="122" t="s">
        <v>3157</v>
      </c>
      <c r="DQN1" s="122" t="s">
        <v>3158</v>
      </c>
      <c r="DQO1" s="122" t="s">
        <v>3159</v>
      </c>
      <c r="DQP1" s="122" t="s">
        <v>3160</v>
      </c>
      <c r="DQQ1" s="122" t="s">
        <v>3161</v>
      </c>
      <c r="DQR1" s="122" t="s">
        <v>3162</v>
      </c>
      <c r="DQS1" s="122" t="s">
        <v>3163</v>
      </c>
      <c r="DQT1" s="122" t="s">
        <v>3164</v>
      </c>
      <c r="DQU1" s="122" t="s">
        <v>3165</v>
      </c>
      <c r="DQV1" s="122" t="s">
        <v>3166</v>
      </c>
      <c r="DQW1" s="122" t="s">
        <v>3167</v>
      </c>
      <c r="DQX1" s="122" t="s">
        <v>3168</v>
      </c>
      <c r="DQY1" s="122" t="s">
        <v>3169</v>
      </c>
      <c r="DQZ1" s="122" t="s">
        <v>3170</v>
      </c>
      <c r="DRA1" s="122" t="s">
        <v>3171</v>
      </c>
      <c r="DRB1" s="122" t="s">
        <v>3172</v>
      </c>
      <c r="DRC1" s="122" t="s">
        <v>3173</v>
      </c>
      <c r="DRD1" s="122" t="s">
        <v>3174</v>
      </c>
      <c r="DRE1" s="122" t="s">
        <v>3175</v>
      </c>
      <c r="DRF1" s="122" t="s">
        <v>3176</v>
      </c>
      <c r="DRG1" s="122" t="s">
        <v>3177</v>
      </c>
      <c r="DRH1" s="122" t="s">
        <v>3178</v>
      </c>
      <c r="DRI1" s="122" t="s">
        <v>3179</v>
      </c>
      <c r="DRJ1" s="122" t="s">
        <v>3180</v>
      </c>
      <c r="DRK1" s="122" t="s">
        <v>3181</v>
      </c>
      <c r="DRL1" s="122" t="s">
        <v>3182</v>
      </c>
      <c r="DRM1" s="122" t="s">
        <v>3183</v>
      </c>
      <c r="DRN1" s="122" t="s">
        <v>3184</v>
      </c>
      <c r="DRO1" s="122" t="s">
        <v>3185</v>
      </c>
      <c r="DRP1" s="122" t="s">
        <v>3186</v>
      </c>
      <c r="DRQ1" s="122" t="s">
        <v>3187</v>
      </c>
      <c r="DRR1" s="122" t="s">
        <v>3188</v>
      </c>
      <c r="DRS1" s="122" t="s">
        <v>3189</v>
      </c>
      <c r="DRT1" s="122" t="s">
        <v>3190</v>
      </c>
      <c r="DRU1" s="122" t="s">
        <v>3191</v>
      </c>
      <c r="DRV1" s="122" t="s">
        <v>3192</v>
      </c>
      <c r="DRW1" s="122" t="s">
        <v>3193</v>
      </c>
      <c r="DRX1" s="122" t="s">
        <v>3194</v>
      </c>
      <c r="DRY1" s="122" t="s">
        <v>3195</v>
      </c>
      <c r="DRZ1" s="122" t="s">
        <v>3196</v>
      </c>
      <c r="DSA1" s="122" t="s">
        <v>3197</v>
      </c>
      <c r="DSB1" s="122" t="s">
        <v>3198</v>
      </c>
      <c r="DSC1" s="122" t="s">
        <v>3199</v>
      </c>
      <c r="DSD1" s="122" t="s">
        <v>3200</v>
      </c>
      <c r="DSE1" s="122" t="s">
        <v>3201</v>
      </c>
      <c r="DSF1" s="122" t="s">
        <v>3202</v>
      </c>
      <c r="DSG1" s="122" t="s">
        <v>3203</v>
      </c>
      <c r="DSH1" s="122" t="s">
        <v>3204</v>
      </c>
      <c r="DSI1" s="122" t="s">
        <v>3205</v>
      </c>
      <c r="DSJ1" s="122" t="s">
        <v>3206</v>
      </c>
      <c r="DSK1" s="122" t="s">
        <v>3207</v>
      </c>
      <c r="DSL1" s="122" t="s">
        <v>3208</v>
      </c>
      <c r="DSM1" s="122" t="s">
        <v>3209</v>
      </c>
      <c r="DSN1" s="122" t="s">
        <v>3210</v>
      </c>
      <c r="DSO1" s="122" t="s">
        <v>3211</v>
      </c>
      <c r="DSP1" s="122" t="s">
        <v>3212</v>
      </c>
      <c r="DSQ1" s="122" t="s">
        <v>3213</v>
      </c>
      <c r="DSR1" s="122" t="s">
        <v>3214</v>
      </c>
      <c r="DSS1" s="122" t="s">
        <v>3215</v>
      </c>
      <c r="DST1" s="122" t="s">
        <v>3216</v>
      </c>
      <c r="DSU1" s="122" t="s">
        <v>3217</v>
      </c>
      <c r="DSV1" s="122" t="s">
        <v>3218</v>
      </c>
      <c r="DSW1" s="122" t="s">
        <v>3219</v>
      </c>
      <c r="DSX1" s="122" t="s">
        <v>3220</v>
      </c>
      <c r="DSY1" s="122" t="s">
        <v>3221</v>
      </c>
      <c r="DSZ1" s="122" t="s">
        <v>3222</v>
      </c>
      <c r="DTA1" s="122" t="s">
        <v>3223</v>
      </c>
      <c r="DTB1" s="122" t="s">
        <v>3224</v>
      </c>
      <c r="DTC1" s="122" t="s">
        <v>3225</v>
      </c>
      <c r="DTD1" s="122" t="s">
        <v>3226</v>
      </c>
      <c r="DTE1" s="122" t="s">
        <v>3227</v>
      </c>
      <c r="DTF1" s="122" t="s">
        <v>3228</v>
      </c>
      <c r="DTG1" s="122" t="s">
        <v>3229</v>
      </c>
      <c r="DTH1" s="122" t="s">
        <v>3230</v>
      </c>
      <c r="DTI1" s="122" t="s">
        <v>3231</v>
      </c>
      <c r="DTJ1" s="122" t="s">
        <v>3232</v>
      </c>
      <c r="DTK1" s="122" t="s">
        <v>3233</v>
      </c>
      <c r="DTL1" s="122" t="s">
        <v>3234</v>
      </c>
      <c r="DTM1" s="122" t="s">
        <v>3235</v>
      </c>
      <c r="DTN1" s="122" t="s">
        <v>3236</v>
      </c>
      <c r="DTO1" s="122" t="s">
        <v>3237</v>
      </c>
      <c r="DTP1" s="122" t="s">
        <v>3238</v>
      </c>
      <c r="DTQ1" s="122" t="s">
        <v>3239</v>
      </c>
      <c r="DTR1" s="122" t="s">
        <v>3240</v>
      </c>
      <c r="DTS1" s="122" t="s">
        <v>3241</v>
      </c>
      <c r="DTT1" s="122" t="s">
        <v>3242</v>
      </c>
      <c r="DTU1" s="122" t="s">
        <v>3243</v>
      </c>
      <c r="DTV1" s="122" t="s">
        <v>3244</v>
      </c>
      <c r="DTW1" s="122" t="s">
        <v>3245</v>
      </c>
      <c r="DTX1" s="122" t="s">
        <v>3246</v>
      </c>
      <c r="DTY1" s="122" t="s">
        <v>3247</v>
      </c>
      <c r="DTZ1" s="122" t="s">
        <v>3248</v>
      </c>
      <c r="DUA1" s="122" t="s">
        <v>3249</v>
      </c>
      <c r="DUB1" s="122" t="s">
        <v>3250</v>
      </c>
      <c r="DUC1" s="122" t="s">
        <v>3251</v>
      </c>
      <c r="DUD1" s="122" t="s">
        <v>3252</v>
      </c>
      <c r="DUE1" s="122" t="s">
        <v>3253</v>
      </c>
      <c r="DUF1" s="122" t="s">
        <v>3254</v>
      </c>
      <c r="DUG1" s="122" t="s">
        <v>3255</v>
      </c>
      <c r="DUH1" s="122" t="s">
        <v>3256</v>
      </c>
      <c r="DUI1" s="122" t="s">
        <v>3257</v>
      </c>
      <c r="DUJ1" s="122" t="s">
        <v>3258</v>
      </c>
      <c r="DUK1" s="122" t="s">
        <v>3259</v>
      </c>
      <c r="DUL1" s="122" t="s">
        <v>3260</v>
      </c>
      <c r="DUM1" s="122" t="s">
        <v>3261</v>
      </c>
      <c r="DUN1" s="122" t="s">
        <v>3262</v>
      </c>
      <c r="DUO1" s="122" t="s">
        <v>3263</v>
      </c>
      <c r="DUP1" s="122" t="s">
        <v>3264</v>
      </c>
      <c r="DUQ1" s="122" t="s">
        <v>3265</v>
      </c>
      <c r="DUR1" s="122" t="s">
        <v>3266</v>
      </c>
      <c r="DUS1" s="122" t="s">
        <v>3267</v>
      </c>
      <c r="DUT1" s="122" t="s">
        <v>3268</v>
      </c>
      <c r="DUU1" s="122" t="s">
        <v>3269</v>
      </c>
      <c r="DUV1" s="122" t="s">
        <v>3270</v>
      </c>
      <c r="DUW1" s="122" t="s">
        <v>3271</v>
      </c>
      <c r="DUX1" s="122" t="s">
        <v>3272</v>
      </c>
      <c r="DUY1" s="122" t="s">
        <v>3273</v>
      </c>
      <c r="DUZ1" s="122" t="s">
        <v>3274</v>
      </c>
      <c r="DVA1" s="122" t="s">
        <v>3275</v>
      </c>
      <c r="DVB1" s="122" t="s">
        <v>3276</v>
      </c>
      <c r="DVC1" s="122" t="s">
        <v>3277</v>
      </c>
      <c r="DVD1" s="122" t="s">
        <v>3278</v>
      </c>
      <c r="DVE1" s="122" t="s">
        <v>3279</v>
      </c>
      <c r="DVF1" s="122" t="s">
        <v>3280</v>
      </c>
      <c r="DVG1" s="122" t="s">
        <v>3281</v>
      </c>
      <c r="DVH1" s="122" t="s">
        <v>3282</v>
      </c>
      <c r="DVI1" s="122" t="s">
        <v>3283</v>
      </c>
      <c r="DVJ1" s="122" t="s">
        <v>3284</v>
      </c>
      <c r="DVK1" s="122" t="s">
        <v>3285</v>
      </c>
      <c r="DVL1" s="122" t="s">
        <v>3286</v>
      </c>
      <c r="DVM1" s="122" t="s">
        <v>3287</v>
      </c>
      <c r="DVN1" s="122" t="s">
        <v>3288</v>
      </c>
      <c r="DVO1" s="122" t="s">
        <v>3289</v>
      </c>
      <c r="DVP1" s="122" t="s">
        <v>3290</v>
      </c>
      <c r="DVQ1" s="122" t="s">
        <v>3291</v>
      </c>
      <c r="DVR1" s="122" t="s">
        <v>3292</v>
      </c>
      <c r="DVS1" s="122" t="s">
        <v>3293</v>
      </c>
      <c r="DVT1" s="122" t="s">
        <v>3294</v>
      </c>
      <c r="DVU1" s="122" t="s">
        <v>3295</v>
      </c>
      <c r="DVV1" s="122" t="s">
        <v>3296</v>
      </c>
      <c r="DVW1" s="122" t="s">
        <v>3297</v>
      </c>
      <c r="DVX1" s="122" t="s">
        <v>3298</v>
      </c>
      <c r="DVY1" s="122" t="s">
        <v>3299</v>
      </c>
      <c r="DVZ1" s="122" t="s">
        <v>3300</v>
      </c>
      <c r="DWA1" s="122" t="s">
        <v>3301</v>
      </c>
      <c r="DWB1" s="122" t="s">
        <v>3302</v>
      </c>
      <c r="DWC1" s="122" t="s">
        <v>3303</v>
      </c>
      <c r="DWD1" s="122" t="s">
        <v>3304</v>
      </c>
      <c r="DWE1" s="122" t="s">
        <v>3305</v>
      </c>
      <c r="DWF1" s="122" t="s">
        <v>3306</v>
      </c>
      <c r="DWG1" s="122" t="s">
        <v>3307</v>
      </c>
      <c r="DWH1" s="122" t="s">
        <v>3308</v>
      </c>
      <c r="DWI1" s="122" t="s">
        <v>3309</v>
      </c>
      <c r="DWJ1" s="122" t="s">
        <v>3310</v>
      </c>
      <c r="DWK1" s="122" t="s">
        <v>3311</v>
      </c>
      <c r="DWL1" s="122" t="s">
        <v>3312</v>
      </c>
      <c r="DWM1" s="122" t="s">
        <v>3313</v>
      </c>
      <c r="DWN1" s="122" t="s">
        <v>3314</v>
      </c>
      <c r="DWO1" s="122" t="s">
        <v>3315</v>
      </c>
      <c r="DWP1" s="122" t="s">
        <v>3316</v>
      </c>
      <c r="DWQ1" s="122" t="s">
        <v>3317</v>
      </c>
      <c r="DWR1" s="122" t="s">
        <v>3318</v>
      </c>
      <c r="DWS1" s="122" t="s">
        <v>3319</v>
      </c>
      <c r="DWT1" s="122" t="s">
        <v>3320</v>
      </c>
      <c r="DWU1" s="122" t="s">
        <v>3321</v>
      </c>
      <c r="DWV1" s="122" t="s">
        <v>3322</v>
      </c>
      <c r="DWW1" s="122" t="s">
        <v>3323</v>
      </c>
      <c r="DWX1" s="122" t="s">
        <v>3324</v>
      </c>
      <c r="DWY1" s="122" t="s">
        <v>3325</v>
      </c>
      <c r="DWZ1" s="122" t="s">
        <v>3326</v>
      </c>
      <c r="DXA1" s="122" t="s">
        <v>3327</v>
      </c>
      <c r="DXB1" s="122" t="s">
        <v>3328</v>
      </c>
      <c r="DXC1" s="122" t="s">
        <v>3329</v>
      </c>
      <c r="DXD1" s="122" t="s">
        <v>3330</v>
      </c>
      <c r="DXE1" s="122" t="s">
        <v>3331</v>
      </c>
      <c r="DXF1" s="122" t="s">
        <v>3332</v>
      </c>
      <c r="DXG1" s="122" t="s">
        <v>3333</v>
      </c>
      <c r="DXH1" s="122" t="s">
        <v>3334</v>
      </c>
      <c r="DXI1" s="122" t="s">
        <v>3335</v>
      </c>
      <c r="DXJ1" s="122" t="s">
        <v>3336</v>
      </c>
      <c r="DXK1" s="122" t="s">
        <v>3337</v>
      </c>
      <c r="DXL1" s="122" t="s">
        <v>3338</v>
      </c>
      <c r="DXM1" s="122" t="s">
        <v>3339</v>
      </c>
      <c r="DXN1" s="122" t="s">
        <v>3340</v>
      </c>
      <c r="DXO1" s="122" t="s">
        <v>3341</v>
      </c>
      <c r="DXP1" s="122" t="s">
        <v>3342</v>
      </c>
      <c r="DXQ1" s="122" t="s">
        <v>3343</v>
      </c>
      <c r="DXR1" s="122" t="s">
        <v>3344</v>
      </c>
      <c r="DXS1" s="122" t="s">
        <v>3345</v>
      </c>
      <c r="DXT1" s="122" t="s">
        <v>3346</v>
      </c>
      <c r="DXU1" s="122" t="s">
        <v>3347</v>
      </c>
      <c r="DXV1" s="122" t="s">
        <v>3348</v>
      </c>
      <c r="DXW1" s="122" t="s">
        <v>3349</v>
      </c>
      <c r="DXX1" s="122" t="s">
        <v>3350</v>
      </c>
      <c r="DXY1" s="122" t="s">
        <v>3351</v>
      </c>
      <c r="DXZ1" s="122" t="s">
        <v>3352</v>
      </c>
      <c r="DYA1" s="122" t="s">
        <v>3353</v>
      </c>
      <c r="DYB1" s="122" t="s">
        <v>3354</v>
      </c>
      <c r="DYC1" s="122" t="s">
        <v>3355</v>
      </c>
      <c r="DYD1" s="122" t="s">
        <v>3356</v>
      </c>
      <c r="DYE1" s="122" t="s">
        <v>3357</v>
      </c>
      <c r="DYF1" s="122" t="s">
        <v>3358</v>
      </c>
      <c r="DYG1" s="122" t="s">
        <v>3359</v>
      </c>
      <c r="DYH1" s="122" t="s">
        <v>3360</v>
      </c>
      <c r="DYI1" s="122" t="s">
        <v>3361</v>
      </c>
      <c r="DYJ1" s="122" t="s">
        <v>3362</v>
      </c>
      <c r="DYK1" s="122" t="s">
        <v>3363</v>
      </c>
      <c r="DYL1" s="122" t="s">
        <v>3364</v>
      </c>
      <c r="DYM1" s="122" t="s">
        <v>3365</v>
      </c>
      <c r="DYN1" s="122" t="s">
        <v>3366</v>
      </c>
      <c r="DYO1" s="122" t="s">
        <v>3367</v>
      </c>
      <c r="DYP1" s="122" t="s">
        <v>3368</v>
      </c>
      <c r="DYQ1" s="122" t="s">
        <v>3369</v>
      </c>
      <c r="DYR1" s="122" t="s">
        <v>3370</v>
      </c>
      <c r="DYS1" s="122" t="s">
        <v>3371</v>
      </c>
      <c r="DYT1" s="122" t="s">
        <v>3372</v>
      </c>
      <c r="DYU1" s="122" t="s">
        <v>3373</v>
      </c>
      <c r="DYV1" s="122" t="s">
        <v>3374</v>
      </c>
      <c r="DYW1" s="122" t="s">
        <v>3375</v>
      </c>
      <c r="DYX1" s="122" t="s">
        <v>3376</v>
      </c>
      <c r="DYY1" s="122" t="s">
        <v>3377</v>
      </c>
      <c r="DYZ1" s="122" t="s">
        <v>3378</v>
      </c>
      <c r="DZA1" s="122" t="s">
        <v>3379</v>
      </c>
      <c r="DZB1" s="122" t="s">
        <v>3380</v>
      </c>
      <c r="DZC1" s="122" t="s">
        <v>3381</v>
      </c>
      <c r="DZD1" s="122" t="s">
        <v>3382</v>
      </c>
      <c r="DZE1" s="122" t="s">
        <v>3383</v>
      </c>
      <c r="DZF1" s="122" t="s">
        <v>3384</v>
      </c>
      <c r="DZG1" s="122" t="s">
        <v>3385</v>
      </c>
      <c r="DZH1" s="122" t="s">
        <v>3386</v>
      </c>
      <c r="DZI1" s="122" t="s">
        <v>3387</v>
      </c>
      <c r="DZJ1" s="122" t="s">
        <v>3388</v>
      </c>
      <c r="DZK1" s="122" t="s">
        <v>3389</v>
      </c>
      <c r="DZL1" s="122" t="s">
        <v>3390</v>
      </c>
      <c r="DZM1" s="122" t="s">
        <v>3391</v>
      </c>
      <c r="DZN1" s="122" t="s">
        <v>3392</v>
      </c>
      <c r="DZO1" s="122" t="s">
        <v>3393</v>
      </c>
      <c r="DZP1" s="122" t="s">
        <v>3394</v>
      </c>
      <c r="DZQ1" s="122" t="s">
        <v>3395</v>
      </c>
      <c r="DZR1" s="122" t="s">
        <v>3396</v>
      </c>
      <c r="DZS1" s="122" t="s">
        <v>3397</v>
      </c>
      <c r="DZT1" s="122" t="s">
        <v>3398</v>
      </c>
      <c r="DZU1" s="122" t="s">
        <v>3399</v>
      </c>
      <c r="DZV1" s="122" t="s">
        <v>3400</v>
      </c>
      <c r="DZW1" s="122" t="s">
        <v>3401</v>
      </c>
      <c r="DZX1" s="122" t="s">
        <v>3402</v>
      </c>
      <c r="DZY1" s="122" t="s">
        <v>3403</v>
      </c>
      <c r="DZZ1" s="122" t="s">
        <v>3404</v>
      </c>
      <c r="EAA1" s="122" t="s">
        <v>3405</v>
      </c>
      <c r="EAB1" s="122" t="s">
        <v>3406</v>
      </c>
      <c r="EAC1" s="122" t="s">
        <v>3407</v>
      </c>
      <c r="EAD1" s="122" t="s">
        <v>3408</v>
      </c>
      <c r="EAE1" s="122" t="s">
        <v>3409</v>
      </c>
      <c r="EAF1" s="122" t="s">
        <v>3410</v>
      </c>
      <c r="EAG1" s="122" t="s">
        <v>3411</v>
      </c>
      <c r="EAH1" s="122" t="s">
        <v>3412</v>
      </c>
      <c r="EAI1" s="122" t="s">
        <v>3413</v>
      </c>
      <c r="EAJ1" s="122" t="s">
        <v>3414</v>
      </c>
      <c r="EAK1" s="122" t="s">
        <v>3415</v>
      </c>
      <c r="EAL1" s="122" t="s">
        <v>3416</v>
      </c>
      <c r="EAM1" s="122" t="s">
        <v>3417</v>
      </c>
      <c r="EAN1" s="122" t="s">
        <v>3418</v>
      </c>
      <c r="EAO1" s="122" t="s">
        <v>3419</v>
      </c>
      <c r="EAP1" s="122" t="s">
        <v>3420</v>
      </c>
      <c r="EAQ1" s="122" t="s">
        <v>3421</v>
      </c>
      <c r="EAR1" s="122" t="s">
        <v>3422</v>
      </c>
      <c r="EAS1" s="122" t="s">
        <v>3423</v>
      </c>
      <c r="EAT1" s="122" t="s">
        <v>3424</v>
      </c>
      <c r="EAU1" s="122" t="s">
        <v>3425</v>
      </c>
      <c r="EAV1" s="122" t="s">
        <v>3426</v>
      </c>
      <c r="EAW1" s="122" t="s">
        <v>3427</v>
      </c>
      <c r="EAX1" s="122" t="s">
        <v>3428</v>
      </c>
      <c r="EAY1" s="122" t="s">
        <v>3429</v>
      </c>
      <c r="EAZ1" s="122" t="s">
        <v>3430</v>
      </c>
      <c r="EBA1" s="122" t="s">
        <v>3431</v>
      </c>
      <c r="EBB1" s="122" t="s">
        <v>3432</v>
      </c>
      <c r="EBC1" s="122" t="s">
        <v>3433</v>
      </c>
      <c r="EBD1" s="122" t="s">
        <v>3434</v>
      </c>
      <c r="EBE1" s="122" t="s">
        <v>3435</v>
      </c>
      <c r="EBF1" s="122" t="s">
        <v>3436</v>
      </c>
      <c r="EBG1" s="122" t="s">
        <v>3437</v>
      </c>
      <c r="EBH1" s="122" t="s">
        <v>3438</v>
      </c>
      <c r="EBI1" s="122" t="s">
        <v>3439</v>
      </c>
      <c r="EBJ1" s="122" t="s">
        <v>3440</v>
      </c>
      <c r="EBK1" s="122" t="s">
        <v>3441</v>
      </c>
      <c r="EBL1" s="122" t="s">
        <v>3442</v>
      </c>
      <c r="EBM1" s="122" t="s">
        <v>3443</v>
      </c>
      <c r="EBN1" s="122" t="s">
        <v>3444</v>
      </c>
      <c r="EBO1" s="122" t="s">
        <v>3445</v>
      </c>
      <c r="EBP1" s="122" t="s">
        <v>3446</v>
      </c>
      <c r="EBQ1" s="122" t="s">
        <v>3447</v>
      </c>
      <c r="EBR1" s="122" t="s">
        <v>3448</v>
      </c>
      <c r="EBS1" s="122" t="s">
        <v>3449</v>
      </c>
      <c r="EBT1" s="122" t="s">
        <v>3450</v>
      </c>
      <c r="EBU1" s="122" t="s">
        <v>3451</v>
      </c>
      <c r="EBV1" s="122" t="s">
        <v>3452</v>
      </c>
      <c r="EBW1" s="122" t="s">
        <v>3453</v>
      </c>
      <c r="EBX1" s="122" t="s">
        <v>3454</v>
      </c>
      <c r="EBY1" s="122" t="s">
        <v>3455</v>
      </c>
      <c r="EBZ1" s="122" t="s">
        <v>3456</v>
      </c>
      <c r="ECA1" s="122" t="s">
        <v>3457</v>
      </c>
      <c r="ECB1" s="122" t="s">
        <v>3458</v>
      </c>
      <c r="ECC1" s="122" t="s">
        <v>3459</v>
      </c>
      <c r="ECD1" s="122" t="s">
        <v>3460</v>
      </c>
      <c r="ECE1" s="122" t="s">
        <v>3461</v>
      </c>
      <c r="ECF1" s="122" t="s">
        <v>3462</v>
      </c>
      <c r="ECG1" s="122" t="s">
        <v>3463</v>
      </c>
      <c r="ECH1" s="122" t="s">
        <v>3464</v>
      </c>
      <c r="ECI1" s="122" t="s">
        <v>3465</v>
      </c>
      <c r="ECJ1" s="122" t="s">
        <v>3466</v>
      </c>
      <c r="ECK1" s="122" t="s">
        <v>3467</v>
      </c>
      <c r="ECL1" s="122" t="s">
        <v>3468</v>
      </c>
      <c r="ECM1" s="122" t="s">
        <v>3469</v>
      </c>
      <c r="ECN1" s="122" t="s">
        <v>3470</v>
      </c>
      <c r="ECO1" s="122" t="s">
        <v>3471</v>
      </c>
      <c r="ECP1" s="122" t="s">
        <v>3472</v>
      </c>
      <c r="ECQ1" s="122" t="s">
        <v>3473</v>
      </c>
      <c r="ECR1" s="122" t="s">
        <v>3474</v>
      </c>
      <c r="ECS1" s="122" t="s">
        <v>3475</v>
      </c>
      <c r="ECT1" s="122" t="s">
        <v>3476</v>
      </c>
      <c r="ECU1" s="122" t="s">
        <v>3477</v>
      </c>
      <c r="ECV1" s="122" t="s">
        <v>3478</v>
      </c>
      <c r="ECW1" s="122" t="s">
        <v>3479</v>
      </c>
      <c r="ECX1" s="122" t="s">
        <v>3480</v>
      </c>
      <c r="ECY1" s="122" t="s">
        <v>3481</v>
      </c>
      <c r="ECZ1" s="122" t="s">
        <v>3482</v>
      </c>
      <c r="EDA1" s="122" t="s">
        <v>3483</v>
      </c>
      <c r="EDB1" s="122" t="s">
        <v>3484</v>
      </c>
      <c r="EDC1" s="122" t="s">
        <v>3485</v>
      </c>
      <c r="EDD1" s="122" t="s">
        <v>3486</v>
      </c>
      <c r="EDE1" s="122" t="s">
        <v>3487</v>
      </c>
      <c r="EDF1" s="122" t="s">
        <v>3488</v>
      </c>
      <c r="EDG1" s="122" t="s">
        <v>3489</v>
      </c>
      <c r="EDH1" s="122" t="s">
        <v>3490</v>
      </c>
      <c r="EDI1" s="122" t="s">
        <v>3491</v>
      </c>
      <c r="EDJ1" s="122" t="s">
        <v>3492</v>
      </c>
      <c r="EDK1" s="122" t="s">
        <v>3493</v>
      </c>
      <c r="EDL1" s="122" t="s">
        <v>3494</v>
      </c>
      <c r="EDM1" s="122" t="s">
        <v>3495</v>
      </c>
      <c r="EDN1" s="122" t="s">
        <v>3496</v>
      </c>
      <c r="EDO1" s="122" t="s">
        <v>3497</v>
      </c>
      <c r="EDP1" s="122" t="s">
        <v>3498</v>
      </c>
      <c r="EDQ1" s="122" t="s">
        <v>3499</v>
      </c>
      <c r="EDR1" s="122" t="s">
        <v>3500</v>
      </c>
      <c r="EDS1" s="122" t="s">
        <v>3501</v>
      </c>
      <c r="EDT1" s="122" t="s">
        <v>3502</v>
      </c>
      <c r="EDU1" s="122" t="s">
        <v>3503</v>
      </c>
      <c r="EDV1" s="122" t="s">
        <v>3504</v>
      </c>
      <c r="EDW1" s="122" t="s">
        <v>3505</v>
      </c>
      <c r="EDX1" s="122" t="s">
        <v>3506</v>
      </c>
      <c r="EDY1" s="122" t="s">
        <v>3507</v>
      </c>
      <c r="EDZ1" s="122" t="s">
        <v>3508</v>
      </c>
      <c r="EEA1" s="122" t="s">
        <v>3509</v>
      </c>
      <c r="EEB1" s="122" t="s">
        <v>3510</v>
      </c>
      <c r="EEC1" s="122" t="s">
        <v>3511</v>
      </c>
      <c r="EED1" s="122" t="s">
        <v>3512</v>
      </c>
      <c r="EEE1" s="122" t="s">
        <v>3513</v>
      </c>
      <c r="EEF1" s="122" t="s">
        <v>3514</v>
      </c>
      <c r="EEG1" s="122" t="s">
        <v>3515</v>
      </c>
      <c r="EEH1" s="122" t="s">
        <v>3516</v>
      </c>
      <c r="EEI1" s="122" t="s">
        <v>3517</v>
      </c>
      <c r="EEJ1" s="122" t="s">
        <v>3518</v>
      </c>
      <c r="EEK1" s="122" t="s">
        <v>3519</v>
      </c>
      <c r="EEL1" s="122" t="s">
        <v>3520</v>
      </c>
      <c r="EEM1" s="122" t="s">
        <v>3521</v>
      </c>
      <c r="EEN1" s="122" t="s">
        <v>3522</v>
      </c>
      <c r="EEO1" s="122" t="s">
        <v>3523</v>
      </c>
      <c r="EEP1" s="122" t="s">
        <v>3524</v>
      </c>
      <c r="EEQ1" s="122" t="s">
        <v>3525</v>
      </c>
      <c r="EER1" s="122" t="s">
        <v>3526</v>
      </c>
      <c r="EES1" s="122" t="s">
        <v>3527</v>
      </c>
      <c r="EET1" s="122" t="s">
        <v>3528</v>
      </c>
      <c r="EEU1" s="122" t="s">
        <v>3529</v>
      </c>
      <c r="EEV1" s="122" t="s">
        <v>3530</v>
      </c>
      <c r="EEW1" s="122" t="s">
        <v>3531</v>
      </c>
      <c r="EEX1" s="122" t="s">
        <v>3532</v>
      </c>
      <c r="EEY1" s="122" t="s">
        <v>3533</v>
      </c>
      <c r="EEZ1" s="122" t="s">
        <v>3534</v>
      </c>
      <c r="EFA1" s="122" t="s">
        <v>3535</v>
      </c>
      <c r="EFB1" s="122" t="s">
        <v>3536</v>
      </c>
      <c r="EFC1" s="122" t="s">
        <v>3537</v>
      </c>
      <c r="EFD1" s="122" t="s">
        <v>3538</v>
      </c>
      <c r="EFE1" s="122" t="s">
        <v>3539</v>
      </c>
      <c r="EFF1" s="122" t="s">
        <v>3540</v>
      </c>
      <c r="EFG1" s="122" t="s">
        <v>3541</v>
      </c>
      <c r="EFH1" s="122" t="s">
        <v>3542</v>
      </c>
      <c r="EFI1" s="122" t="s">
        <v>3543</v>
      </c>
      <c r="EFJ1" s="122" t="s">
        <v>3544</v>
      </c>
      <c r="EFK1" s="122" t="s">
        <v>3545</v>
      </c>
      <c r="EFL1" s="122" t="s">
        <v>3546</v>
      </c>
      <c r="EFM1" s="122" t="s">
        <v>3547</v>
      </c>
      <c r="EFN1" s="122" t="s">
        <v>3548</v>
      </c>
      <c r="EFO1" s="122" t="s">
        <v>3549</v>
      </c>
      <c r="EFP1" s="122" t="s">
        <v>3550</v>
      </c>
      <c r="EFQ1" s="122" t="s">
        <v>3551</v>
      </c>
      <c r="EFR1" s="122" t="s">
        <v>3552</v>
      </c>
      <c r="EFS1" s="122" t="s">
        <v>3553</v>
      </c>
      <c r="EFT1" s="122" t="s">
        <v>3554</v>
      </c>
      <c r="EFU1" s="122" t="s">
        <v>3555</v>
      </c>
      <c r="EFV1" s="122" t="s">
        <v>3556</v>
      </c>
      <c r="EFW1" s="122" t="s">
        <v>3557</v>
      </c>
      <c r="EFX1" s="122" t="s">
        <v>3558</v>
      </c>
      <c r="EFY1" s="122" t="s">
        <v>3559</v>
      </c>
      <c r="EFZ1" s="122" t="s">
        <v>3560</v>
      </c>
      <c r="EGA1" s="122" t="s">
        <v>3561</v>
      </c>
      <c r="EGB1" s="122" t="s">
        <v>3562</v>
      </c>
      <c r="EGC1" s="122" t="s">
        <v>3563</v>
      </c>
      <c r="EGD1" s="122" t="s">
        <v>3564</v>
      </c>
      <c r="EGE1" s="122" t="s">
        <v>3565</v>
      </c>
      <c r="EGF1" s="122" t="s">
        <v>3566</v>
      </c>
      <c r="EGG1" s="122" t="s">
        <v>3567</v>
      </c>
      <c r="EGH1" s="122" t="s">
        <v>3568</v>
      </c>
      <c r="EGI1" s="122" t="s">
        <v>3569</v>
      </c>
      <c r="EGJ1" s="122" t="s">
        <v>3570</v>
      </c>
      <c r="EGK1" s="122" t="s">
        <v>3571</v>
      </c>
      <c r="EGL1" s="122" t="s">
        <v>3572</v>
      </c>
      <c r="EGM1" s="122" t="s">
        <v>3573</v>
      </c>
      <c r="EGN1" s="122" t="s">
        <v>3574</v>
      </c>
      <c r="EGO1" s="122" t="s">
        <v>3575</v>
      </c>
      <c r="EGP1" s="122" t="s">
        <v>3576</v>
      </c>
      <c r="EGQ1" s="122" t="s">
        <v>3577</v>
      </c>
      <c r="EGR1" s="122" t="s">
        <v>3578</v>
      </c>
      <c r="EGS1" s="122" t="s">
        <v>3579</v>
      </c>
      <c r="EGT1" s="122" t="s">
        <v>3580</v>
      </c>
      <c r="EGU1" s="122" t="s">
        <v>3581</v>
      </c>
      <c r="EGV1" s="122" t="s">
        <v>3582</v>
      </c>
      <c r="EGW1" s="122" t="s">
        <v>3583</v>
      </c>
      <c r="EGX1" s="122" t="s">
        <v>3584</v>
      </c>
      <c r="EGY1" s="122" t="s">
        <v>3585</v>
      </c>
      <c r="EGZ1" s="122" t="s">
        <v>3586</v>
      </c>
      <c r="EHA1" s="122" t="s">
        <v>3587</v>
      </c>
      <c r="EHB1" s="122" t="s">
        <v>3588</v>
      </c>
      <c r="EHC1" s="122" t="s">
        <v>3589</v>
      </c>
      <c r="EHD1" s="122" t="s">
        <v>3590</v>
      </c>
      <c r="EHE1" s="122" t="s">
        <v>3591</v>
      </c>
      <c r="EHF1" s="122" t="s">
        <v>3592</v>
      </c>
      <c r="EHG1" s="122" t="s">
        <v>3593</v>
      </c>
      <c r="EHH1" s="122" t="s">
        <v>3594</v>
      </c>
      <c r="EHI1" s="122" t="s">
        <v>3595</v>
      </c>
      <c r="EHJ1" s="122" t="s">
        <v>3596</v>
      </c>
      <c r="EHK1" s="122" t="s">
        <v>3597</v>
      </c>
      <c r="EHL1" s="122" t="s">
        <v>3598</v>
      </c>
      <c r="EHM1" s="122" t="s">
        <v>3599</v>
      </c>
      <c r="EHN1" s="122" t="s">
        <v>3600</v>
      </c>
      <c r="EHO1" s="122" t="s">
        <v>3601</v>
      </c>
      <c r="EHP1" s="122" t="s">
        <v>3602</v>
      </c>
      <c r="EHQ1" s="122" t="s">
        <v>3603</v>
      </c>
      <c r="EHR1" s="122" t="s">
        <v>3604</v>
      </c>
      <c r="EHS1" s="122" t="s">
        <v>3605</v>
      </c>
      <c r="EHT1" s="122" t="s">
        <v>3606</v>
      </c>
      <c r="EHU1" s="122" t="s">
        <v>3607</v>
      </c>
      <c r="EHV1" s="122" t="s">
        <v>3608</v>
      </c>
      <c r="EHW1" s="122" t="s">
        <v>3609</v>
      </c>
      <c r="EHX1" s="122" t="s">
        <v>3610</v>
      </c>
      <c r="EHY1" s="122" t="s">
        <v>3611</v>
      </c>
      <c r="EHZ1" s="122" t="s">
        <v>3612</v>
      </c>
      <c r="EIA1" s="122" t="s">
        <v>3613</v>
      </c>
      <c r="EIB1" s="122" t="s">
        <v>3614</v>
      </c>
      <c r="EIC1" s="122" t="s">
        <v>3615</v>
      </c>
      <c r="EID1" s="122" t="s">
        <v>3616</v>
      </c>
      <c r="EIE1" s="122" t="s">
        <v>3617</v>
      </c>
      <c r="EIF1" s="122" t="s">
        <v>3618</v>
      </c>
      <c r="EIG1" s="122" t="s">
        <v>3619</v>
      </c>
      <c r="EIH1" s="122" t="s">
        <v>3620</v>
      </c>
      <c r="EII1" s="122" t="s">
        <v>3621</v>
      </c>
      <c r="EIJ1" s="122" t="s">
        <v>3622</v>
      </c>
      <c r="EIK1" s="122" t="s">
        <v>3623</v>
      </c>
      <c r="EIL1" s="122" t="s">
        <v>3624</v>
      </c>
      <c r="EIM1" s="122" t="s">
        <v>3625</v>
      </c>
      <c r="EIN1" s="122" t="s">
        <v>3626</v>
      </c>
      <c r="EIO1" s="122" t="s">
        <v>3627</v>
      </c>
      <c r="EIP1" s="122" t="s">
        <v>3628</v>
      </c>
      <c r="EIQ1" s="122" t="s">
        <v>3629</v>
      </c>
      <c r="EIR1" s="122" t="s">
        <v>3630</v>
      </c>
      <c r="EIS1" s="122" t="s">
        <v>3631</v>
      </c>
      <c r="EIT1" s="122" t="s">
        <v>3632</v>
      </c>
      <c r="EIU1" s="122" t="s">
        <v>3633</v>
      </c>
      <c r="EIV1" s="122" t="s">
        <v>3634</v>
      </c>
      <c r="EIW1" s="122" t="s">
        <v>3635</v>
      </c>
      <c r="EIX1" s="122" t="s">
        <v>3636</v>
      </c>
      <c r="EIY1" s="122" t="s">
        <v>3637</v>
      </c>
      <c r="EIZ1" s="122" t="s">
        <v>3638</v>
      </c>
      <c r="EJA1" s="122" t="s">
        <v>3639</v>
      </c>
      <c r="EJB1" s="122" t="s">
        <v>3640</v>
      </c>
      <c r="EJC1" s="122" t="s">
        <v>3641</v>
      </c>
      <c r="EJD1" s="122" t="s">
        <v>3642</v>
      </c>
      <c r="EJE1" s="122" t="s">
        <v>3643</v>
      </c>
      <c r="EJF1" s="122" t="s">
        <v>3644</v>
      </c>
      <c r="EJG1" s="122" t="s">
        <v>3645</v>
      </c>
      <c r="EJH1" s="122" t="s">
        <v>3646</v>
      </c>
      <c r="EJI1" s="122" t="s">
        <v>3647</v>
      </c>
      <c r="EJJ1" s="122" t="s">
        <v>3648</v>
      </c>
      <c r="EJK1" s="122" t="s">
        <v>3649</v>
      </c>
      <c r="EJL1" s="122" t="s">
        <v>3650</v>
      </c>
      <c r="EJM1" s="122" t="s">
        <v>3651</v>
      </c>
      <c r="EJN1" s="122" t="s">
        <v>3652</v>
      </c>
      <c r="EJO1" s="122" t="s">
        <v>3653</v>
      </c>
      <c r="EJP1" s="122" t="s">
        <v>3654</v>
      </c>
      <c r="EJQ1" s="122" t="s">
        <v>3655</v>
      </c>
      <c r="EJR1" s="122" t="s">
        <v>3656</v>
      </c>
      <c r="EJS1" s="122" t="s">
        <v>3657</v>
      </c>
      <c r="EJT1" s="122" t="s">
        <v>3658</v>
      </c>
      <c r="EJU1" s="122" t="s">
        <v>3659</v>
      </c>
      <c r="EJV1" s="122" t="s">
        <v>3660</v>
      </c>
      <c r="EJW1" s="122" t="s">
        <v>3661</v>
      </c>
      <c r="EJX1" s="122" t="s">
        <v>3662</v>
      </c>
      <c r="EJY1" s="122" t="s">
        <v>3663</v>
      </c>
      <c r="EJZ1" s="122" t="s">
        <v>3664</v>
      </c>
      <c r="EKA1" s="122" t="s">
        <v>3665</v>
      </c>
      <c r="EKB1" s="122" t="s">
        <v>3666</v>
      </c>
      <c r="EKC1" s="122" t="s">
        <v>3667</v>
      </c>
      <c r="EKD1" s="122" t="s">
        <v>3668</v>
      </c>
      <c r="EKE1" s="122" t="s">
        <v>3669</v>
      </c>
      <c r="EKF1" s="122" t="s">
        <v>3670</v>
      </c>
      <c r="EKG1" s="122" t="s">
        <v>3671</v>
      </c>
      <c r="EKH1" s="122" t="s">
        <v>3672</v>
      </c>
      <c r="EKI1" s="122" t="s">
        <v>3673</v>
      </c>
      <c r="EKJ1" s="122" t="s">
        <v>3674</v>
      </c>
      <c r="EKK1" s="122" t="s">
        <v>3675</v>
      </c>
      <c r="EKL1" s="122" t="s">
        <v>3676</v>
      </c>
      <c r="EKM1" s="122" t="s">
        <v>3677</v>
      </c>
      <c r="EKN1" s="122" t="s">
        <v>3678</v>
      </c>
      <c r="EKO1" s="122" t="s">
        <v>3679</v>
      </c>
      <c r="EKP1" s="122" t="s">
        <v>3680</v>
      </c>
      <c r="EKQ1" s="122" t="s">
        <v>3681</v>
      </c>
      <c r="EKR1" s="122" t="s">
        <v>3682</v>
      </c>
      <c r="EKS1" s="122" t="s">
        <v>3683</v>
      </c>
      <c r="EKT1" s="122" t="s">
        <v>3684</v>
      </c>
      <c r="EKU1" s="122" t="s">
        <v>3685</v>
      </c>
      <c r="EKV1" s="122" t="s">
        <v>3686</v>
      </c>
      <c r="EKW1" s="122" t="s">
        <v>3687</v>
      </c>
      <c r="EKX1" s="122" t="s">
        <v>3688</v>
      </c>
      <c r="EKY1" s="122" t="s">
        <v>3689</v>
      </c>
      <c r="EKZ1" s="122" t="s">
        <v>3690</v>
      </c>
      <c r="ELA1" s="122" t="s">
        <v>3691</v>
      </c>
      <c r="ELB1" s="122" t="s">
        <v>3692</v>
      </c>
      <c r="ELC1" s="122" t="s">
        <v>3693</v>
      </c>
      <c r="ELD1" s="122" t="s">
        <v>3694</v>
      </c>
      <c r="ELE1" s="122" t="s">
        <v>3695</v>
      </c>
      <c r="ELF1" s="122" t="s">
        <v>3696</v>
      </c>
      <c r="ELG1" s="122" t="s">
        <v>3697</v>
      </c>
      <c r="ELH1" s="122" t="s">
        <v>3698</v>
      </c>
      <c r="ELI1" s="122" t="s">
        <v>3699</v>
      </c>
      <c r="ELJ1" s="122" t="s">
        <v>3700</v>
      </c>
      <c r="ELK1" s="122" t="s">
        <v>3701</v>
      </c>
      <c r="ELL1" s="122" t="s">
        <v>3702</v>
      </c>
      <c r="ELM1" s="122" t="s">
        <v>3703</v>
      </c>
      <c r="ELN1" s="122" t="s">
        <v>3704</v>
      </c>
      <c r="ELO1" s="122" t="s">
        <v>3705</v>
      </c>
      <c r="ELP1" s="122" t="s">
        <v>3706</v>
      </c>
      <c r="ELQ1" s="122" t="s">
        <v>3707</v>
      </c>
      <c r="ELR1" s="122" t="s">
        <v>3708</v>
      </c>
      <c r="ELS1" s="122" t="s">
        <v>3709</v>
      </c>
      <c r="ELT1" s="122" t="s">
        <v>3710</v>
      </c>
      <c r="ELU1" s="122" t="s">
        <v>3711</v>
      </c>
      <c r="ELV1" s="122" t="s">
        <v>3712</v>
      </c>
      <c r="ELW1" s="122" t="s">
        <v>3713</v>
      </c>
      <c r="ELX1" s="122" t="s">
        <v>3714</v>
      </c>
      <c r="ELY1" s="122" t="s">
        <v>3715</v>
      </c>
      <c r="ELZ1" s="122" t="s">
        <v>3716</v>
      </c>
      <c r="EMA1" s="122" t="s">
        <v>3717</v>
      </c>
      <c r="EMB1" s="122" t="s">
        <v>3718</v>
      </c>
      <c r="EMC1" s="122" t="s">
        <v>3719</v>
      </c>
      <c r="EMD1" s="122" t="s">
        <v>3720</v>
      </c>
      <c r="EME1" s="122" t="s">
        <v>3721</v>
      </c>
      <c r="EMF1" s="122" t="s">
        <v>3722</v>
      </c>
      <c r="EMG1" s="122" t="s">
        <v>3723</v>
      </c>
      <c r="EMH1" s="122" t="s">
        <v>3724</v>
      </c>
      <c r="EMI1" s="122" t="s">
        <v>3725</v>
      </c>
      <c r="EMJ1" s="122" t="s">
        <v>3726</v>
      </c>
      <c r="EMK1" s="122" t="s">
        <v>3727</v>
      </c>
      <c r="EML1" s="122" t="s">
        <v>3728</v>
      </c>
      <c r="EMM1" s="122" t="s">
        <v>3729</v>
      </c>
      <c r="EMN1" s="122" t="s">
        <v>3730</v>
      </c>
      <c r="EMO1" s="122" t="s">
        <v>3731</v>
      </c>
      <c r="EMP1" s="122" t="s">
        <v>3732</v>
      </c>
      <c r="EMQ1" s="122" t="s">
        <v>3733</v>
      </c>
      <c r="EMR1" s="122" t="s">
        <v>3734</v>
      </c>
      <c r="EMS1" s="122" t="s">
        <v>3735</v>
      </c>
      <c r="EMT1" s="122" t="s">
        <v>3736</v>
      </c>
      <c r="EMU1" s="122" t="s">
        <v>3737</v>
      </c>
      <c r="EMV1" s="122" t="s">
        <v>3738</v>
      </c>
      <c r="EMW1" s="122" t="s">
        <v>3739</v>
      </c>
      <c r="EMX1" s="122" t="s">
        <v>3740</v>
      </c>
      <c r="EMY1" s="122" t="s">
        <v>3741</v>
      </c>
      <c r="EMZ1" s="122" t="s">
        <v>3742</v>
      </c>
      <c r="ENA1" s="122" t="s">
        <v>3743</v>
      </c>
      <c r="ENB1" s="122" t="s">
        <v>3744</v>
      </c>
      <c r="ENC1" s="122" t="s">
        <v>3745</v>
      </c>
      <c r="END1" s="122" t="s">
        <v>3746</v>
      </c>
      <c r="ENE1" s="122" t="s">
        <v>3747</v>
      </c>
      <c r="ENF1" s="122" t="s">
        <v>3748</v>
      </c>
      <c r="ENG1" s="122" t="s">
        <v>3749</v>
      </c>
      <c r="ENH1" s="122" t="s">
        <v>3750</v>
      </c>
      <c r="ENI1" s="122" t="s">
        <v>3751</v>
      </c>
      <c r="ENJ1" s="122" t="s">
        <v>3752</v>
      </c>
      <c r="ENK1" s="122" t="s">
        <v>3753</v>
      </c>
      <c r="ENL1" s="122" t="s">
        <v>3754</v>
      </c>
      <c r="ENM1" s="122" t="s">
        <v>3755</v>
      </c>
      <c r="ENN1" s="122" t="s">
        <v>3756</v>
      </c>
      <c r="ENO1" s="122" t="s">
        <v>3757</v>
      </c>
      <c r="ENP1" s="122" t="s">
        <v>3758</v>
      </c>
      <c r="ENQ1" s="122" t="s">
        <v>3759</v>
      </c>
      <c r="ENR1" s="122" t="s">
        <v>3760</v>
      </c>
      <c r="ENS1" s="122" t="s">
        <v>3761</v>
      </c>
      <c r="ENT1" s="122" t="s">
        <v>3762</v>
      </c>
      <c r="ENU1" s="122" t="s">
        <v>3763</v>
      </c>
      <c r="ENV1" s="122" t="s">
        <v>3764</v>
      </c>
      <c r="ENW1" s="122" t="s">
        <v>3765</v>
      </c>
      <c r="ENX1" s="122" t="s">
        <v>3766</v>
      </c>
      <c r="ENY1" s="122" t="s">
        <v>3767</v>
      </c>
      <c r="ENZ1" s="122" t="s">
        <v>3768</v>
      </c>
      <c r="EOA1" s="122" t="s">
        <v>3769</v>
      </c>
      <c r="EOB1" s="122" t="s">
        <v>3770</v>
      </c>
      <c r="EOC1" s="122" t="s">
        <v>3771</v>
      </c>
      <c r="EOD1" s="122" t="s">
        <v>3772</v>
      </c>
      <c r="EOE1" s="122" t="s">
        <v>3773</v>
      </c>
      <c r="EOF1" s="122" t="s">
        <v>3774</v>
      </c>
      <c r="EOG1" s="122" t="s">
        <v>3775</v>
      </c>
      <c r="EOH1" s="122" t="s">
        <v>3776</v>
      </c>
      <c r="EOI1" s="122" t="s">
        <v>3777</v>
      </c>
      <c r="EOJ1" s="122" t="s">
        <v>3778</v>
      </c>
      <c r="EOK1" s="122" t="s">
        <v>3779</v>
      </c>
      <c r="EOL1" s="122" t="s">
        <v>3780</v>
      </c>
      <c r="EOM1" s="122" t="s">
        <v>3781</v>
      </c>
      <c r="EON1" s="122" t="s">
        <v>3782</v>
      </c>
      <c r="EOO1" s="122" t="s">
        <v>3783</v>
      </c>
      <c r="EOP1" s="122" t="s">
        <v>3784</v>
      </c>
      <c r="EOQ1" s="122" t="s">
        <v>3785</v>
      </c>
      <c r="EOR1" s="122" t="s">
        <v>3786</v>
      </c>
      <c r="EOS1" s="122" t="s">
        <v>3787</v>
      </c>
      <c r="EOT1" s="122" t="s">
        <v>3788</v>
      </c>
      <c r="EOU1" s="122" t="s">
        <v>3789</v>
      </c>
      <c r="EOV1" s="122" t="s">
        <v>3790</v>
      </c>
      <c r="EOW1" s="122" t="s">
        <v>3791</v>
      </c>
      <c r="EOX1" s="122" t="s">
        <v>3792</v>
      </c>
      <c r="EOY1" s="122" t="s">
        <v>3793</v>
      </c>
      <c r="EOZ1" s="122" t="s">
        <v>3794</v>
      </c>
      <c r="EPA1" s="122" t="s">
        <v>3795</v>
      </c>
      <c r="EPB1" s="122" t="s">
        <v>3796</v>
      </c>
      <c r="EPC1" s="122" t="s">
        <v>3797</v>
      </c>
      <c r="EPD1" s="122" t="s">
        <v>3798</v>
      </c>
      <c r="EPE1" s="122" t="s">
        <v>3799</v>
      </c>
      <c r="EPF1" s="122" t="s">
        <v>3800</v>
      </c>
      <c r="EPG1" s="122" t="s">
        <v>3801</v>
      </c>
      <c r="EPH1" s="122" t="s">
        <v>3802</v>
      </c>
      <c r="EPI1" s="122" t="s">
        <v>3803</v>
      </c>
      <c r="EPJ1" s="122" t="s">
        <v>3804</v>
      </c>
      <c r="EPK1" s="122" t="s">
        <v>3805</v>
      </c>
      <c r="EPL1" s="122" t="s">
        <v>3806</v>
      </c>
      <c r="EPM1" s="122" t="s">
        <v>3807</v>
      </c>
      <c r="EPN1" s="122" t="s">
        <v>3808</v>
      </c>
      <c r="EPO1" s="122" t="s">
        <v>3809</v>
      </c>
      <c r="EPP1" s="122" t="s">
        <v>3810</v>
      </c>
      <c r="EPQ1" s="122" t="s">
        <v>3811</v>
      </c>
      <c r="EPR1" s="122" t="s">
        <v>3812</v>
      </c>
      <c r="EPS1" s="122" t="s">
        <v>3813</v>
      </c>
      <c r="EPT1" s="122" t="s">
        <v>3814</v>
      </c>
      <c r="EPU1" s="122" t="s">
        <v>3815</v>
      </c>
      <c r="EPV1" s="122" t="s">
        <v>3816</v>
      </c>
      <c r="EPW1" s="122" t="s">
        <v>3817</v>
      </c>
      <c r="EPX1" s="122" t="s">
        <v>3818</v>
      </c>
      <c r="EPY1" s="122" t="s">
        <v>3819</v>
      </c>
      <c r="EPZ1" s="122" t="s">
        <v>3820</v>
      </c>
      <c r="EQA1" s="122" t="s">
        <v>3821</v>
      </c>
      <c r="EQB1" s="122" t="s">
        <v>3822</v>
      </c>
      <c r="EQC1" s="122" t="s">
        <v>3823</v>
      </c>
      <c r="EQD1" s="122" t="s">
        <v>3824</v>
      </c>
      <c r="EQE1" s="122" t="s">
        <v>3825</v>
      </c>
      <c r="EQF1" s="122" t="s">
        <v>3826</v>
      </c>
      <c r="EQG1" s="122" t="s">
        <v>3827</v>
      </c>
      <c r="EQH1" s="122" t="s">
        <v>3828</v>
      </c>
      <c r="EQI1" s="122" t="s">
        <v>3829</v>
      </c>
      <c r="EQJ1" s="122" t="s">
        <v>3830</v>
      </c>
      <c r="EQK1" s="122" t="s">
        <v>3831</v>
      </c>
      <c r="EQL1" s="122" t="s">
        <v>3832</v>
      </c>
      <c r="EQM1" s="122" t="s">
        <v>3833</v>
      </c>
      <c r="EQN1" s="122" t="s">
        <v>3834</v>
      </c>
      <c r="EQO1" s="122" t="s">
        <v>3835</v>
      </c>
      <c r="EQP1" s="122" t="s">
        <v>3836</v>
      </c>
      <c r="EQQ1" s="122" t="s">
        <v>3837</v>
      </c>
      <c r="EQR1" s="122" t="s">
        <v>3838</v>
      </c>
      <c r="EQS1" s="122" t="s">
        <v>3839</v>
      </c>
      <c r="EQT1" s="122" t="s">
        <v>3840</v>
      </c>
      <c r="EQU1" s="122" t="s">
        <v>3841</v>
      </c>
      <c r="EQV1" s="122" t="s">
        <v>3842</v>
      </c>
      <c r="EQW1" s="122" t="s">
        <v>3843</v>
      </c>
      <c r="EQX1" s="122" t="s">
        <v>3844</v>
      </c>
      <c r="EQY1" s="122" t="s">
        <v>3845</v>
      </c>
      <c r="EQZ1" s="122" t="s">
        <v>3846</v>
      </c>
      <c r="ERA1" s="122" t="s">
        <v>3847</v>
      </c>
      <c r="ERB1" s="122" t="s">
        <v>3848</v>
      </c>
      <c r="ERC1" s="122" t="s">
        <v>3849</v>
      </c>
      <c r="ERD1" s="122" t="s">
        <v>3850</v>
      </c>
      <c r="ERE1" s="122" t="s">
        <v>3851</v>
      </c>
      <c r="ERF1" s="122" t="s">
        <v>3852</v>
      </c>
      <c r="ERG1" s="122" t="s">
        <v>3853</v>
      </c>
      <c r="ERH1" s="122" t="s">
        <v>3854</v>
      </c>
      <c r="ERI1" s="122" t="s">
        <v>3855</v>
      </c>
      <c r="ERJ1" s="122" t="s">
        <v>3856</v>
      </c>
      <c r="ERK1" s="122" t="s">
        <v>3857</v>
      </c>
      <c r="ERL1" s="122" t="s">
        <v>3858</v>
      </c>
      <c r="ERM1" s="122" t="s">
        <v>3859</v>
      </c>
      <c r="ERN1" s="122" t="s">
        <v>3860</v>
      </c>
      <c r="ERO1" s="122" t="s">
        <v>3861</v>
      </c>
      <c r="ERP1" s="122" t="s">
        <v>3862</v>
      </c>
      <c r="ERQ1" s="122" t="s">
        <v>3863</v>
      </c>
      <c r="ERR1" s="122" t="s">
        <v>3864</v>
      </c>
      <c r="ERS1" s="122" t="s">
        <v>3865</v>
      </c>
      <c r="ERT1" s="122" t="s">
        <v>3866</v>
      </c>
      <c r="ERU1" s="122" t="s">
        <v>3867</v>
      </c>
      <c r="ERV1" s="122" t="s">
        <v>3868</v>
      </c>
      <c r="ERW1" s="122" t="s">
        <v>3869</v>
      </c>
      <c r="ERX1" s="122" t="s">
        <v>3870</v>
      </c>
      <c r="ERY1" s="122" t="s">
        <v>3871</v>
      </c>
      <c r="ERZ1" s="122" t="s">
        <v>3872</v>
      </c>
      <c r="ESA1" s="122" t="s">
        <v>3873</v>
      </c>
      <c r="ESB1" s="122" t="s">
        <v>3874</v>
      </c>
      <c r="ESC1" s="122" t="s">
        <v>3875</v>
      </c>
      <c r="ESD1" s="122" t="s">
        <v>3876</v>
      </c>
      <c r="ESE1" s="122" t="s">
        <v>3877</v>
      </c>
      <c r="ESF1" s="122" t="s">
        <v>3878</v>
      </c>
      <c r="ESG1" s="122" t="s">
        <v>3879</v>
      </c>
      <c r="ESH1" s="122" t="s">
        <v>3880</v>
      </c>
      <c r="ESI1" s="122" t="s">
        <v>3881</v>
      </c>
      <c r="ESJ1" s="122" t="s">
        <v>3882</v>
      </c>
      <c r="ESK1" s="122" t="s">
        <v>3883</v>
      </c>
      <c r="ESL1" s="122" t="s">
        <v>3884</v>
      </c>
      <c r="ESM1" s="122" t="s">
        <v>3885</v>
      </c>
      <c r="ESN1" s="122" t="s">
        <v>3886</v>
      </c>
      <c r="ESO1" s="122" t="s">
        <v>3887</v>
      </c>
      <c r="ESP1" s="122" t="s">
        <v>3888</v>
      </c>
      <c r="ESQ1" s="122" t="s">
        <v>3889</v>
      </c>
      <c r="ESR1" s="122" t="s">
        <v>3890</v>
      </c>
      <c r="ESS1" s="122" t="s">
        <v>3891</v>
      </c>
      <c r="EST1" s="122" t="s">
        <v>3892</v>
      </c>
      <c r="ESU1" s="122" t="s">
        <v>3893</v>
      </c>
      <c r="ESV1" s="122" t="s">
        <v>3894</v>
      </c>
      <c r="ESW1" s="122" t="s">
        <v>3895</v>
      </c>
      <c r="ESX1" s="122" t="s">
        <v>3896</v>
      </c>
      <c r="ESY1" s="122" t="s">
        <v>3897</v>
      </c>
      <c r="ESZ1" s="122" t="s">
        <v>3898</v>
      </c>
      <c r="ETA1" s="122" t="s">
        <v>3899</v>
      </c>
      <c r="ETB1" s="122" t="s">
        <v>3900</v>
      </c>
      <c r="ETC1" s="122" t="s">
        <v>3901</v>
      </c>
      <c r="ETD1" s="122" t="s">
        <v>3902</v>
      </c>
      <c r="ETE1" s="122" t="s">
        <v>3903</v>
      </c>
      <c r="ETF1" s="122" t="s">
        <v>3904</v>
      </c>
      <c r="ETG1" s="122" t="s">
        <v>3905</v>
      </c>
      <c r="ETH1" s="122" t="s">
        <v>3906</v>
      </c>
      <c r="ETI1" s="122" t="s">
        <v>3907</v>
      </c>
      <c r="ETJ1" s="122" t="s">
        <v>3908</v>
      </c>
      <c r="ETK1" s="122" t="s">
        <v>3909</v>
      </c>
      <c r="ETL1" s="122" t="s">
        <v>3910</v>
      </c>
      <c r="ETM1" s="122" t="s">
        <v>3911</v>
      </c>
      <c r="ETN1" s="122" t="s">
        <v>3912</v>
      </c>
      <c r="ETO1" s="122" t="s">
        <v>3913</v>
      </c>
      <c r="ETP1" s="122" t="s">
        <v>3914</v>
      </c>
      <c r="ETQ1" s="122" t="s">
        <v>3915</v>
      </c>
      <c r="ETR1" s="122" t="s">
        <v>3916</v>
      </c>
      <c r="ETS1" s="122" t="s">
        <v>3917</v>
      </c>
      <c r="ETT1" s="122" t="s">
        <v>3918</v>
      </c>
      <c r="ETU1" s="122" t="s">
        <v>3919</v>
      </c>
      <c r="ETV1" s="122" t="s">
        <v>3920</v>
      </c>
      <c r="ETW1" s="122" t="s">
        <v>3921</v>
      </c>
      <c r="ETX1" s="122" t="s">
        <v>3922</v>
      </c>
      <c r="ETY1" s="122" t="s">
        <v>3923</v>
      </c>
      <c r="ETZ1" s="122" t="s">
        <v>3924</v>
      </c>
      <c r="EUA1" s="122" t="s">
        <v>3925</v>
      </c>
      <c r="EUB1" s="122" t="s">
        <v>3926</v>
      </c>
      <c r="EUC1" s="122" t="s">
        <v>3927</v>
      </c>
      <c r="EUD1" s="122" t="s">
        <v>3928</v>
      </c>
      <c r="EUE1" s="122" t="s">
        <v>3929</v>
      </c>
      <c r="EUF1" s="122" t="s">
        <v>3930</v>
      </c>
      <c r="EUG1" s="122" t="s">
        <v>3931</v>
      </c>
      <c r="EUH1" s="122" t="s">
        <v>3932</v>
      </c>
      <c r="EUI1" s="122" t="s">
        <v>3933</v>
      </c>
      <c r="EUJ1" s="122" t="s">
        <v>3934</v>
      </c>
      <c r="EUK1" s="122" t="s">
        <v>3935</v>
      </c>
      <c r="EUL1" s="122" t="s">
        <v>3936</v>
      </c>
      <c r="EUM1" s="122" t="s">
        <v>3937</v>
      </c>
      <c r="EUN1" s="122" t="s">
        <v>3938</v>
      </c>
      <c r="EUO1" s="122" t="s">
        <v>3939</v>
      </c>
      <c r="EUP1" s="122" t="s">
        <v>3940</v>
      </c>
      <c r="EUQ1" s="122" t="s">
        <v>3941</v>
      </c>
      <c r="EUR1" s="122" t="s">
        <v>3942</v>
      </c>
      <c r="EUS1" s="122" t="s">
        <v>3943</v>
      </c>
      <c r="EUT1" s="122" t="s">
        <v>3944</v>
      </c>
      <c r="EUU1" s="122" t="s">
        <v>3945</v>
      </c>
      <c r="EUV1" s="122" t="s">
        <v>3946</v>
      </c>
      <c r="EUW1" s="122" t="s">
        <v>3947</v>
      </c>
      <c r="EUX1" s="122" t="s">
        <v>3948</v>
      </c>
      <c r="EUY1" s="122" t="s">
        <v>3949</v>
      </c>
      <c r="EUZ1" s="122" t="s">
        <v>3950</v>
      </c>
      <c r="EVA1" s="122" t="s">
        <v>3951</v>
      </c>
      <c r="EVB1" s="122" t="s">
        <v>3952</v>
      </c>
      <c r="EVC1" s="122" t="s">
        <v>3953</v>
      </c>
      <c r="EVD1" s="122" t="s">
        <v>3954</v>
      </c>
      <c r="EVE1" s="122" t="s">
        <v>3955</v>
      </c>
      <c r="EVF1" s="122" t="s">
        <v>3956</v>
      </c>
      <c r="EVG1" s="122" t="s">
        <v>3957</v>
      </c>
      <c r="EVH1" s="122" t="s">
        <v>3958</v>
      </c>
      <c r="EVI1" s="122" t="s">
        <v>3959</v>
      </c>
      <c r="EVJ1" s="122" t="s">
        <v>3960</v>
      </c>
      <c r="EVK1" s="122" t="s">
        <v>3961</v>
      </c>
      <c r="EVL1" s="122" t="s">
        <v>3962</v>
      </c>
      <c r="EVM1" s="122" t="s">
        <v>3963</v>
      </c>
      <c r="EVN1" s="122" t="s">
        <v>3964</v>
      </c>
      <c r="EVO1" s="122" t="s">
        <v>3965</v>
      </c>
      <c r="EVP1" s="122" t="s">
        <v>3966</v>
      </c>
      <c r="EVQ1" s="122" t="s">
        <v>3967</v>
      </c>
      <c r="EVR1" s="122" t="s">
        <v>3968</v>
      </c>
      <c r="EVS1" s="122" t="s">
        <v>3969</v>
      </c>
      <c r="EVT1" s="122" t="s">
        <v>3970</v>
      </c>
      <c r="EVU1" s="122" t="s">
        <v>3971</v>
      </c>
      <c r="EVV1" s="122" t="s">
        <v>3972</v>
      </c>
      <c r="EVW1" s="122" t="s">
        <v>3973</v>
      </c>
      <c r="EVX1" s="122" t="s">
        <v>3974</v>
      </c>
      <c r="EVY1" s="122" t="s">
        <v>3975</v>
      </c>
      <c r="EVZ1" s="122" t="s">
        <v>3976</v>
      </c>
      <c r="EWA1" s="122" t="s">
        <v>3977</v>
      </c>
      <c r="EWB1" s="122" t="s">
        <v>3978</v>
      </c>
      <c r="EWC1" s="122" t="s">
        <v>3979</v>
      </c>
      <c r="EWD1" s="122" t="s">
        <v>3980</v>
      </c>
      <c r="EWE1" s="122" t="s">
        <v>3981</v>
      </c>
      <c r="EWF1" s="122" t="s">
        <v>3982</v>
      </c>
      <c r="EWG1" s="122" t="s">
        <v>3983</v>
      </c>
      <c r="EWH1" s="122" t="s">
        <v>3984</v>
      </c>
      <c r="EWI1" s="122" t="s">
        <v>3985</v>
      </c>
      <c r="EWJ1" s="122" t="s">
        <v>3986</v>
      </c>
      <c r="EWK1" s="122" t="s">
        <v>3987</v>
      </c>
      <c r="EWL1" s="122" t="s">
        <v>3988</v>
      </c>
      <c r="EWM1" s="122" t="s">
        <v>3989</v>
      </c>
      <c r="EWN1" s="122" t="s">
        <v>3990</v>
      </c>
      <c r="EWO1" s="122" t="s">
        <v>3991</v>
      </c>
      <c r="EWP1" s="122" t="s">
        <v>3992</v>
      </c>
      <c r="EWQ1" s="122" t="s">
        <v>3993</v>
      </c>
      <c r="EWR1" s="122" t="s">
        <v>3994</v>
      </c>
      <c r="EWS1" s="122" t="s">
        <v>3995</v>
      </c>
      <c r="EWT1" s="122" t="s">
        <v>3996</v>
      </c>
      <c r="EWU1" s="122" t="s">
        <v>3997</v>
      </c>
      <c r="EWV1" s="122" t="s">
        <v>3998</v>
      </c>
      <c r="EWW1" s="122" t="s">
        <v>3999</v>
      </c>
      <c r="EWX1" s="122" t="s">
        <v>4000</v>
      </c>
      <c r="EWY1" s="122" t="s">
        <v>4001</v>
      </c>
      <c r="EWZ1" s="122" t="s">
        <v>4002</v>
      </c>
      <c r="EXA1" s="122" t="s">
        <v>4003</v>
      </c>
      <c r="EXB1" s="122" t="s">
        <v>4004</v>
      </c>
      <c r="EXC1" s="122" t="s">
        <v>4005</v>
      </c>
      <c r="EXD1" s="122" t="s">
        <v>4006</v>
      </c>
      <c r="EXE1" s="122" t="s">
        <v>4007</v>
      </c>
      <c r="EXF1" s="122" t="s">
        <v>4008</v>
      </c>
      <c r="EXG1" s="122" t="s">
        <v>4009</v>
      </c>
      <c r="EXH1" s="122" t="s">
        <v>4010</v>
      </c>
      <c r="EXI1" s="122" t="s">
        <v>4011</v>
      </c>
      <c r="EXJ1" s="122" t="s">
        <v>4012</v>
      </c>
      <c r="EXK1" s="122" t="s">
        <v>4013</v>
      </c>
      <c r="EXL1" s="122" t="s">
        <v>4014</v>
      </c>
      <c r="EXM1" s="122" t="s">
        <v>4015</v>
      </c>
      <c r="EXN1" s="122" t="s">
        <v>4016</v>
      </c>
      <c r="EXO1" s="122" t="s">
        <v>4017</v>
      </c>
      <c r="EXP1" s="122" t="s">
        <v>4018</v>
      </c>
      <c r="EXQ1" s="122" t="s">
        <v>4019</v>
      </c>
      <c r="EXR1" s="122" t="s">
        <v>4020</v>
      </c>
      <c r="EXS1" s="122" t="s">
        <v>4021</v>
      </c>
      <c r="EXT1" s="122" t="s">
        <v>4022</v>
      </c>
      <c r="EXU1" s="122" t="s">
        <v>4023</v>
      </c>
      <c r="EXV1" s="122" t="s">
        <v>4024</v>
      </c>
      <c r="EXW1" s="122" t="s">
        <v>4025</v>
      </c>
      <c r="EXX1" s="122" t="s">
        <v>4026</v>
      </c>
      <c r="EXY1" s="122" t="s">
        <v>4027</v>
      </c>
      <c r="EXZ1" s="122" t="s">
        <v>4028</v>
      </c>
      <c r="EYA1" s="122" t="s">
        <v>4029</v>
      </c>
      <c r="EYB1" s="122" t="s">
        <v>4030</v>
      </c>
      <c r="EYC1" s="122" t="s">
        <v>4031</v>
      </c>
      <c r="EYD1" s="122" t="s">
        <v>4032</v>
      </c>
      <c r="EYE1" s="122" t="s">
        <v>4033</v>
      </c>
      <c r="EYF1" s="122" t="s">
        <v>4034</v>
      </c>
      <c r="EYG1" s="122" t="s">
        <v>4035</v>
      </c>
      <c r="EYH1" s="122" t="s">
        <v>4036</v>
      </c>
      <c r="EYI1" s="122" t="s">
        <v>4037</v>
      </c>
      <c r="EYJ1" s="122" t="s">
        <v>4038</v>
      </c>
      <c r="EYK1" s="122" t="s">
        <v>4039</v>
      </c>
      <c r="EYL1" s="122" t="s">
        <v>4040</v>
      </c>
      <c r="EYM1" s="122" t="s">
        <v>4041</v>
      </c>
      <c r="EYN1" s="122" t="s">
        <v>4042</v>
      </c>
      <c r="EYO1" s="122" t="s">
        <v>4043</v>
      </c>
      <c r="EYP1" s="122" t="s">
        <v>4044</v>
      </c>
      <c r="EYQ1" s="122" t="s">
        <v>4045</v>
      </c>
      <c r="EYR1" s="122" t="s">
        <v>4046</v>
      </c>
      <c r="EYS1" s="122" t="s">
        <v>4047</v>
      </c>
      <c r="EYT1" s="122" t="s">
        <v>4048</v>
      </c>
      <c r="EYU1" s="122" t="s">
        <v>4049</v>
      </c>
      <c r="EYV1" s="122" t="s">
        <v>4050</v>
      </c>
      <c r="EYW1" s="122" t="s">
        <v>4051</v>
      </c>
      <c r="EYX1" s="122" t="s">
        <v>4052</v>
      </c>
      <c r="EYY1" s="122" t="s">
        <v>4053</v>
      </c>
      <c r="EYZ1" s="122" t="s">
        <v>4054</v>
      </c>
      <c r="EZA1" s="122" t="s">
        <v>4055</v>
      </c>
      <c r="EZB1" s="122" t="s">
        <v>4056</v>
      </c>
      <c r="EZC1" s="122" t="s">
        <v>4057</v>
      </c>
      <c r="EZD1" s="122" t="s">
        <v>4058</v>
      </c>
      <c r="EZE1" s="122" t="s">
        <v>4059</v>
      </c>
      <c r="EZF1" s="122" t="s">
        <v>4060</v>
      </c>
      <c r="EZG1" s="122" t="s">
        <v>4061</v>
      </c>
      <c r="EZH1" s="122" t="s">
        <v>4062</v>
      </c>
      <c r="EZI1" s="122" t="s">
        <v>4063</v>
      </c>
      <c r="EZJ1" s="122" t="s">
        <v>4064</v>
      </c>
      <c r="EZK1" s="122" t="s">
        <v>4065</v>
      </c>
      <c r="EZL1" s="122" t="s">
        <v>4066</v>
      </c>
      <c r="EZM1" s="122" t="s">
        <v>4067</v>
      </c>
      <c r="EZN1" s="122" t="s">
        <v>4068</v>
      </c>
      <c r="EZO1" s="122" t="s">
        <v>4069</v>
      </c>
      <c r="EZP1" s="122" t="s">
        <v>4070</v>
      </c>
      <c r="EZQ1" s="122" t="s">
        <v>4071</v>
      </c>
      <c r="EZR1" s="122" t="s">
        <v>4072</v>
      </c>
      <c r="EZS1" s="122" t="s">
        <v>4073</v>
      </c>
      <c r="EZT1" s="122" t="s">
        <v>4074</v>
      </c>
      <c r="EZU1" s="122" t="s">
        <v>4075</v>
      </c>
      <c r="EZV1" s="122" t="s">
        <v>4076</v>
      </c>
      <c r="EZW1" s="122" t="s">
        <v>4077</v>
      </c>
      <c r="EZX1" s="122" t="s">
        <v>4078</v>
      </c>
      <c r="EZY1" s="122" t="s">
        <v>4079</v>
      </c>
      <c r="EZZ1" s="122" t="s">
        <v>4080</v>
      </c>
      <c r="FAA1" s="122" t="s">
        <v>4081</v>
      </c>
      <c r="FAB1" s="122" t="s">
        <v>4082</v>
      </c>
      <c r="FAC1" s="122" t="s">
        <v>4083</v>
      </c>
      <c r="FAD1" s="122" t="s">
        <v>4084</v>
      </c>
      <c r="FAE1" s="122" t="s">
        <v>4085</v>
      </c>
      <c r="FAF1" s="122" t="s">
        <v>4086</v>
      </c>
      <c r="FAG1" s="122" t="s">
        <v>4087</v>
      </c>
      <c r="FAH1" s="122" t="s">
        <v>4088</v>
      </c>
      <c r="FAI1" s="122" t="s">
        <v>4089</v>
      </c>
      <c r="FAJ1" s="122" t="s">
        <v>4090</v>
      </c>
      <c r="FAK1" s="122" t="s">
        <v>4091</v>
      </c>
      <c r="FAL1" s="122" t="s">
        <v>4092</v>
      </c>
      <c r="FAM1" s="122" t="s">
        <v>4093</v>
      </c>
      <c r="FAN1" s="122" t="s">
        <v>4094</v>
      </c>
      <c r="FAO1" s="122" t="s">
        <v>4095</v>
      </c>
      <c r="FAP1" s="122" t="s">
        <v>4096</v>
      </c>
      <c r="FAQ1" s="122" t="s">
        <v>4097</v>
      </c>
      <c r="FAR1" s="122" t="s">
        <v>4098</v>
      </c>
      <c r="FAS1" s="122" t="s">
        <v>4099</v>
      </c>
      <c r="FAT1" s="122" t="s">
        <v>4100</v>
      </c>
      <c r="FAU1" s="122" t="s">
        <v>4101</v>
      </c>
      <c r="FAV1" s="122" t="s">
        <v>4102</v>
      </c>
      <c r="FAW1" s="122" t="s">
        <v>4103</v>
      </c>
      <c r="FAX1" s="122" t="s">
        <v>4104</v>
      </c>
      <c r="FAY1" s="122" t="s">
        <v>4105</v>
      </c>
      <c r="FAZ1" s="122" t="s">
        <v>4106</v>
      </c>
      <c r="FBA1" s="122" t="s">
        <v>4107</v>
      </c>
      <c r="FBB1" s="122" t="s">
        <v>4108</v>
      </c>
      <c r="FBC1" s="122" t="s">
        <v>4109</v>
      </c>
      <c r="FBD1" s="122" t="s">
        <v>4110</v>
      </c>
      <c r="FBE1" s="122" t="s">
        <v>4111</v>
      </c>
      <c r="FBF1" s="122" t="s">
        <v>4112</v>
      </c>
      <c r="FBG1" s="122" t="s">
        <v>4113</v>
      </c>
      <c r="FBH1" s="122" t="s">
        <v>4114</v>
      </c>
      <c r="FBI1" s="122" t="s">
        <v>4115</v>
      </c>
      <c r="FBJ1" s="122" t="s">
        <v>4116</v>
      </c>
      <c r="FBK1" s="122" t="s">
        <v>4117</v>
      </c>
      <c r="FBL1" s="122" t="s">
        <v>4118</v>
      </c>
      <c r="FBM1" s="122" t="s">
        <v>4119</v>
      </c>
      <c r="FBN1" s="122" t="s">
        <v>4120</v>
      </c>
      <c r="FBO1" s="122" t="s">
        <v>4121</v>
      </c>
      <c r="FBP1" s="122" t="s">
        <v>4122</v>
      </c>
      <c r="FBQ1" s="122" t="s">
        <v>4123</v>
      </c>
      <c r="FBR1" s="122" t="s">
        <v>4124</v>
      </c>
      <c r="FBS1" s="122" t="s">
        <v>4125</v>
      </c>
      <c r="FBT1" s="122" t="s">
        <v>4126</v>
      </c>
      <c r="FBU1" s="122" t="s">
        <v>4127</v>
      </c>
      <c r="FBV1" s="122" t="s">
        <v>4128</v>
      </c>
      <c r="FBW1" s="122" t="s">
        <v>4129</v>
      </c>
      <c r="FBX1" s="122" t="s">
        <v>4130</v>
      </c>
      <c r="FBY1" s="122" t="s">
        <v>4131</v>
      </c>
      <c r="FBZ1" s="122" t="s">
        <v>4132</v>
      </c>
      <c r="FCA1" s="122" t="s">
        <v>4133</v>
      </c>
      <c r="FCB1" s="122" t="s">
        <v>4134</v>
      </c>
      <c r="FCC1" s="122" t="s">
        <v>4135</v>
      </c>
      <c r="FCD1" s="122" t="s">
        <v>4136</v>
      </c>
      <c r="FCE1" s="122" t="s">
        <v>4137</v>
      </c>
      <c r="FCF1" s="122" t="s">
        <v>4138</v>
      </c>
      <c r="FCG1" s="122" t="s">
        <v>4139</v>
      </c>
      <c r="FCH1" s="122" t="s">
        <v>4140</v>
      </c>
      <c r="FCI1" s="122" t="s">
        <v>4141</v>
      </c>
      <c r="FCJ1" s="122" t="s">
        <v>4142</v>
      </c>
      <c r="FCK1" s="122" t="s">
        <v>4143</v>
      </c>
      <c r="FCL1" s="122" t="s">
        <v>4144</v>
      </c>
      <c r="FCM1" s="122" t="s">
        <v>4145</v>
      </c>
      <c r="FCN1" s="122" t="s">
        <v>4146</v>
      </c>
      <c r="FCO1" s="122" t="s">
        <v>4147</v>
      </c>
      <c r="FCP1" s="122" t="s">
        <v>4148</v>
      </c>
      <c r="FCQ1" s="122" t="s">
        <v>4149</v>
      </c>
      <c r="FCR1" s="122" t="s">
        <v>4150</v>
      </c>
      <c r="FCS1" s="122" t="s">
        <v>4151</v>
      </c>
      <c r="FCT1" s="122" t="s">
        <v>4152</v>
      </c>
      <c r="FCU1" s="122" t="s">
        <v>4153</v>
      </c>
      <c r="FCV1" s="122" t="s">
        <v>4154</v>
      </c>
      <c r="FCW1" s="122" t="s">
        <v>4155</v>
      </c>
      <c r="FCX1" s="122" t="s">
        <v>4156</v>
      </c>
      <c r="FCY1" s="122" t="s">
        <v>4157</v>
      </c>
      <c r="FCZ1" s="122" t="s">
        <v>4158</v>
      </c>
      <c r="FDA1" s="122" t="s">
        <v>4159</v>
      </c>
      <c r="FDB1" s="122" t="s">
        <v>4160</v>
      </c>
      <c r="FDC1" s="122" t="s">
        <v>4161</v>
      </c>
      <c r="FDD1" s="122" t="s">
        <v>4162</v>
      </c>
      <c r="FDE1" s="122" t="s">
        <v>4163</v>
      </c>
      <c r="FDF1" s="122" t="s">
        <v>4164</v>
      </c>
      <c r="FDG1" s="122" t="s">
        <v>4165</v>
      </c>
      <c r="FDH1" s="122" t="s">
        <v>4166</v>
      </c>
      <c r="FDI1" s="122" t="s">
        <v>4167</v>
      </c>
      <c r="FDJ1" s="122" t="s">
        <v>4168</v>
      </c>
      <c r="FDK1" s="122" t="s">
        <v>4169</v>
      </c>
      <c r="FDL1" s="122" t="s">
        <v>4170</v>
      </c>
      <c r="FDM1" s="122" t="s">
        <v>4171</v>
      </c>
      <c r="FDN1" s="122" t="s">
        <v>4172</v>
      </c>
      <c r="FDO1" s="122" t="s">
        <v>4173</v>
      </c>
      <c r="FDP1" s="122" t="s">
        <v>4174</v>
      </c>
      <c r="FDQ1" s="122" t="s">
        <v>4175</v>
      </c>
      <c r="FDR1" s="122" t="s">
        <v>4176</v>
      </c>
      <c r="FDS1" s="122" t="s">
        <v>4177</v>
      </c>
      <c r="FDT1" s="122" t="s">
        <v>4178</v>
      </c>
      <c r="FDU1" s="122" t="s">
        <v>4179</v>
      </c>
      <c r="FDV1" s="122" t="s">
        <v>4180</v>
      </c>
      <c r="FDW1" s="122" t="s">
        <v>4181</v>
      </c>
      <c r="FDX1" s="122" t="s">
        <v>4182</v>
      </c>
      <c r="FDY1" s="122" t="s">
        <v>4183</v>
      </c>
      <c r="FDZ1" s="122" t="s">
        <v>4184</v>
      </c>
      <c r="FEA1" s="122" t="s">
        <v>4185</v>
      </c>
      <c r="FEB1" s="122" t="s">
        <v>4186</v>
      </c>
      <c r="FEC1" s="122" t="s">
        <v>4187</v>
      </c>
      <c r="FED1" s="122" t="s">
        <v>4188</v>
      </c>
      <c r="FEE1" s="122" t="s">
        <v>4189</v>
      </c>
      <c r="FEF1" s="122" t="s">
        <v>4190</v>
      </c>
      <c r="FEG1" s="122" t="s">
        <v>4191</v>
      </c>
      <c r="FEH1" s="122" t="s">
        <v>4192</v>
      </c>
      <c r="FEI1" s="122" t="s">
        <v>4193</v>
      </c>
      <c r="FEJ1" s="122" t="s">
        <v>4194</v>
      </c>
      <c r="FEK1" s="122" t="s">
        <v>4195</v>
      </c>
      <c r="FEL1" s="122" t="s">
        <v>4196</v>
      </c>
      <c r="FEM1" s="122" t="s">
        <v>4197</v>
      </c>
      <c r="FEN1" s="122" t="s">
        <v>4198</v>
      </c>
      <c r="FEO1" s="122" t="s">
        <v>4199</v>
      </c>
      <c r="FEP1" s="122" t="s">
        <v>4200</v>
      </c>
      <c r="FEQ1" s="122" t="s">
        <v>4201</v>
      </c>
      <c r="FER1" s="122" t="s">
        <v>4202</v>
      </c>
      <c r="FES1" s="122" t="s">
        <v>4203</v>
      </c>
      <c r="FET1" s="122" t="s">
        <v>4204</v>
      </c>
      <c r="FEU1" s="122" t="s">
        <v>4205</v>
      </c>
      <c r="FEV1" s="122" t="s">
        <v>4206</v>
      </c>
      <c r="FEW1" s="122" t="s">
        <v>4207</v>
      </c>
      <c r="FEX1" s="122" t="s">
        <v>4208</v>
      </c>
      <c r="FEY1" s="122" t="s">
        <v>4209</v>
      </c>
      <c r="FEZ1" s="122" t="s">
        <v>4210</v>
      </c>
      <c r="FFA1" s="122" t="s">
        <v>4211</v>
      </c>
      <c r="FFB1" s="122" t="s">
        <v>4212</v>
      </c>
      <c r="FFC1" s="122" t="s">
        <v>4213</v>
      </c>
      <c r="FFD1" s="122" t="s">
        <v>4214</v>
      </c>
      <c r="FFE1" s="122" t="s">
        <v>4215</v>
      </c>
      <c r="FFF1" s="122" t="s">
        <v>4216</v>
      </c>
      <c r="FFG1" s="122" t="s">
        <v>4217</v>
      </c>
      <c r="FFH1" s="122" t="s">
        <v>4218</v>
      </c>
      <c r="FFI1" s="122" t="s">
        <v>4219</v>
      </c>
      <c r="FFJ1" s="122" t="s">
        <v>4220</v>
      </c>
      <c r="FFK1" s="122" t="s">
        <v>4221</v>
      </c>
      <c r="FFL1" s="122" t="s">
        <v>4222</v>
      </c>
      <c r="FFM1" s="122" t="s">
        <v>4223</v>
      </c>
      <c r="FFN1" s="122" t="s">
        <v>4224</v>
      </c>
      <c r="FFO1" s="122" t="s">
        <v>4225</v>
      </c>
      <c r="FFP1" s="122" t="s">
        <v>4226</v>
      </c>
      <c r="FFQ1" s="122" t="s">
        <v>4227</v>
      </c>
      <c r="FFR1" s="122" t="s">
        <v>4228</v>
      </c>
      <c r="FFS1" s="122" t="s">
        <v>4229</v>
      </c>
      <c r="FFT1" s="122" t="s">
        <v>4230</v>
      </c>
      <c r="FFU1" s="122" t="s">
        <v>4231</v>
      </c>
      <c r="FFV1" s="122" t="s">
        <v>4232</v>
      </c>
      <c r="FFW1" s="122" t="s">
        <v>4233</v>
      </c>
      <c r="FFX1" s="122" t="s">
        <v>4234</v>
      </c>
      <c r="FFY1" s="122" t="s">
        <v>4235</v>
      </c>
      <c r="FFZ1" s="122" t="s">
        <v>4236</v>
      </c>
      <c r="FGA1" s="122" t="s">
        <v>4237</v>
      </c>
      <c r="FGB1" s="122" t="s">
        <v>4238</v>
      </c>
      <c r="FGC1" s="122" t="s">
        <v>4239</v>
      </c>
      <c r="FGD1" s="122" t="s">
        <v>4240</v>
      </c>
      <c r="FGE1" s="122" t="s">
        <v>4241</v>
      </c>
      <c r="FGF1" s="122" t="s">
        <v>4242</v>
      </c>
      <c r="FGG1" s="122" t="s">
        <v>4243</v>
      </c>
      <c r="FGH1" s="122" t="s">
        <v>4244</v>
      </c>
      <c r="FGI1" s="122" t="s">
        <v>4245</v>
      </c>
      <c r="FGJ1" s="122" t="s">
        <v>4246</v>
      </c>
      <c r="FGK1" s="122" t="s">
        <v>4247</v>
      </c>
      <c r="FGL1" s="122" t="s">
        <v>4248</v>
      </c>
      <c r="FGM1" s="122" t="s">
        <v>4249</v>
      </c>
      <c r="FGN1" s="122" t="s">
        <v>4250</v>
      </c>
      <c r="FGO1" s="122" t="s">
        <v>4251</v>
      </c>
      <c r="FGP1" s="122" t="s">
        <v>4252</v>
      </c>
      <c r="FGQ1" s="122" t="s">
        <v>4253</v>
      </c>
      <c r="FGR1" s="122" t="s">
        <v>4254</v>
      </c>
      <c r="FGS1" s="122" t="s">
        <v>4255</v>
      </c>
      <c r="FGT1" s="122" t="s">
        <v>4256</v>
      </c>
      <c r="FGU1" s="122" t="s">
        <v>4257</v>
      </c>
      <c r="FGV1" s="122" t="s">
        <v>4258</v>
      </c>
      <c r="FGW1" s="122" t="s">
        <v>4259</v>
      </c>
      <c r="FGX1" s="122" t="s">
        <v>4260</v>
      </c>
      <c r="FGY1" s="122" t="s">
        <v>4261</v>
      </c>
      <c r="FGZ1" s="122" t="s">
        <v>4262</v>
      </c>
      <c r="FHA1" s="122" t="s">
        <v>4263</v>
      </c>
      <c r="FHB1" s="122" t="s">
        <v>4264</v>
      </c>
      <c r="FHC1" s="122" t="s">
        <v>4265</v>
      </c>
      <c r="FHD1" s="122" t="s">
        <v>4266</v>
      </c>
      <c r="FHE1" s="122" t="s">
        <v>4267</v>
      </c>
      <c r="FHF1" s="122" t="s">
        <v>4268</v>
      </c>
      <c r="FHG1" s="122" t="s">
        <v>4269</v>
      </c>
      <c r="FHH1" s="122" t="s">
        <v>4270</v>
      </c>
      <c r="FHI1" s="122" t="s">
        <v>4271</v>
      </c>
      <c r="FHJ1" s="122" t="s">
        <v>4272</v>
      </c>
      <c r="FHK1" s="122" t="s">
        <v>4273</v>
      </c>
      <c r="FHL1" s="122" t="s">
        <v>4274</v>
      </c>
      <c r="FHM1" s="122" t="s">
        <v>4275</v>
      </c>
      <c r="FHN1" s="122" t="s">
        <v>4276</v>
      </c>
      <c r="FHO1" s="122" t="s">
        <v>4277</v>
      </c>
      <c r="FHP1" s="122" t="s">
        <v>4278</v>
      </c>
      <c r="FHQ1" s="122" t="s">
        <v>4279</v>
      </c>
      <c r="FHR1" s="122" t="s">
        <v>4280</v>
      </c>
      <c r="FHS1" s="122" t="s">
        <v>4281</v>
      </c>
      <c r="FHT1" s="122" t="s">
        <v>4282</v>
      </c>
      <c r="FHU1" s="122" t="s">
        <v>4283</v>
      </c>
      <c r="FHV1" s="122" t="s">
        <v>4284</v>
      </c>
      <c r="FHW1" s="122" t="s">
        <v>4285</v>
      </c>
      <c r="FHX1" s="122" t="s">
        <v>4286</v>
      </c>
      <c r="FHY1" s="122" t="s">
        <v>4287</v>
      </c>
      <c r="FHZ1" s="122" t="s">
        <v>4288</v>
      </c>
      <c r="FIA1" s="122" t="s">
        <v>4289</v>
      </c>
      <c r="FIB1" s="122" t="s">
        <v>4290</v>
      </c>
      <c r="FIC1" s="122" t="s">
        <v>4291</v>
      </c>
      <c r="FID1" s="122" t="s">
        <v>4292</v>
      </c>
      <c r="FIE1" s="122" t="s">
        <v>4293</v>
      </c>
      <c r="FIF1" s="122" t="s">
        <v>4294</v>
      </c>
      <c r="FIG1" s="122" t="s">
        <v>4295</v>
      </c>
      <c r="FIH1" s="122" t="s">
        <v>4296</v>
      </c>
      <c r="FII1" s="122" t="s">
        <v>4297</v>
      </c>
      <c r="FIJ1" s="122" t="s">
        <v>4298</v>
      </c>
      <c r="FIK1" s="122" t="s">
        <v>4299</v>
      </c>
      <c r="FIL1" s="122" t="s">
        <v>4300</v>
      </c>
      <c r="FIM1" s="122" t="s">
        <v>4301</v>
      </c>
      <c r="FIN1" s="122" t="s">
        <v>4302</v>
      </c>
      <c r="FIO1" s="122" t="s">
        <v>4303</v>
      </c>
      <c r="FIP1" s="122" t="s">
        <v>4304</v>
      </c>
      <c r="FIQ1" s="122" t="s">
        <v>4305</v>
      </c>
      <c r="FIR1" s="122" t="s">
        <v>4306</v>
      </c>
      <c r="FIS1" s="122" t="s">
        <v>4307</v>
      </c>
      <c r="FIT1" s="122" t="s">
        <v>4308</v>
      </c>
      <c r="FIU1" s="122" t="s">
        <v>4309</v>
      </c>
      <c r="FIV1" s="122" t="s">
        <v>4310</v>
      </c>
      <c r="FIW1" s="122" t="s">
        <v>4311</v>
      </c>
      <c r="FIX1" s="122" t="s">
        <v>4312</v>
      </c>
      <c r="FIY1" s="122" t="s">
        <v>4313</v>
      </c>
      <c r="FIZ1" s="122" t="s">
        <v>4314</v>
      </c>
      <c r="FJA1" s="122" t="s">
        <v>4315</v>
      </c>
      <c r="FJB1" s="122" t="s">
        <v>4316</v>
      </c>
      <c r="FJC1" s="122" t="s">
        <v>4317</v>
      </c>
      <c r="FJD1" s="122" t="s">
        <v>4318</v>
      </c>
      <c r="FJE1" s="122" t="s">
        <v>4319</v>
      </c>
      <c r="FJF1" s="122" t="s">
        <v>4320</v>
      </c>
      <c r="FJG1" s="122" t="s">
        <v>4321</v>
      </c>
      <c r="FJH1" s="122" t="s">
        <v>4322</v>
      </c>
      <c r="FJI1" s="122" t="s">
        <v>4323</v>
      </c>
      <c r="FJJ1" s="122" t="s">
        <v>4324</v>
      </c>
      <c r="FJK1" s="122" t="s">
        <v>4325</v>
      </c>
      <c r="FJL1" s="122" t="s">
        <v>4326</v>
      </c>
      <c r="FJM1" s="122" t="s">
        <v>4327</v>
      </c>
      <c r="FJN1" s="122" t="s">
        <v>4328</v>
      </c>
      <c r="FJO1" s="122" t="s">
        <v>4329</v>
      </c>
      <c r="FJP1" s="122" t="s">
        <v>4330</v>
      </c>
      <c r="FJQ1" s="122" t="s">
        <v>4331</v>
      </c>
      <c r="FJR1" s="122" t="s">
        <v>4332</v>
      </c>
      <c r="FJS1" s="122" t="s">
        <v>4333</v>
      </c>
      <c r="FJT1" s="122" t="s">
        <v>4334</v>
      </c>
      <c r="FJU1" s="122" t="s">
        <v>4335</v>
      </c>
      <c r="FJV1" s="122" t="s">
        <v>4336</v>
      </c>
      <c r="FJW1" s="122" t="s">
        <v>4337</v>
      </c>
      <c r="FJX1" s="122" t="s">
        <v>4338</v>
      </c>
      <c r="FJY1" s="122" t="s">
        <v>4339</v>
      </c>
      <c r="FJZ1" s="122" t="s">
        <v>4340</v>
      </c>
      <c r="FKA1" s="122" t="s">
        <v>4341</v>
      </c>
      <c r="FKB1" s="122" t="s">
        <v>4342</v>
      </c>
      <c r="FKC1" s="122" t="s">
        <v>4343</v>
      </c>
      <c r="FKD1" s="122" t="s">
        <v>4344</v>
      </c>
      <c r="FKE1" s="122" t="s">
        <v>4345</v>
      </c>
      <c r="FKF1" s="122" t="s">
        <v>4346</v>
      </c>
      <c r="FKG1" s="122" t="s">
        <v>4347</v>
      </c>
      <c r="FKH1" s="122" t="s">
        <v>4348</v>
      </c>
      <c r="FKI1" s="122" t="s">
        <v>4349</v>
      </c>
      <c r="FKJ1" s="122" t="s">
        <v>4350</v>
      </c>
      <c r="FKK1" s="122" t="s">
        <v>4351</v>
      </c>
      <c r="FKL1" s="122" t="s">
        <v>4352</v>
      </c>
      <c r="FKM1" s="122" t="s">
        <v>4353</v>
      </c>
      <c r="FKN1" s="122" t="s">
        <v>4354</v>
      </c>
      <c r="FKO1" s="122" t="s">
        <v>4355</v>
      </c>
      <c r="FKP1" s="122" t="s">
        <v>4356</v>
      </c>
      <c r="FKQ1" s="122" t="s">
        <v>4357</v>
      </c>
      <c r="FKR1" s="122" t="s">
        <v>4358</v>
      </c>
      <c r="FKS1" s="122" t="s">
        <v>4359</v>
      </c>
      <c r="FKT1" s="122" t="s">
        <v>4360</v>
      </c>
      <c r="FKU1" s="122" t="s">
        <v>4361</v>
      </c>
      <c r="FKV1" s="122" t="s">
        <v>4362</v>
      </c>
      <c r="FKW1" s="122" t="s">
        <v>4363</v>
      </c>
      <c r="FKX1" s="122" t="s">
        <v>4364</v>
      </c>
      <c r="FKY1" s="122" t="s">
        <v>4365</v>
      </c>
      <c r="FKZ1" s="122" t="s">
        <v>4366</v>
      </c>
      <c r="FLA1" s="122" t="s">
        <v>4367</v>
      </c>
      <c r="FLB1" s="122" t="s">
        <v>4368</v>
      </c>
      <c r="FLC1" s="122" t="s">
        <v>4369</v>
      </c>
      <c r="FLD1" s="122" t="s">
        <v>4370</v>
      </c>
      <c r="FLE1" s="122" t="s">
        <v>4371</v>
      </c>
      <c r="FLF1" s="122" t="s">
        <v>4372</v>
      </c>
      <c r="FLG1" s="122" t="s">
        <v>4373</v>
      </c>
      <c r="FLH1" s="122" t="s">
        <v>4374</v>
      </c>
      <c r="FLI1" s="122" t="s">
        <v>4375</v>
      </c>
      <c r="FLJ1" s="122" t="s">
        <v>4376</v>
      </c>
      <c r="FLK1" s="122" t="s">
        <v>4377</v>
      </c>
      <c r="FLL1" s="122" t="s">
        <v>4378</v>
      </c>
      <c r="FLM1" s="122" t="s">
        <v>4379</v>
      </c>
      <c r="FLN1" s="122" t="s">
        <v>4380</v>
      </c>
      <c r="FLO1" s="122" t="s">
        <v>4381</v>
      </c>
      <c r="FLP1" s="122" t="s">
        <v>4382</v>
      </c>
      <c r="FLQ1" s="122" t="s">
        <v>4383</v>
      </c>
      <c r="FLR1" s="122" t="s">
        <v>4384</v>
      </c>
      <c r="FLS1" s="122" t="s">
        <v>4385</v>
      </c>
      <c r="FLT1" s="122" t="s">
        <v>4386</v>
      </c>
      <c r="FLU1" s="122" t="s">
        <v>4387</v>
      </c>
      <c r="FLV1" s="122" t="s">
        <v>4388</v>
      </c>
      <c r="FLW1" s="122" t="s">
        <v>4389</v>
      </c>
      <c r="FLX1" s="122" t="s">
        <v>4390</v>
      </c>
      <c r="FLY1" s="122" t="s">
        <v>4391</v>
      </c>
      <c r="FLZ1" s="122" t="s">
        <v>4392</v>
      </c>
      <c r="FMA1" s="122" t="s">
        <v>4393</v>
      </c>
      <c r="FMB1" s="122" t="s">
        <v>4394</v>
      </c>
      <c r="FMC1" s="122" t="s">
        <v>4395</v>
      </c>
      <c r="FMD1" s="122" t="s">
        <v>4396</v>
      </c>
      <c r="FME1" s="122" t="s">
        <v>4397</v>
      </c>
      <c r="FMF1" s="122" t="s">
        <v>4398</v>
      </c>
      <c r="FMG1" s="122" t="s">
        <v>4399</v>
      </c>
      <c r="FMH1" s="122" t="s">
        <v>4400</v>
      </c>
      <c r="FMI1" s="122" t="s">
        <v>4401</v>
      </c>
      <c r="FMJ1" s="122" t="s">
        <v>4402</v>
      </c>
      <c r="FMK1" s="122" t="s">
        <v>4403</v>
      </c>
      <c r="FML1" s="122" t="s">
        <v>4404</v>
      </c>
      <c r="FMM1" s="122" t="s">
        <v>4405</v>
      </c>
      <c r="FMN1" s="122" t="s">
        <v>4406</v>
      </c>
      <c r="FMO1" s="122" t="s">
        <v>4407</v>
      </c>
      <c r="FMP1" s="122" t="s">
        <v>4408</v>
      </c>
      <c r="FMQ1" s="122" t="s">
        <v>4409</v>
      </c>
      <c r="FMR1" s="122" t="s">
        <v>4410</v>
      </c>
      <c r="FMS1" s="122" t="s">
        <v>4411</v>
      </c>
      <c r="FMT1" s="122" t="s">
        <v>4412</v>
      </c>
      <c r="FMU1" s="122" t="s">
        <v>4413</v>
      </c>
      <c r="FMV1" s="122" t="s">
        <v>4414</v>
      </c>
      <c r="FMW1" s="122" t="s">
        <v>4415</v>
      </c>
      <c r="FMX1" s="122" t="s">
        <v>4416</v>
      </c>
      <c r="FMY1" s="122" t="s">
        <v>4417</v>
      </c>
      <c r="FMZ1" s="122" t="s">
        <v>4418</v>
      </c>
      <c r="FNA1" s="122" t="s">
        <v>4419</v>
      </c>
      <c r="FNB1" s="122" t="s">
        <v>4420</v>
      </c>
      <c r="FNC1" s="122" t="s">
        <v>4421</v>
      </c>
      <c r="FND1" s="122" t="s">
        <v>4422</v>
      </c>
      <c r="FNE1" s="122" t="s">
        <v>4423</v>
      </c>
      <c r="FNF1" s="122" t="s">
        <v>4424</v>
      </c>
      <c r="FNG1" s="122" t="s">
        <v>4425</v>
      </c>
      <c r="FNH1" s="122" t="s">
        <v>4426</v>
      </c>
      <c r="FNI1" s="122" t="s">
        <v>4427</v>
      </c>
      <c r="FNJ1" s="122" t="s">
        <v>4428</v>
      </c>
      <c r="FNK1" s="122" t="s">
        <v>4429</v>
      </c>
      <c r="FNL1" s="122" t="s">
        <v>4430</v>
      </c>
      <c r="FNM1" s="122" t="s">
        <v>4431</v>
      </c>
      <c r="FNN1" s="122" t="s">
        <v>4432</v>
      </c>
      <c r="FNO1" s="122" t="s">
        <v>4433</v>
      </c>
      <c r="FNP1" s="122" t="s">
        <v>4434</v>
      </c>
      <c r="FNQ1" s="122" t="s">
        <v>4435</v>
      </c>
      <c r="FNR1" s="122" t="s">
        <v>4436</v>
      </c>
      <c r="FNS1" s="122" t="s">
        <v>4437</v>
      </c>
      <c r="FNT1" s="122" t="s">
        <v>4438</v>
      </c>
      <c r="FNU1" s="122" t="s">
        <v>4439</v>
      </c>
      <c r="FNV1" s="122" t="s">
        <v>4440</v>
      </c>
      <c r="FNW1" s="122" t="s">
        <v>4441</v>
      </c>
      <c r="FNX1" s="122" t="s">
        <v>4442</v>
      </c>
      <c r="FNY1" s="122" t="s">
        <v>4443</v>
      </c>
      <c r="FNZ1" s="122" t="s">
        <v>4444</v>
      </c>
      <c r="FOA1" s="122" t="s">
        <v>4445</v>
      </c>
      <c r="FOB1" s="122" t="s">
        <v>4446</v>
      </c>
      <c r="FOC1" s="122" t="s">
        <v>4447</v>
      </c>
      <c r="FOD1" s="122" t="s">
        <v>4448</v>
      </c>
      <c r="FOE1" s="122" t="s">
        <v>4449</v>
      </c>
      <c r="FOF1" s="122" t="s">
        <v>4450</v>
      </c>
      <c r="FOG1" s="122" t="s">
        <v>4451</v>
      </c>
      <c r="FOH1" s="122" t="s">
        <v>4452</v>
      </c>
      <c r="FOI1" s="122" t="s">
        <v>4453</v>
      </c>
      <c r="FOJ1" s="122" t="s">
        <v>4454</v>
      </c>
      <c r="FOK1" s="122" t="s">
        <v>4455</v>
      </c>
      <c r="FOL1" s="122" t="s">
        <v>4456</v>
      </c>
      <c r="FOM1" s="122" t="s">
        <v>4457</v>
      </c>
      <c r="FON1" s="122" t="s">
        <v>4458</v>
      </c>
      <c r="FOO1" s="122" t="s">
        <v>4459</v>
      </c>
      <c r="FOP1" s="122" t="s">
        <v>4460</v>
      </c>
      <c r="FOQ1" s="122" t="s">
        <v>4461</v>
      </c>
      <c r="FOR1" s="122" t="s">
        <v>4462</v>
      </c>
      <c r="FOS1" s="122" t="s">
        <v>4463</v>
      </c>
      <c r="FOT1" s="122" t="s">
        <v>4464</v>
      </c>
      <c r="FOU1" s="122" t="s">
        <v>4465</v>
      </c>
      <c r="FOV1" s="122" t="s">
        <v>4466</v>
      </c>
      <c r="FOW1" s="122" t="s">
        <v>4467</v>
      </c>
      <c r="FOX1" s="122" t="s">
        <v>4468</v>
      </c>
      <c r="FOY1" s="122" t="s">
        <v>4469</v>
      </c>
      <c r="FOZ1" s="122" t="s">
        <v>4470</v>
      </c>
      <c r="FPA1" s="122" t="s">
        <v>4471</v>
      </c>
      <c r="FPB1" s="122" t="s">
        <v>4472</v>
      </c>
      <c r="FPC1" s="122" t="s">
        <v>4473</v>
      </c>
      <c r="FPD1" s="122" t="s">
        <v>4474</v>
      </c>
      <c r="FPE1" s="122" t="s">
        <v>4475</v>
      </c>
      <c r="FPF1" s="122" t="s">
        <v>4476</v>
      </c>
      <c r="FPG1" s="122" t="s">
        <v>4477</v>
      </c>
      <c r="FPH1" s="122" t="s">
        <v>4478</v>
      </c>
      <c r="FPI1" s="122" t="s">
        <v>4479</v>
      </c>
      <c r="FPJ1" s="122" t="s">
        <v>4480</v>
      </c>
      <c r="FPK1" s="122" t="s">
        <v>4481</v>
      </c>
      <c r="FPL1" s="122" t="s">
        <v>4482</v>
      </c>
      <c r="FPM1" s="122" t="s">
        <v>4483</v>
      </c>
      <c r="FPN1" s="122" t="s">
        <v>4484</v>
      </c>
      <c r="FPO1" s="122" t="s">
        <v>4485</v>
      </c>
      <c r="FPP1" s="122" t="s">
        <v>4486</v>
      </c>
      <c r="FPQ1" s="122" t="s">
        <v>4487</v>
      </c>
      <c r="FPR1" s="122" t="s">
        <v>4488</v>
      </c>
      <c r="FPS1" s="122" t="s">
        <v>4489</v>
      </c>
      <c r="FPT1" s="122" t="s">
        <v>4490</v>
      </c>
      <c r="FPU1" s="122" t="s">
        <v>4491</v>
      </c>
      <c r="FPV1" s="122" t="s">
        <v>4492</v>
      </c>
      <c r="FPW1" s="122" t="s">
        <v>4493</v>
      </c>
      <c r="FPX1" s="122" t="s">
        <v>4494</v>
      </c>
      <c r="FPY1" s="122" t="s">
        <v>4495</v>
      </c>
      <c r="FPZ1" s="122" t="s">
        <v>4496</v>
      </c>
      <c r="FQA1" s="122" t="s">
        <v>4497</v>
      </c>
      <c r="FQB1" s="122" t="s">
        <v>4498</v>
      </c>
      <c r="FQC1" s="122" t="s">
        <v>4499</v>
      </c>
      <c r="FQD1" s="122" t="s">
        <v>4500</v>
      </c>
      <c r="FQE1" s="122" t="s">
        <v>4501</v>
      </c>
      <c r="FQF1" s="122" t="s">
        <v>4502</v>
      </c>
      <c r="FQG1" s="122" t="s">
        <v>4503</v>
      </c>
      <c r="FQH1" s="122" t="s">
        <v>4504</v>
      </c>
      <c r="FQI1" s="122" t="s">
        <v>4505</v>
      </c>
      <c r="FQJ1" s="122" t="s">
        <v>4506</v>
      </c>
      <c r="FQK1" s="122" t="s">
        <v>4507</v>
      </c>
      <c r="FQL1" s="122" t="s">
        <v>4508</v>
      </c>
      <c r="FQM1" s="122" t="s">
        <v>4509</v>
      </c>
      <c r="FQN1" s="122" t="s">
        <v>4510</v>
      </c>
      <c r="FQO1" s="122" t="s">
        <v>4511</v>
      </c>
      <c r="FQP1" s="122" t="s">
        <v>4512</v>
      </c>
      <c r="FQQ1" s="122" t="s">
        <v>4513</v>
      </c>
      <c r="FQR1" s="122" t="s">
        <v>4514</v>
      </c>
      <c r="FQS1" s="122" t="s">
        <v>4515</v>
      </c>
      <c r="FQT1" s="122" t="s">
        <v>4516</v>
      </c>
      <c r="FQU1" s="122" t="s">
        <v>4517</v>
      </c>
      <c r="FQV1" s="122" t="s">
        <v>4518</v>
      </c>
      <c r="FQW1" s="122" t="s">
        <v>4519</v>
      </c>
      <c r="FQX1" s="122" t="s">
        <v>4520</v>
      </c>
      <c r="FQY1" s="122" t="s">
        <v>4521</v>
      </c>
      <c r="FQZ1" s="122" t="s">
        <v>4522</v>
      </c>
      <c r="FRA1" s="122" t="s">
        <v>4523</v>
      </c>
      <c r="FRB1" s="122" t="s">
        <v>4524</v>
      </c>
      <c r="FRC1" s="122" t="s">
        <v>4525</v>
      </c>
      <c r="FRD1" s="122" t="s">
        <v>4526</v>
      </c>
      <c r="FRE1" s="122" t="s">
        <v>4527</v>
      </c>
      <c r="FRF1" s="122" t="s">
        <v>4528</v>
      </c>
      <c r="FRG1" s="122" t="s">
        <v>4529</v>
      </c>
      <c r="FRH1" s="122" t="s">
        <v>4530</v>
      </c>
      <c r="FRI1" s="122" t="s">
        <v>4531</v>
      </c>
      <c r="FRJ1" s="122" t="s">
        <v>4532</v>
      </c>
      <c r="FRK1" s="122" t="s">
        <v>4533</v>
      </c>
      <c r="FRL1" s="122" t="s">
        <v>4534</v>
      </c>
      <c r="FRM1" s="122" t="s">
        <v>4535</v>
      </c>
      <c r="FRN1" s="122" t="s">
        <v>4536</v>
      </c>
      <c r="FRO1" s="122" t="s">
        <v>4537</v>
      </c>
      <c r="FRP1" s="122" t="s">
        <v>4538</v>
      </c>
      <c r="FRQ1" s="122" t="s">
        <v>4539</v>
      </c>
      <c r="FRR1" s="122" t="s">
        <v>4540</v>
      </c>
      <c r="FRS1" s="122" t="s">
        <v>4541</v>
      </c>
      <c r="FRT1" s="122" t="s">
        <v>4542</v>
      </c>
      <c r="FRU1" s="122" t="s">
        <v>4543</v>
      </c>
      <c r="FRV1" s="122" t="s">
        <v>4544</v>
      </c>
      <c r="FRW1" s="122" t="s">
        <v>4545</v>
      </c>
      <c r="FRX1" s="122" t="s">
        <v>4546</v>
      </c>
      <c r="FRY1" s="122" t="s">
        <v>4547</v>
      </c>
      <c r="FRZ1" s="122" t="s">
        <v>4548</v>
      </c>
      <c r="FSA1" s="122" t="s">
        <v>4549</v>
      </c>
      <c r="FSB1" s="122" t="s">
        <v>4550</v>
      </c>
      <c r="FSC1" s="122" t="s">
        <v>4551</v>
      </c>
      <c r="FSD1" s="122" t="s">
        <v>4552</v>
      </c>
      <c r="FSE1" s="122" t="s">
        <v>4553</v>
      </c>
      <c r="FSF1" s="122" t="s">
        <v>4554</v>
      </c>
      <c r="FSG1" s="122" t="s">
        <v>4555</v>
      </c>
      <c r="FSH1" s="122" t="s">
        <v>4556</v>
      </c>
      <c r="FSI1" s="122" t="s">
        <v>4557</v>
      </c>
      <c r="FSJ1" s="122" t="s">
        <v>4558</v>
      </c>
      <c r="FSK1" s="122" t="s">
        <v>4559</v>
      </c>
      <c r="FSL1" s="122" t="s">
        <v>4560</v>
      </c>
      <c r="FSM1" s="122" t="s">
        <v>4561</v>
      </c>
      <c r="FSN1" s="122" t="s">
        <v>4562</v>
      </c>
      <c r="FSO1" s="122" t="s">
        <v>4563</v>
      </c>
      <c r="FSP1" s="122" t="s">
        <v>4564</v>
      </c>
      <c r="FSQ1" s="122" t="s">
        <v>4565</v>
      </c>
      <c r="FSR1" s="122" t="s">
        <v>4566</v>
      </c>
      <c r="FSS1" s="122" t="s">
        <v>4567</v>
      </c>
      <c r="FST1" s="122" t="s">
        <v>4568</v>
      </c>
      <c r="FSU1" s="122" t="s">
        <v>4569</v>
      </c>
      <c r="FSV1" s="122" t="s">
        <v>4570</v>
      </c>
      <c r="FSW1" s="122" t="s">
        <v>4571</v>
      </c>
      <c r="FSX1" s="122" t="s">
        <v>4572</v>
      </c>
      <c r="FSY1" s="122" t="s">
        <v>4573</v>
      </c>
      <c r="FSZ1" s="122" t="s">
        <v>4574</v>
      </c>
      <c r="FTA1" s="122" t="s">
        <v>4575</v>
      </c>
      <c r="FTB1" s="122" t="s">
        <v>4576</v>
      </c>
      <c r="FTC1" s="122" t="s">
        <v>4577</v>
      </c>
      <c r="FTD1" s="122" t="s">
        <v>4578</v>
      </c>
      <c r="FTE1" s="122" t="s">
        <v>4579</v>
      </c>
      <c r="FTF1" s="122" t="s">
        <v>4580</v>
      </c>
      <c r="FTG1" s="122" t="s">
        <v>4581</v>
      </c>
      <c r="FTH1" s="122" t="s">
        <v>4582</v>
      </c>
      <c r="FTI1" s="122" t="s">
        <v>4583</v>
      </c>
      <c r="FTJ1" s="122" t="s">
        <v>4584</v>
      </c>
      <c r="FTK1" s="122" t="s">
        <v>4585</v>
      </c>
      <c r="FTL1" s="122" t="s">
        <v>4586</v>
      </c>
      <c r="FTM1" s="122" t="s">
        <v>4587</v>
      </c>
      <c r="FTN1" s="122" t="s">
        <v>4588</v>
      </c>
      <c r="FTO1" s="122" t="s">
        <v>4589</v>
      </c>
      <c r="FTP1" s="122" t="s">
        <v>4590</v>
      </c>
      <c r="FTQ1" s="122" t="s">
        <v>4591</v>
      </c>
      <c r="FTR1" s="122" t="s">
        <v>4592</v>
      </c>
      <c r="FTS1" s="122" t="s">
        <v>4593</v>
      </c>
      <c r="FTT1" s="122" t="s">
        <v>4594</v>
      </c>
      <c r="FTU1" s="122" t="s">
        <v>4595</v>
      </c>
      <c r="FTV1" s="122" t="s">
        <v>4596</v>
      </c>
      <c r="FTW1" s="122" t="s">
        <v>4597</v>
      </c>
      <c r="FTX1" s="122" t="s">
        <v>4598</v>
      </c>
      <c r="FTY1" s="122" t="s">
        <v>4599</v>
      </c>
      <c r="FTZ1" s="122" t="s">
        <v>4600</v>
      </c>
      <c r="FUA1" s="122" t="s">
        <v>4601</v>
      </c>
      <c r="FUB1" s="122" t="s">
        <v>4602</v>
      </c>
      <c r="FUC1" s="122" t="s">
        <v>4603</v>
      </c>
      <c r="FUD1" s="122" t="s">
        <v>4604</v>
      </c>
      <c r="FUE1" s="122" t="s">
        <v>4605</v>
      </c>
      <c r="FUF1" s="122" t="s">
        <v>4606</v>
      </c>
      <c r="FUG1" s="122" t="s">
        <v>4607</v>
      </c>
      <c r="FUH1" s="122" t="s">
        <v>4608</v>
      </c>
      <c r="FUI1" s="122" t="s">
        <v>4609</v>
      </c>
      <c r="FUJ1" s="122" t="s">
        <v>4610</v>
      </c>
      <c r="FUK1" s="122" t="s">
        <v>4611</v>
      </c>
      <c r="FUL1" s="122" t="s">
        <v>4612</v>
      </c>
      <c r="FUM1" s="122" t="s">
        <v>4613</v>
      </c>
      <c r="FUN1" s="122" t="s">
        <v>4614</v>
      </c>
      <c r="FUO1" s="122" t="s">
        <v>4615</v>
      </c>
      <c r="FUP1" s="122" t="s">
        <v>4616</v>
      </c>
      <c r="FUQ1" s="122" t="s">
        <v>4617</v>
      </c>
      <c r="FUR1" s="122" t="s">
        <v>4618</v>
      </c>
      <c r="FUS1" s="122" t="s">
        <v>4619</v>
      </c>
      <c r="FUT1" s="122" t="s">
        <v>4620</v>
      </c>
      <c r="FUU1" s="122" t="s">
        <v>4621</v>
      </c>
      <c r="FUV1" s="122" t="s">
        <v>4622</v>
      </c>
      <c r="FUW1" s="122" t="s">
        <v>4623</v>
      </c>
      <c r="FUX1" s="122" t="s">
        <v>4624</v>
      </c>
      <c r="FUY1" s="122" t="s">
        <v>4625</v>
      </c>
      <c r="FUZ1" s="122" t="s">
        <v>4626</v>
      </c>
      <c r="FVA1" s="122" t="s">
        <v>4627</v>
      </c>
      <c r="FVB1" s="122" t="s">
        <v>4628</v>
      </c>
      <c r="FVC1" s="122" t="s">
        <v>4629</v>
      </c>
      <c r="FVD1" s="122" t="s">
        <v>4630</v>
      </c>
      <c r="FVE1" s="122" t="s">
        <v>4631</v>
      </c>
      <c r="FVF1" s="122" t="s">
        <v>4632</v>
      </c>
      <c r="FVG1" s="122" t="s">
        <v>4633</v>
      </c>
      <c r="FVH1" s="122" t="s">
        <v>4634</v>
      </c>
      <c r="FVI1" s="122" t="s">
        <v>4635</v>
      </c>
      <c r="FVJ1" s="122" t="s">
        <v>4636</v>
      </c>
      <c r="FVK1" s="122" t="s">
        <v>4637</v>
      </c>
      <c r="FVL1" s="122" t="s">
        <v>4638</v>
      </c>
      <c r="FVM1" s="122" t="s">
        <v>4639</v>
      </c>
      <c r="FVN1" s="122" t="s">
        <v>4640</v>
      </c>
      <c r="FVO1" s="122" t="s">
        <v>4641</v>
      </c>
      <c r="FVP1" s="122" t="s">
        <v>4642</v>
      </c>
      <c r="FVQ1" s="122" t="s">
        <v>4643</v>
      </c>
      <c r="FVR1" s="122" t="s">
        <v>4644</v>
      </c>
      <c r="FVS1" s="122" t="s">
        <v>4645</v>
      </c>
      <c r="FVT1" s="122" t="s">
        <v>4646</v>
      </c>
      <c r="FVU1" s="122" t="s">
        <v>4647</v>
      </c>
      <c r="FVV1" s="122" t="s">
        <v>4648</v>
      </c>
      <c r="FVW1" s="122" t="s">
        <v>4649</v>
      </c>
      <c r="FVX1" s="122" t="s">
        <v>4650</v>
      </c>
      <c r="FVY1" s="122" t="s">
        <v>4651</v>
      </c>
      <c r="FVZ1" s="122" t="s">
        <v>4652</v>
      </c>
      <c r="FWA1" s="122" t="s">
        <v>4653</v>
      </c>
      <c r="FWB1" s="122" t="s">
        <v>4654</v>
      </c>
      <c r="FWC1" s="122" t="s">
        <v>4655</v>
      </c>
      <c r="FWD1" s="122" t="s">
        <v>4656</v>
      </c>
      <c r="FWE1" s="122" t="s">
        <v>4657</v>
      </c>
      <c r="FWF1" s="122" t="s">
        <v>4658</v>
      </c>
      <c r="FWG1" s="122" t="s">
        <v>4659</v>
      </c>
      <c r="FWH1" s="122" t="s">
        <v>4660</v>
      </c>
      <c r="FWI1" s="122" t="s">
        <v>4661</v>
      </c>
      <c r="FWJ1" s="122" t="s">
        <v>4662</v>
      </c>
      <c r="FWK1" s="122" t="s">
        <v>4663</v>
      </c>
      <c r="FWL1" s="122" t="s">
        <v>4664</v>
      </c>
      <c r="FWM1" s="122" t="s">
        <v>4665</v>
      </c>
      <c r="FWN1" s="122" t="s">
        <v>4666</v>
      </c>
      <c r="FWO1" s="122" t="s">
        <v>4667</v>
      </c>
      <c r="FWP1" s="122" t="s">
        <v>4668</v>
      </c>
      <c r="FWQ1" s="122" t="s">
        <v>4669</v>
      </c>
      <c r="FWR1" s="122" t="s">
        <v>4670</v>
      </c>
      <c r="FWS1" s="122" t="s">
        <v>4671</v>
      </c>
      <c r="FWT1" s="122" t="s">
        <v>4672</v>
      </c>
      <c r="FWU1" s="122" t="s">
        <v>4673</v>
      </c>
      <c r="FWV1" s="122" t="s">
        <v>4674</v>
      </c>
      <c r="FWW1" s="122" t="s">
        <v>4675</v>
      </c>
      <c r="FWX1" s="122" t="s">
        <v>4676</v>
      </c>
      <c r="FWY1" s="122" t="s">
        <v>4677</v>
      </c>
      <c r="FWZ1" s="122" t="s">
        <v>4678</v>
      </c>
      <c r="FXA1" s="122" t="s">
        <v>4679</v>
      </c>
      <c r="FXB1" s="122" t="s">
        <v>4680</v>
      </c>
      <c r="FXC1" s="122" t="s">
        <v>4681</v>
      </c>
      <c r="FXD1" s="122" t="s">
        <v>4682</v>
      </c>
      <c r="FXE1" s="122" t="s">
        <v>4683</v>
      </c>
      <c r="FXF1" s="122" t="s">
        <v>4684</v>
      </c>
      <c r="FXG1" s="122" t="s">
        <v>4685</v>
      </c>
      <c r="FXH1" s="122" t="s">
        <v>4686</v>
      </c>
      <c r="FXI1" s="122" t="s">
        <v>4687</v>
      </c>
      <c r="FXJ1" s="122" t="s">
        <v>4688</v>
      </c>
      <c r="FXK1" s="122" t="s">
        <v>4689</v>
      </c>
      <c r="FXL1" s="122" t="s">
        <v>4690</v>
      </c>
      <c r="FXM1" s="122" t="s">
        <v>4691</v>
      </c>
      <c r="FXN1" s="122" t="s">
        <v>4692</v>
      </c>
      <c r="FXO1" s="122" t="s">
        <v>4693</v>
      </c>
      <c r="FXP1" s="122" t="s">
        <v>4694</v>
      </c>
      <c r="FXQ1" s="122" t="s">
        <v>4695</v>
      </c>
      <c r="FXR1" s="122" t="s">
        <v>4696</v>
      </c>
      <c r="FXS1" s="122" t="s">
        <v>4697</v>
      </c>
      <c r="FXT1" s="122" t="s">
        <v>4698</v>
      </c>
      <c r="FXU1" s="122" t="s">
        <v>4699</v>
      </c>
      <c r="FXV1" s="122" t="s">
        <v>4700</v>
      </c>
      <c r="FXW1" s="122" t="s">
        <v>4701</v>
      </c>
      <c r="FXX1" s="122" t="s">
        <v>4702</v>
      </c>
      <c r="FXY1" s="122" t="s">
        <v>4703</v>
      </c>
      <c r="FXZ1" s="122" t="s">
        <v>4704</v>
      </c>
      <c r="FYA1" s="122" t="s">
        <v>4705</v>
      </c>
      <c r="FYB1" s="122" t="s">
        <v>4706</v>
      </c>
      <c r="FYC1" s="122" t="s">
        <v>4707</v>
      </c>
      <c r="FYD1" s="122" t="s">
        <v>4708</v>
      </c>
      <c r="FYE1" s="122" t="s">
        <v>4709</v>
      </c>
      <c r="FYF1" s="122" t="s">
        <v>4710</v>
      </c>
      <c r="FYG1" s="122" t="s">
        <v>4711</v>
      </c>
      <c r="FYH1" s="122" t="s">
        <v>4712</v>
      </c>
      <c r="FYI1" s="122" t="s">
        <v>4713</v>
      </c>
      <c r="FYJ1" s="122" t="s">
        <v>4714</v>
      </c>
      <c r="FYK1" s="122" t="s">
        <v>4715</v>
      </c>
      <c r="FYL1" s="122" t="s">
        <v>4716</v>
      </c>
      <c r="FYM1" s="122" t="s">
        <v>4717</v>
      </c>
      <c r="FYN1" s="122" t="s">
        <v>4718</v>
      </c>
      <c r="FYO1" s="122" t="s">
        <v>4719</v>
      </c>
      <c r="FYP1" s="122" t="s">
        <v>4720</v>
      </c>
      <c r="FYQ1" s="122" t="s">
        <v>4721</v>
      </c>
      <c r="FYR1" s="122" t="s">
        <v>4722</v>
      </c>
      <c r="FYS1" s="122" t="s">
        <v>4723</v>
      </c>
      <c r="FYT1" s="122" t="s">
        <v>4724</v>
      </c>
      <c r="FYU1" s="122" t="s">
        <v>4725</v>
      </c>
      <c r="FYV1" s="122" t="s">
        <v>4726</v>
      </c>
      <c r="FYW1" s="122" t="s">
        <v>4727</v>
      </c>
      <c r="FYX1" s="122" t="s">
        <v>4728</v>
      </c>
      <c r="FYY1" s="122" t="s">
        <v>4729</v>
      </c>
      <c r="FYZ1" s="122" t="s">
        <v>4730</v>
      </c>
      <c r="FZA1" s="122" t="s">
        <v>4731</v>
      </c>
      <c r="FZB1" s="122" t="s">
        <v>4732</v>
      </c>
      <c r="FZC1" s="122" t="s">
        <v>4733</v>
      </c>
      <c r="FZD1" s="122" t="s">
        <v>4734</v>
      </c>
      <c r="FZE1" s="122" t="s">
        <v>4735</v>
      </c>
      <c r="FZF1" s="122" t="s">
        <v>4736</v>
      </c>
      <c r="FZG1" s="122" t="s">
        <v>4737</v>
      </c>
      <c r="FZH1" s="122" t="s">
        <v>4738</v>
      </c>
      <c r="FZI1" s="122" t="s">
        <v>4739</v>
      </c>
      <c r="FZJ1" s="122" t="s">
        <v>4740</v>
      </c>
      <c r="FZK1" s="122" t="s">
        <v>4741</v>
      </c>
      <c r="FZL1" s="122" t="s">
        <v>4742</v>
      </c>
      <c r="FZM1" s="122" t="s">
        <v>4743</v>
      </c>
      <c r="FZN1" s="122" t="s">
        <v>4744</v>
      </c>
      <c r="FZO1" s="122" t="s">
        <v>4745</v>
      </c>
      <c r="FZP1" s="122" t="s">
        <v>4746</v>
      </c>
      <c r="FZQ1" s="122" t="s">
        <v>4747</v>
      </c>
      <c r="FZR1" s="122" t="s">
        <v>4748</v>
      </c>
      <c r="FZS1" s="122" t="s">
        <v>4749</v>
      </c>
      <c r="FZT1" s="122" t="s">
        <v>4750</v>
      </c>
      <c r="FZU1" s="122" t="s">
        <v>4751</v>
      </c>
      <c r="FZV1" s="122" t="s">
        <v>4752</v>
      </c>
      <c r="FZW1" s="122" t="s">
        <v>4753</v>
      </c>
      <c r="FZX1" s="122" t="s">
        <v>4754</v>
      </c>
      <c r="FZY1" s="122" t="s">
        <v>4755</v>
      </c>
      <c r="FZZ1" s="122" t="s">
        <v>4756</v>
      </c>
      <c r="GAA1" s="122" t="s">
        <v>4757</v>
      </c>
      <c r="GAB1" s="122" t="s">
        <v>4758</v>
      </c>
      <c r="GAC1" s="122" t="s">
        <v>4759</v>
      </c>
      <c r="GAD1" s="122" t="s">
        <v>4760</v>
      </c>
      <c r="GAE1" s="122" t="s">
        <v>4761</v>
      </c>
      <c r="GAF1" s="122" t="s">
        <v>4762</v>
      </c>
      <c r="GAG1" s="122" t="s">
        <v>4763</v>
      </c>
      <c r="GAH1" s="122" t="s">
        <v>4764</v>
      </c>
      <c r="GAI1" s="122" t="s">
        <v>4765</v>
      </c>
      <c r="GAJ1" s="122" t="s">
        <v>4766</v>
      </c>
      <c r="GAK1" s="122" t="s">
        <v>4767</v>
      </c>
      <c r="GAL1" s="122" t="s">
        <v>4768</v>
      </c>
      <c r="GAM1" s="122" t="s">
        <v>4769</v>
      </c>
      <c r="GAN1" s="122" t="s">
        <v>4770</v>
      </c>
      <c r="GAO1" s="122" t="s">
        <v>4771</v>
      </c>
      <c r="GAP1" s="122" t="s">
        <v>4772</v>
      </c>
      <c r="GAQ1" s="122" t="s">
        <v>4773</v>
      </c>
      <c r="GAR1" s="122" t="s">
        <v>4774</v>
      </c>
      <c r="GAS1" s="122" t="s">
        <v>4775</v>
      </c>
      <c r="GAT1" s="122" t="s">
        <v>4776</v>
      </c>
      <c r="GAU1" s="122" t="s">
        <v>4777</v>
      </c>
      <c r="GAV1" s="122" t="s">
        <v>4778</v>
      </c>
      <c r="GAW1" s="122" t="s">
        <v>4779</v>
      </c>
      <c r="GAX1" s="122" t="s">
        <v>4780</v>
      </c>
      <c r="GAY1" s="122" t="s">
        <v>4781</v>
      </c>
      <c r="GAZ1" s="122" t="s">
        <v>4782</v>
      </c>
      <c r="GBA1" s="122" t="s">
        <v>4783</v>
      </c>
      <c r="GBB1" s="122" t="s">
        <v>4784</v>
      </c>
      <c r="GBC1" s="122" t="s">
        <v>4785</v>
      </c>
      <c r="GBD1" s="122" t="s">
        <v>4786</v>
      </c>
      <c r="GBE1" s="122" t="s">
        <v>4787</v>
      </c>
      <c r="GBF1" s="122" t="s">
        <v>4788</v>
      </c>
      <c r="GBG1" s="122" t="s">
        <v>4789</v>
      </c>
      <c r="GBH1" s="122" t="s">
        <v>4790</v>
      </c>
      <c r="GBI1" s="122" t="s">
        <v>4791</v>
      </c>
      <c r="GBJ1" s="122" t="s">
        <v>4792</v>
      </c>
      <c r="GBK1" s="122" t="s">
        <v>4793</v>
      </c>
      <c r="GBL1" s="122" t="s">
        <v>4794</v>
      </c>
      <c r="GBM1" s="122" t="s">
        <v>4795</v>
      </c>
      <c r="GBN1" s="122" t="s">
        <v>4796</v>
      </c>
      <c r="GBO1" s="122" t="s">
        <v>4797</v>
      </c>
      <c r="GBP1" s="122" t="s">
        <v>4798</v>
      </c>
      <c r="GBQ1" s="122" t="s">
        <v>4799</v>
      </c>
      <c r="GBR1" s="122" t="s">
        <v>4800</v>
      </c>
      <c r="GBS1" s="122" t="s">
        <v>4801</v>
      </c>
      <c r="GBT1" s="122" t="s">
        <v>4802</v>
      </c>
      <c r="GBU1" s="122" t="s">
        <v>4803</v>
      </c>
      <c r="GBV1" s="122" t="s">
        <v>4804</v>
      </c>
      <c r="GBW1" s="122" t="s">
        <v>4805</v>
      </c>
      <c r="GBX1" s="122" t="s">
        <v>4806</v>
      </c>
      <c r="GBY1" s="122" t="s">
        <v>4807</v>
      </c>
      <c r="GBZ1" s="122" t="s">
        <v>4808</v>
      </c>
      <c r="GCA1" s="122" t="s">
        <v>4809</v>
      </c>
      <c r="GCB1" s="122" t="s">
        <v>4810</v>
      </c>
      <c r="GCC1" s="122" t="s">
        <v>4811</v>
      </c>
      <c r="GCD1" s="122" t="s">
        <v>4812</v>
      </c>
      <c r="GCE1" s="122" t="s">
        <v>4813</v>
      </c>
      <c r="GCF1" s="122" t="s">
        <v>4814</v>
      </c>
      <c r="GCG1" s="122" t="s">
        <v>4815</v>
      </c>
      <c r="GCH1" s="122" t="s">
        <v>4816</v>
      </c>
      <c r="GCI1" s="122" t="s">
        <v>4817</v>
      </c>
      <c r="GCJ1" s="122" t="s">
        <v>4818</v>
      </c>
      <c r="GCK1" s="122" t="s">
        <v>4819</v>
      </c>
      <c r="GCL1" s="122" t="s">
        <v>4820</v>
      </c>
      <c r="GCM1" s="122" t="s">
        <v>4821</v>
      </c>
      <c r="GCN1" s="122" t="s">
        <v>4822</v>
      </c>
      <c r="GCO1" s="122" t="s">
        <v>4823</v>
      </c>
      <c r="GCP1" s="122" t="s">
        <v>4824</v>
      </c>
      <c r="GCQ1" s="122" t="s">
        <v>4825</v>
      </c>
      <c r="GCR1" s="122" t="s">
        <v>4826</v>
      </c>
      <c r="GCS1" s="122" t="s">
        <v>4827</v>
      </c>
      <c r="GCT1" s="122" t="s">
        <v>4828</v>
      </c>
      <c r="GCU1" s="122" t="s">
        <v>4829</v>
      </c>
      <c r="GCV1" s="122" t="s">
        <v>4830</v>
      </c>
      <c r="GCW1" s="122" t="s">
        <v>4831</v>
      </c>
      <c r="GCX1" s="122" t="s">
        <v>4832</v>
      </c>
      <c r="GCY1" s="122" t="s">
        <v>4833</v>
      </c>
      <c r="GCZ1" s="122" t="s">
        <v>4834</v>
      </c>
      <c r="GDA1" s="122" t="s">
        <v>4835</v>
      </c>
      <c r="GDB1" s="122" t="s">
        <v>4836</v>
      </c>
      <c r="GDC1" s="122" t="s">
        <v>4837</v>
      </c>
      <c r="GDD1" s="122" t="s">
        <v>4838</v>
      </c>
      <c r="GDE1" s="122" t="s">
        <v>4839</v>
      </c>
      <c r="GDF1" s="122" t="s">
        <v>4840</v>
      </c>
      <c r="GDG1" s="122" t="s">
        <v>4841</v>
      </c>
      <c r="GDH1" s="122" t="s">
        <v>4842</v>
      </c>
      <c r="GDI1" s="122" t="s">
        <v>4843</v>
      </c>
      <c r="GDJ1" s="122" t="s">
        <v>4844</v>
      </c>
      <c r="GDK1" s="122" t="s">
        <v>4845</v>
      </c>
      <c r="GDL1" s="122" t="s">
        <v>4846</v>
      </c>
      <c r="GDM1" s="122" t="s">
        <v>4847</v>
      </c>
      <c r="GDN1" s="122" t="s">
        <v>4848</v>
      </c>
      <c r="GDO1" s="122" t="s">
        <v>4849</v>
      </c>
      <c r="GDP1" s="122" t="s">
        <v>4850</v>
      </c>
      <c r="GDQ1" s="122" t="s">
        <v>4851</v>
      </c>
      <c r="GDR1" s="122" t="s">
        <v>4852</v>
      </c>
      <c r="GDS1" s="122" t="s">
        <v>4853</v>
      </c>
      <c r="GDT1" s="122" t="s">
        <v>4854</v>
      </c>
      <c r="GDU1" s="122" t="s">
        <v>4855</v>
      </c>
      <c r="GDV1" s="122" t="s">
        <v>4856</v>
      </c>
      <c r="GDW1" s="122" t="s">
        <v>4857</v>
      </c>
      <c r="GDX1" s="122" t="s">
        <v>4858</v>
      </c>
      <c r="GDY1" s="122" t="s">
        <v>4859</v>
      </c>
      <c r="GDZ1" s="122" t="s">
        <v>4860</v>
      </c>
      <c r="GEA1" s="122" t="s">
        <v>4861</v>
      </c>
      <c r="GEB1" s="122" t="s">
        <v>4862</v>
      </c>
      <c r="GEC1" s="122" t="s">
        <v>4863</v>
      </c>
      <c r="GED1" s="122" t="s">
        <v>4864</v>
      </c>
      <c r="GEE1" s="122" t="s">
        <v>4865</v>
      </c>
      <c r="GEF1" s="122" t="s">
        <v>4866</v>
      </c>
      <c r="GEG1" s="122" t="s">
        <v>4867</v>
      </c>
      <c r="GEH1" s="122" t="s">
        <v>4868</v>
      </c>
      <c r="GEI1" s="122" t="s">
        <v>4869</v>
      </c>
      <c r="GEJ1" s="122" t="s">
        <v>4870</v>
      </c>
      <c r="GEK1" s="122" t="s">
        <v>4871</v>
      </c>
      <c r="GEL1" s="122" t="s">
        <v>4872</v>
      </c>
      <c r="GEM1" s="122" t="s">
        <v>4873</v>
      </c>
      <c r="GEN1" s="122" t="s">
        <v>4874</v>
      </c>
      <c r="GEO1" s="122" t="s">
        <v>4875</v>
      </c>
      <c r="GEP1" s="122" t="s">
        <v>4876</v>
      </c>
      <c r="GEQ1" s="122" t="s">
        <v>4877</v>
      </c>
      <c r="GER1" s="122" t="s">
        <v>4878</v>
      </c>
      <c r="GES1" s="122" t="s">
        <v>4879</v>
      </c>
      <c r="GET1" s="122" t="s">
        <v>4880</v>
      </c>
      <c r="GEU1" s="122" t="s">
        <v>4881</v>
      </c>
      <c r="GEV1" s="122" t="s">
        <v>4882</v>
      </c>
      <c r="GEW1" s="122" t="s">
        <v>4883</v>
      </c>
      <c r="GEX1" s="122" t="s">
        <v>4884</v>
      </c>
      <c r="GEY1" s="122" t="s">
        <v>4885</v>
      </c>
      <c r="GEZ1" s="122" t="s">
        <v>4886</v>
      </c>
      <c r="GFA1" s="122" t="s">
        <v>4887</v>
      </c>
      <c r="GFB1" s="122" t="s">
        <v>4888</v>
      </c>
      <c r="GFC1" s="122" t="s">
        <v>4889</v>
      </c>
      <c r="GFD1" s="122" t="s">
        <v>4890</v>
      </c>
      <c r="GFE1" s="122" t="s">
        <v>4891</v>
      </c>
      <c r="GFF1" s="122" t="s">
        <v>4892</v>
      </c>
      <c r="GFG1" s="122" t="s">
        <v>4893</v>
      </c>
      <c r="GFH1" s="122" t="s">
        <v>4894</v>
      </c>
      <c r="GFI1" s="122" t="s">
        <v>4895</v>
      </c>
      <c r="GFJ1" s="122" t="s">
        <v>4896</v>
      </c>
      <c r="GFK1" s="122" t="s">
        <v>4897</v>
      </c>
      <c r="GFL1" s="122" t="s">
        <v>4898</v>
      </c>
      <c r="GFM1" s="122" t="s">
        <v>4899</v>
      </c>
      <c r="GFN1" s="122" t="s">
        <v>4900</v>
      </c>
      <c r="GFO1" s="122" t="s">
        <v>4901</v>
      </c>
      <c r="GFP1" s="122" t="s">
        <v>4902</v>
      </c>
      <c r="GFQ1" s="122" t="s">
        <v>4903</v>
      </c>
      <c r="GFR1" s="122" t="s">
        <v>4904</v>
      </c>
      <c r="GFS1" s="122" t="s">
        <v>4905</v>
      </c>
      <c r="GFT1" s="122" t="s">
        <v>4906</v>
      </c>
      <c r="GFU1" s="122" t="s">
        <v>4907</v>
      </c>
      <c r="GFV1" s="122" t="s">
        <v>4908</v>
      </c>
      <c r="GFW1" s="122" t="s">
        <v>4909</v>
      </c>
      <c r="GFX1" s="122" t="s">
        <v>4910</v>
      </c>
      <c r="GFY1" s="122" t="s">
        <v>4911</v>
      </c>
      <c r="GFZ1" s="122" t="s">
        <v>4912</v>
      </c>
      <c r="GGA1" s="122" t="s">
        <v>4913</v>
      </c>
      <c r="GGB1" s="122" t="s">
        <v>4914</v>
      </c>
      <c r="GGC1" s="122" t="s">
        <v>4915</v>
      </c>
      <c r="GGD1" s="122" t="s">
        <v>4916</v>
      </c>
      <c r="GGE1" s="122" t="s">
        <v>4917</v>
      </c>
      <c r="GGF1" s="122" t="s">
        <v>4918</v>
      </c>
      <c r="GGG1" s="122" t="s">
        <v>4919</v>
      </c>
      <c r="GGH1" s="122" t="s">
        <v>4920</v>
      </c>
      <c r="GGI1" s="122" t="s">
        <v>4921</v>
      </c>
      <c r="GGJ1" s="122" t="s">
        <v>4922</v>
      </c>
      <c r="GGK1" s="122" t="s">
        <v>4923</v>
      </c>
      <c r="GGL1" s="122" t="s">
        <v>4924</v>
      </c>
      <c r="GGM1" s="122" t="s">
        <v>4925</v>
      </c>
      <c r="GGN1" s="122" t="s">
        <v>4926</v>
      </c>
      <c r="GGO1" s="122" t="s">
        <v>4927</v>
      </c>
      <c r="GGP1" s="122" t="s">
        <v>4928</v>
      </c>
      <c r="GGQ1" s="122" t="s">
        <v>4929</v>
      </c>
      <c r="GGR1" s="122" t="s">
        <v>4930</v>
      </c>
      <c r="GGS1" s="122" t="s">
        <v>4931</v>
      </c>
      <c r="GGT1" s="122" t="s">
        <v>4932</v>
      </c>
      <c r="GGU1" s="122" t="s">
        <v>4933</v>
      </c>
      <c r="GGV1" s="122" t="s">
        <v>4934</v>
      </c>
      <c r="GGW1" s="122" t="s">
        <v>4935</v>
      </c>
      <c r="GGX1" s="122" t="s">
        <v>4936</v>
      </c>
      <c r="GGY1" s="122" t="s">
        <v>4937</v>
      </c>
      <c r="GGZ1" s="122" t="s">
        <v>4938</v>
      </c>
      <c r="GHA1" s="122" t="s">
        <v>4939</v>
      </c>
      <c r="GHB1" s="122" t="s">
        <v>4940</v>
      </c>
      <c r="GHC1" s="122" t="s">
        <v>4941</v>
      </c>
      <c r="GHD1" s="122" t="s">
        <v>4942</v>
      </c>
      <c r="GHE1" s="122" t="s">
        <v>4943</v>
      </c>
      <c r="GHF1" s="122" t="s">
        <v>4944</v>
      </c>
      <c r="GHG1" s="122" t="s">
        <v>4945</v>
      </c>
      <c r="GHH1" s="122" t="s">
        <v>4946</v>
      </c>
      <c r="GHI1" s="122" t="s">
        <v>4947</v>
      </c>
      <c r="GHJ1" s="122" t="s">
        <v>4948</v>
      </c>
      <c r="GHK1" s="122" t="s">
        <v>4949</v>
      </c>
      <c r="GHL1" s="122" t="s">
        <v>4950</v>
      </c>
      <c r="GHM1" s="122" t="s">
        <v>4951</v>
      </c>
      <c r="GHN1" s="122" t="s">
        <v>4952</v>
      </c>
      <c r="GHO1" s="122" t="s">
        <v>4953</v>
      </c>
      <c r="GHP1" s="122" t="s">
        <v>4954</v>
      </c>
      <c r="GHQ1" s="122" t="s">
        <v>4955</v>
      </c>
      <c r="GHR1" s="122" t="s">
        <v>4956</v>
      </c>
      <c r="GHS1" s="122" t="s">
        <v>4957</v>
      </c>
      <c r="GHT1" s="122" t="s">
        <v>4958</v>
      </c>
      <c r="GHU1" s="122" t="s">
        <v>4959</v>
      </c>
      <c r="GHV1" s="122" t="s">
        <v>4960</v>
      </c>
      <c r="GHW1" s="122" t="s">
        <v>4961</v>
      </c>
      <c r="GHX1" s="122" t="s">
        <v>4962</v>
      </c>
      <c r="GHY1" s="122" t="s">
        <v>4963</v>
      </c>
      <c r="GHZ1" s="122" t="s">
        <v>4964</v>
      </c>
      <c r="GIA1" s="122" t="s">
        <v>4965</v>
      </c>
      <c r="GIB1" s="122" t="s">
        <v>4966</v>
      </c>
      <c r="GIC1" s="122" t="s">
        <v>4967</v>
      </c>
      <c r="GID1" s="122" t="s">
        <v>4968</v>
      </c>
      <c r="GIE1" s="122" t="s">
        <v>4969</v>
      </c>
      <c r="GIF1" s="122" t="s">
        <v>4970</v>
      </c>
      <c r="GIG1" s="122" t="s">
        <v>4971</v>
      </c>
      <c r="GIH1" s="122" t="s">
        <v>4972</v>
      </c>
      <c r="GII1" s="122" t="s">
        <v>4973</v>
      </c>
      <c r="GIJ1" s="122" t="s">
        <v>4974</v>
      </c>
      <c r="GIK1" s="122" t="s">
        <v>4975</v>
      </c>
      <c r="GIL1" s="122" t="s">
        <v>4976</v>
      </c>
      <c r="GIM1" s="122" t="s">
        <v>4977</v>
      </c>
      <c r="GIN1" s="122" t="s">
        <v>4978</v>
      </c>
      <c r="GIO1" s="122" t="s">
        <v>4979</v>
      </c>
      <c r="GIP1" s="122" t="s">
        <v>4980</v>
      </c>
      <c r="GIQ1" s="122" t="s">
        <v>4981</v>
      </c>
      <c r="GIR1" s="122" t="s">
        <v>4982</v>
      </c>
      <c r="GIS1" s="122" t="s">
        <v>4983</v>
      </c>
      <c r="GIT1" s="122" t="s">
        <v>4984</v>
      </c>
      <c r="GIU1" s="122" t="s">
        <v>4985</v>
      </c>
      <c r="GIV1" s="122" t="s">
        <v>4986</v>
      </c>
      <c r="GIW1" s="122" t="s">
        <v>4987</v>
      </c>
      <c r="GIX1" s="122" t="s">
        <v>4988</v>
      </c>
      <c r="GIY1" s="122" t="s">
        <v>4989</v>
      </c>
      <c r="GIZ1" s="122" t="s">
        <v>4990</v>
      </c>
      <c r="GJA1" s="122" t="s">
        <v>4991</v>
      </c>
      <c r="GJB1" s="122" t="s">
        <v>4992</v>
      </c>
      <c r="GJC1" s="122" t="s">
        <v>4993</v>
      </c>
      <c r="GJD1" s="122" t="s">
        <v>4994</v>
      </c>
      <c r="GJE1" s="122" t="s">
        <v>4995</v>
      </c>
      <c r="GJF1" s="122" t="s">
        <v>4996</v>
      </c>
      <c r="GJG1" s="122" t="s">
        <v>4997</v>
      </c>
      <c r="GJH1" s="122" t="s">
        <v>4998</v>
      </c>
      <c r="GJI1" s="122" t="s">
        <v>4999</v>
      </c>
      <c r="GJJ1" s="122" t="s">
        <v>5000</v>
      </c>
      <c r="GJK1" s="122" t="s">
        <v>5001</v>
      </c>
      <c r="GJL1" s="122" t="s">
        <v>5002</v>
      </c>
      <c r="GJM1" s="122" t="s">
        <v>5003</v>
      </c>
      <c r="GJN1" s="122" t="s">
        <v>5004</v>
      </c>
      <c r="GJO1" s="122" t="s">
        <v>5005</v>
      </c>
      <c r="GJP1" s="122" t="s">
        <v>5006</v>
      </c>
      <c r="GJQ1" s="122" t="s">
        <v>5007</v>
      </c>
      <c r="GJR1" s="122" t="s">
        <v>5008</v>
      </c>
      <c r="GJS1" s="122" t="s">
        <v>5009</v>
      </c>
      <c r="GJT1" s="122" t="s">
        <v>5010</v>
      </c>
      <c r="GJU1" s="122" t="s">
        <v>5011</v>
      </c>
      <c r="GJV1" s="122" t="s">
        <v>5012</v>
      </c>
      <c r="GJW1" s="122" t="s">
        <v>5013</v>
      </c>
      <c r="GJX1" s="122" t="s">
        <v>5014</v>
      </c>
      <c r="GJY1" s="122" t="s">
        <v>5015</v>
      </c>
      <c r="GJZ1" s="122" t="s">
        <v>5016</v>
      </c>
      <c r="GKA1" s="122" t="s">
        <v>5017</v>
      </c>
      <c r="GKB1" s="122" t="s">
        <v>5018</v>
      </c>
      <c r="GKC1" s="122" t="s">
        <v>5019</v>
      </c>
      <c r="GKD1" s="122" t="s">
        <v>5020</v>
      </c>
      <c r="GKE1" s="122" t="s">
        <v>5021</v>
      </c>
      <c r="GKF1" s="122" t="s">
        <v>5022</v>
      </c>
      <c r="GKG1" s="122" t="s">
        <v>5023</v>
      </c>
      <c r="GKH1" s="122" t="s">
        <v>5024</v>
      </c>
      <c r="GKI1" s="122" t="s">
        <v>5025</v>
      </c>
      <c r="GKJ1" s="122" t="s">
        <v>5026</v>
      </c>
      <c r="GKK1" s="122" t="s">
        <v>5027</v>
      </c>
      <c r="GKL1" s="122" t="s">
        <v>5028</v>
      </c>
      <c r="GKM1" s="122" t="s">
        <v>5029</v>
      </c>
      <c r="GKN1" s="122" t="s">
        <v>5030</v>
      </c>
      <c r="GKO1" s="122" t="s">
        <v>5031</v>
      </c>
      <c r="GKP1" s="122" t="s">
        <v>5032</v>
      </c>
      <c r="GKQ1" s="122" t="s">
        <v>5033</v>
      </c>
      <c r="GKR1" s="122" t="s">
        <v>5034</v>
      </c>
      <c r="GKS1" s="122" t="s">
        <v>5035</v>
      </c>
      <c r="GKT1" s="122" t="s">
        <v>5036</v>
      </c>
      <c r="GKU1" s="122" t="s">
        <v>5037</v>
      </c>
      <c r="GKV1" s="122" t="s">
        <v>5038</v>
      </c>
      <c r="GKW1" s="122" t="s">
        <v>5039</v>
      </c>
      <c r="GKX1" s="122" t="s">
        <v>5040</v>
      </c>
      <c r="GKY1" s="122" t="s">
        <v>5041</v>
      </c>
      <c r="GKZ1" s="122" t="s">
        <v>5042</v>
      </c>
      <c r="GLA1" s="122" t="s">
        <v>5043</v>
      </c>
      <c r="GLB1" s="122" t="s">
        <v>5044</v>
      </c>
      <c r="GLC1" s="122" t="s">
        <v>5045</v>
      </c>
      <c r="GLD1" s="122" t="s">
        <v>5046</v>
      </c>
      <c r="GLE1" s="122" t="s">
        <v>5047</v>
      </c>
      <c r="GLF1" s="122" t="s">
        <v>5048</v>
      </c>
      <c r="GLG1" s="122" t="s">
        <v>5049</v>
      </c>
      <c r="GLH1" s="122" t="s">
        <v>5050</v>
      </c>
      <c r="GLI1" s="122" t="s">
        <v>5051</v>
      </c>
      <c r="GLJ1" s="122" t="s">
        <v>5052</v>
      </c>
      <c r="GLK1" s="122" t="s">
        <v>5053</v>
      </c>
      <c r="GLL1" s="122" t="s">
        <v>5054</v>
      </c>
      <c r="GLM1" s="122" t="s">
        <v>5055</v>
      </c>
      <c r="GLN1" s="122" t="s">
        <v>5056</v>
      </c>
      <c r="GLO1" s="122" t="s">
        <v>5057</v>
      </c>
      <c r="GLP1" s="122" t="s">
        <v>5058</v>
      </c>
      <c r="GLQ1" s="122" t="s">
        <v>5059</v>
      </c>
      <c r="GLR1" s="122" t="s">
        <v>5060</v>
      </c>
      <c r="GLS1" s="122" t="s">
        <v>5061</v>
      </c>
      <c r="GLT1" s="122" t="s">
        <v>5062</v>
      </c>
      <c r="GLU1" s="122" t="s">
        <v>5063</v>
      </c>
      <c r="GLV1" s="122" t="s">
        <v>5064</v>
      </c>
      <c r="GLW1" s="122" t="s">
        <v>5065</v>
      </c>
      <c r="GLX1" s="122" t="s">
        <v>5066</v>
      </c>
      <c r="GLY1" s="122" t="s">
        <v>5067</v>
      </c>
      <c r="GLZ1" s="122" t="s">
        <v>5068</v>
      </c>
      <c r="GMA1" s="122" t="s">
        <v>5069</v>
      </c>
      <c r="GMB1" s="122" t="s">
        <v>5070</v>
      </c>
      <c r="GMC1" s="122" t="s">
        <v>5071</v>
      </c>
      <c r="GMD1" s="122" t="s">
        <v>5072</v>
      </c>
      <c r="GME1" s="122" t="s">
        <v>5073</v>
      </c>
      <c r="GMF1" s="122" t="s">
        <v>5074</v>
      </c>
      <c r="GMG1" s="122" t="s">
        <v>5075</v>
      </c>
      <c r="GMH1" s="122" t="s">
        <v>5076</v>
      </c>
      <c r="GMI1" s="122" t="s">
        <v>5077</v>
      </c>
      <c r="GMJ1" s="122" t="s">
        <v>5078</v>
      </c>
      <c r="GMK1" s="122" t="s">
        <v>5079</v>
      </c>
      <c r="GML1" s="122" t="s">
        <v>5080</v>
      </c>
      <c r="GMM1" s="122" t="s">
        <v>5081</v>
      </c>
      <c r="GMN1" s="122" t="s">
        <v>5082</v>
      </c>
      <c r="GMO1" s="122" t="s">
        <v>5083</v>
      </c>
      <c r="GMP1" s="122" t="s">
        <v>5084</v>
      </c>
      <c r="GMQ1" s="122" t="s">
        <v>5085</v>
      </c>
      <c r="GMR1" s="122" t="s">
        <v>5086</v>
      </c>
      <c r="GMS1" s="122" t="s">
        <v>5087</v>
      </c>
      <c r="GMT1" s="122" t="s">
        <v>5088</v>
      </c>
      <c r="GMU1" s="122" t="s">
        <v>5089</v>
      </c>
      <c r="GMV1" s="122" t="s">
        <v>5090</v>
      </c>
      <c r="GMW1" s="122" t="s">
        <v>5091</v>
      </c>
      <c r="GMX1" s="122" t="s">
        <v>5092</v>
      </c>
      <c r="GMY1" s="122" t="s">
        <v>5093</v>
      </c>
      <c r="GMZ1" s="122" t="s">
        <v>5094</v>
      </c>
      <c r="GNA1" s="122" t="s">
        <v>5095</v>
      </c>
      <c r="GNB1" s="122" t="s">
        <v>5096</v>
      </c>
      <c r="GNC1" s="122" t="s">
        <v>5097</v>
      </c>
      <c r="GND1" s="122" t="s">
        <v>5098</v>
      </c>
      <c r="GNE1" s="122" t="s">
        <v>5099</v>
      </c>
      <c r="GNF1" s="122" t="s">
        <v>5100</v>
      </c>
      <c r="GNG1" s="122" t="s">
        <v>5101</v>
      </c>
      <c r="GNH1" s="122" t="s">
        <v>5102</v>
      </c>
      <c r="GNI1" s="122" t="s">
        <v>5103</v>
      </c>
      <c r="GNJ1" s="122" t="s">
        <v>5104</v>
      </c>
      <c r="GNK1" s="122" t="s">
        <v>5105</v>
      </c>
      <c r="GNL1" s="122" t="s">
        <v>5106</v>
      </c>
      <c r="GNM1" s="122" t="s">
        <v>5107</v>
      </c>
      <c r="GNN1" s="122" t="s">
        <v>5108</v>
      </c>
      <c r="GNO1" s="122" t="s">
        <v>5109</v>
      </c>
      <c r="GNP1" s="122" t="s">
        <v>5110</v>
      </c>
      <c r="GNQ1" s="122" t="s">
        <v>5111</v>
      </c>
      <c r="GNR1" s="122" t="s">
        <v>5112</v>
      </c>
      <c r="GNS1" s="122" t="s">
        <v>5113</v>
      </c>
      <c r="GNT1" s="122" t="s">
        <v>5114</v>
      </c>
      <c r="GNU1" s="122" t="s">
        <v>5115</v>
      </c>
      <c r="GNV1" s="122" t="s">
        <v>5116</v>
      </c>
      <c r="GNW1" s="122" t="s">
        <v>5117</v>
      </c>
      <c r="GNX1" s="122" t="s">
        <v>5118</v>
      </c>
      <c r="GNY1" s="122" t="s">
        <v>5119</v>
      </c>
      <c r="GNZ1" s="122" t="s">
        <v>5120</v>
      </c>
      <c r="GOA1" s="122" t="s">
        <v>5121</v>
      </c>
      <c r="GOB1" s="122" t="s">
        <v>5122</v>
      </c>
      <c r="GOC1" s="122" t="s">
        <v>5123</v>
      </c>
      <c r="GOD1" s="122" t="s">
        <v>5124</v>
      </c>
      <c r="GOE1" s="122" t="s">
        <v>5125</v>
      </c>
      <c r="GOF1" s="122" t="s">
        <v>5126</v>
      </c>
      <c r="GOG1" s="122" t="s">
        <v>5127</v>
      </c>
      <c r="GOH1" s="122" t="s">
        <v>5128</v>
      </c>
      <c r="GOI1" s="122" t="s">
        <v>5129</v>
      </c>
      <c r="GOJ1" s="122" t="s">
        <v>5130</v>
      </c>
      <c r="GOK1" s="122" t="s">
        <v>5131</v>
      </c>
      <c r="GOL1" s="122" t="s">
        <v>5132</v>
      </c>
      <c r="GOM1" s="122" t="s">
        <v>5133</v>
      </c>
      <c r="GON1" s="122" t="s">
        <v>5134</v>
      </c>
      <c r="GOO1" s="122" t="s">
        <v>5135</v>
      </c>
      <c r="GOP1" s="122" t="s">
        <v>5136</v>
      </c>
      <c r="GOQ1" s="122" t="s">
        <v>5137</v>
      </c>
      <c r="GOR1" s="122" t="s">
        <v>5138</v>
      </c>
      <c r="GOS1" s="122" t="s">
        <v>5139</v>
      </c>
      <c r="GOT1" s="122" t="s">
        <v>5140</v>
      </c>
      <c r="GOU1" s="122" t="s">
        <v>5141</v>
      </c>
      <c r="GOV1" s="122" t="s">
        <v>5142</v>
      </c>
      <c r="GOW1" s="122" t="s">
        <v>5143</v>
      </c>
      <c r="GOX1" s="122" t="s">
        <v>5144</v>
      </c>
      <c r="GOY1" s="122" t="s">
        <v>5145</v>
      </c>
      <c r="GOZ1" s="122" t="s">
        <v>5146</v>
      </c>
      <c r="GPA1" s="122" t="s">
        <v>5147</v>
      </c>
      <c r="GPB1" s="122" t="s">
        <v>5148</v>
      </c>
      <c r="GPC1" s="122" t="s">
        <v>5149</v>
      </c>
      <c r="GPD1" s="122" t="s">
        <v>5150</v>
      </c>
      <c r="GPE1" s="122" t="s">
        <v>5151</v>
      </c>
      <c r="GPF1" s="122" t="s">
        <v>5152</v>
      </c>
      <c r="GPG1" s="122" t="s">
        <v>5153</v>
      </c>
      <c r="GPH1" s="122" t="s">
        <v>5154</v>
      </c>
      <c r="GPI1" s="122" t="s">
        <v>5155</v>
      </c>
      <c r="GPJ1" s="122" t="s">
        <v>5156</v>
      </c>
      <c r="GPK1" s="122" t="s">
        <v>5157</v>
      </c>
      <c r="GPL1" s="122" t="s">
        <v>5158</v>
      </c>
      <c r="GPM1" s="122" t="s">
        <v>5159</v>
      </c>
      <c r="GPN1" s="122" t="s">
        <v>5160</v>
      </c>
      <c r="GPO1" s="122" t="s">
        <v>5161</v>
      </c>
      <c r="GPP1" s="122" t="s">
        <v>5162</v>
      </c>
      <c r="GPQ1" s="122" t="s">
        <v>5163</v>
      </c>
      <c r="GPR1" s="122" t="s">
        <v>5164</v>
      </c>
      <c r="GPS1" s="122" t="s">
        <v>5165</v>
      </c>
      <c r="GPT1" s="122" t="s">
        <v>5166</v>
      </c>
      <c r="GPU1" s="122" t="s">
        <v>5167</v>
      </c>
      <c r="GPV1" s="122" t="s">
        <v>5168</v>
      </c>
      <c r="GPW1" s="122" t="s">
        <v>5169</v>
      </c>
      <c r="GPX1" s="122" t="s">
        <v>5170</v>
      </c>
      <c r="GPY1" s="122" t="s">
        <v>5171</v>
      </c>
      <c r="GPZ1" s="122" t="s">
        <v>5172</v>
      </c>
      <c r="GQA1" s="122" t="s">
        <v>5173</v>
      </c>
      <c r="GQB1" s="122" t="s">
        <v>5174</v>
      </c>
      <c r="GQC1" s="122" t="s">
        <v>5175</v>
      </c>
      <c r="GQD1" s="122" t="s">
        <v>5176</v>
      </c>
      <c r="GQE1" s="122" t="s">
        <v>5177</v>
      </c>
      <c r="GQF1" s="122" t="s">
        <v>5178</v>
      </c>
      <c r="GQG1" s="122" t="s">
        <v>5179</v>
      </c>
      <c r="GQH1" s="122" t="s">
        <v>5180</v>
      </c>
      <c r="GQI1" s="122" t="s">
        <v>5181</v>
      </c>
      <c r="GQJ1" s="122" t="s">
        <v>5182</v>
      </c>
      <c r="GQK1" s="122" t="s">
        <v>5183</v>
      </c>
      <c r="GQL1" s="122" t="s">
        <v>5184</v>
      </c>
      <c r="GQM1" s="122" t="s">
        <v>5185</v>
      </c>
      <c r="GQN1" s="122" t="s">
        <v>5186</v>
      </c>
      <c r="GQO1" s="122" t="s">
        <v>5187</v>
      </c>
      <c r="GQP1" s="122" t="s">
        <v>5188</v>
      </c>
      <c r="GQQ1" s="122" t="s">
        <v>5189</v>
      </c>
      <c r="GQR1" s="122" t="s">
        <v>5190</v>
      </c>
      <c r="GQS1" s="122" t="s">
        <v>5191</v>
      </c>
      <c r="GQT1" s="122" t="s">
        <v>5192</v>
      </c>
      <c r="GQU1" s="122" t="s">
        <v>5193</v>
      </c>
      <c r="GQV1" s="122" t="s">
        <v>5194</v>
      </c>
      <c r="GQW1" s="122" t="s">
        <v>5195</v>
      </c>
      <c r="GQX1" s="122" t="s">
        <v>5196</v>
      </c>
      <c r="GQY1" s="122" t="s">
        <v>5197</v>
      </c>
      <c r="GQZ1" s="122" t="s">
        <v>5198</v>
      </c>
      <c r="GRA1" s="122" t="s">
        <v>5199</v>
      </c>
      <c r="GRB1" s="122" t="s">
        <v>5200</v>
      </c>
      <c r="GRC1" s="122" t="s">
        <v>5201</v>
      </c>
      <c r="GRD1" s="122" t="s">
        <v>5202</v>
      </c>
      <c r="GRE1" s="122" t="s">
        <v>5203</v>
      </c>
      <c r="GRF1" s="122" t="s">
        <v>5204</v>
      </c>
      <c r="GRG1" s="122" t="s">
        <v>5205</v>
      </c>
      <c r="GRH1" s="122" t="s">
        <v>5206</v>
      </c>
      <c r="GRI1" s="122" t="s">
        <v>5207</v>
      </c>
      <c r="GRJ1" s="122" t="s">
        <v>5208</v>
      </c>
      <c r="GRK1" s="122" t="s">
        <v>5209</v>
      </c>
      <c r="GRL1" s="122" t="s">
        <v>5210</v>
      </c>
      <c r="GRM1" s="122" t="s">
        <v>5211</v>
      </c>
      <c r="GRN1" s="122" t="s">
        <v>5212</v>
      </c>
      <c r="GRO1" s="122" t="s">
        <v>5213</v>
      </c>
      <c r="GRP1" s="122" t="s">
        <v>5214</v>
      </c>
      <c r="GRQ1" s="122" t="s">
        <v>5215</v>
      </c>
      <c r="GRR1" s="122" t="s">
        <v>5216</v>
      </c>
      <c r="GRS1" s="122" t="s">
        <v>5217</v>
      </c>
      <c r="GRT1" s="122" t="s">
        <v>5218</v>
      </c>
      <c r="GRU1" s="122" t="s">
        <v>5219</v>
      </c>
      <c r="GRV1" s="122" t="s">
        <v>5220</v>
      </c>
      <c r="GRW1" s="122" t="s">
        <v>5221</v>
      </c>
      <c r="GRX1" s="122" t="s">
        <v>5222</v>
      </c>
      <c r="GRY1" s="122" t="s">
        <v>5223</v>
      </c>
      <c r="GRZ1" s="122" t="s">
        <v>5224</v>
      </c>
      <c r="GSA1" s="122" t="s">
        <v>5225</v>
      </c>
      <c r="GSB1" s="122" t="s">
        <v>5226</v>
      </c>
      <c r="GSC1" s="122" t="s">
        <v>5227</v>
      </c>
      <c r="GSD1" s="122" t="s">
        <v>5228</v>
      </c>
      <c r="GSE1" s="122" t="s">
        <v>5229</v>
      </c>
      <c r="GSF1" s="122" t="s">
        <v>5230</v>
      </c>
      <c r="GSG1" s="122" t="s">
        <v>5231</v>
      </c>
      <c r="GSH1" s="122" t="s">
        <v>5232</v>
      </c>
      <c r="GSI1" s="122" t="s">
        <v>5233</v>
      </c>
      <c r="GSJ1" s="122" t="s">
        <v>5234</v>
      </c>
      <c r="GSK1" s="122" t="s">
        <v>5235</v>
      </c>
      <c r="GSL1" s="122" t="s">
        <v>5236</v>
      </c>
      <c r="GSM1" s="122" t="s">
        <v>5237</v>
      </c>
      <c r="GSN1" s="122" t="s">
        <v>5238</v>
      </c>
      <c r="GSO1" s="122" t="s">
        <v>5239</v>
      </c>
      <c r="GSP1" s="122" t="s">
        <v>5240</v>
      </c>
      <c r="GSQ1" s="122" t="s">
        <v>5241</v>
      </c>
      <c r="GSR1" s="122" t="s">
        <v>5242</v>
      </c>
      <c r="GSS1" s="122" t="s">
        <v>5243</v>
      </c>
      <c r="GST1" s="122" t="s">
        <v>5244</v>
      </c>
      <c r="GSU1" s="122" t="s">
        <v>5245</v>
      </c>
      <c r="GSV1" s="122" t="s">
        <v>5246</v>
      </c>
      <c r="GSW1" s="122" t="s">
        <v>5247</v>
      </c>
      <c r="GSX1" s="122" t="s">
        <v>5248</v>
      </c>
      <c r="GSY1" s="122" t="s">
        <v>5249</v>
      </c>
      <c r="GSZ1" s="122" t="s">
        <v>5250</v>
      </c>
      <c r="GTA1" s="122" t="s">
        <v>5251</v>
      </c>
      <c r="GTB1" s="122" t="s">
        <v>5252</v>
      </c>
      <c r="GTC1" s="122" t="s">
        <v>5253</v>
      </c>
      <c r="GTD1" s="122" t="s">
        <v>5254</v>
      </c>
      <c r="GTE1" s="122" t="s">
        <v>5255</v>
      </c>
      <c r="GTF1" s="122" t="s">
        <v>5256</v>
      </c>
      <c r="GTG1" s="122" t="s">
        <v>5257</v>
      </c>
      <c r="GTH1" s="122" t="s">
        <v>5258</v>
      </c>
      <c r="GTI1" s="122" t="s">
        <v>5259</v>
      </c>
      <c r="GTJ1" s="122" t="s">
        <v>5260</v>
      </c>
      <c r="GTK1" s="122" t="s">
        <v>5261</v>
      </c>
      <c r="GTL1" s="122" t="s">
        <v>5262</v>
      </c>
      <c r="GTM1" s="122" t="s">
        <v>5263</v>
      </c>
      <c r="GTN1" s="122" t="s">
        <v>5264</v>
      </c>
      <c r="GTO1" s="122" t="s">
        <v>5265</v>
      </c>
      <c r="GTP1" s="122" t="s">
        <v>5266</v>
      </c>
      <c r="GTQ1" s="122" t="s">
        <v>5267</v>
      </c>
      <c r="GTR1" s="122" t="s">
        <v>5268</v>
      </c>
      <c r="GTS1" s="122" t="s">
        <v>5269</v>
      </c>
      <c r="GTT1" s="122" t="s">
        <v>5270</v>
      </c>
      <c r="GTU1" s="122" t="s">
        <v>5271</v>
      </c>
      <c r="GTV1" s="122" t="s">
        <v>5272</v>
      </c>
      <c r="GTW1" s="122" t="s">
        <v>5273</v>
      </c>
      <c r="GTX1" s="122" t="s">
        <v>5274</v>
      </c>
      <c r="GTY1" s="122" t="s">
        <v>5275</v>
      </c>
      <c r="GTZ1" s="122" t="s">
        <v>5276</v>
      </c>
      <c r="GUA1" s="122" t="s">
        <v>5277</v>
      </c>
      <c r="GUB1" s="122" t="s">
        <v>5278</v>
      </c>
      <c r="GUC1" s="122" t="s">
        <v>5279</v>
      </c>
      <c r="GUD1" s="122" t="s">
        <v>5280</v>
      </c>
      <c r="GUE1" s="122" t="s">
        <v>5281</v>
      </c>
      <c r="GUF1" s="122" t="s">
        <v>5282</v>
      </c>
      <c r="GUG1" s="122" t="s">
        <v>5283</v>
      </c>
      <c r="GUH1" s="122" t="s">
        <v>5284</v>
      </c>
      <c r="GUI1" s="122" t="s">
        <v>5285</v>
      </c>
      <c r="GUJ1" s="122" t="s">
        <v>5286</v>
      </c>
      <c r="GUK1" s="122" t="s">
        <v>5287</v>
      </c>
      <c r="GUL1" s="122" t="s">
        <v>5288</v>
      </c>
      <c r="GUM1" s="122" t="s">
        <v>5289</v>
      </c>
      <c r="GUN1" s="122" t="s">
        <v>5290</v>
      </c>
      <c r="GUO1" s="122" t="s">
        <v>5291</v>
      </c>
      <c r="GUP1" s="122" t="s">
        <v>5292</v>
      </c>
      <c r="GUQ1" s="122" t="s">
        <v>5293</v>
      </c>
      <c r="GUR1" s="122" t="s">
        <v>5294</v>
      </c>
      <c r="GUS1" s="122" t="s">
        <v>5295</v>
      </c>
      <c r="GUT1" s="122" t="s">
        <v>5296</v>
      </c>
      <c r="GUU1" s="122" t="s">
        <v>5297</v>
      </c>
      <c r="GUV1" s="122" t="s">
        <v>5298</v>
      </c>
      <c r="GUW1" s="122" t="s">
        <v>5299</v>
      </c>
      <c r="GUX1" s="122" t="s">
        <v>5300</v>
      </c>
      <c r="GUY1" s="122" t="s">
        <v>5301</v>
      </c>
      <c r="GUZ1" s="122" t="s">
        <v>5302</v>
      </c>
      <c r="GVA1" s="122" t="s">
        <v>5303</v>
      </c>
      <c r="GVB1" s="122" t="s">
        <v>5304</v>
      </c>
      <c r="GVC1" s="122" t="s">
        <v>5305</v>
      </c>
      <c r="GVD1" s="122" t="s">
        <v>5306</v>
      </c>
      <c r="GVE1" s="122" t="s">
        <v>5307</v>
      </c>
      <c r="GVF1" s="122" t="s">
        <v>5308</v>
      </c>
      <c r="GVG1" s="122" t="s">
        <v>5309</v>
      </c>
      <c r="GVH1" s="122" t="s">
        <v>5310</v>
      </c>
      <c r="GVI1" s="122" t="s">
        <v>5311</v>
      </c>
      <c r="GVJ1" s="122" t="s">
        <v>5312</v>
      </c>
      <c r="GVK1" s="122" t="s">
        <v>5313</v>
      </c>
      <c r="GVL1" s="122" t="s">
        <v>5314</v>
      </c>
      <c r="GVM1" s="122" t="s">
        <v>5315</v>
      </c>
      <c r="GVN1" s="122" t="s">
        <v>5316</v>
      </c>
      <c r="GVO1" s="122" t="s">
        <v>5317</v>
      </c>
      <c r="GVP1" s="122" t="s">
        <v>5318</v>
      </c>
      <c r="GVQ1" s="122" t="s">
        <v>5319</v>
      </c>
      <c r="GVR1" s="122" t="s">
        <v>5320</v>
      </c>
      <c r="GVS1" s="122" t="s">
        <v>5321</v>
      </c>
      <c r="GVT1" s="122" t="s">
        <v>5322</v>
      </c>
      <c r="GVU1" s="122" t="s">
        <v>5323</v>
      </c>
      <c r="GVV1" s="122" t="s">
        <v>5324</v>
      </c>
      <c r="GVW1" s="122" t="s">
        <v>5325</v>
      </c>
      <c r="GVX1" s="122" t="s">
        <v>5326</v>
      </c>
      <c r="GVY1" s="122" t="s">
        <v>5327</v>
      </c>
      <c r="GVZ1" s="122" t="s">
        <v>5328</v>
      </c>
      <c r="GWA1" s="122" t="s">
        <v>5329</v>
      </c>
      <c r="GWB1" s="122" t="s">
        <v>5330</v>
      </c>
      <c r="GWC1" s="122" t="s">
        <v>5331</v>
      </c>
      <c r="GWD1" s="122" t="s">
        <v>5332</v>
      </c>
      <c r="GWE1" s="122" t="s">
        <v>5333</v>
      </c>
      <c r="GWF1" s="122" t="s">
        <v>5334</v>
      </c>
      <c r="GWG1" s="122" t="s">
        <v>5335</v>
      </c>
      <c r="GWH1" s="122" t="s">
        <v>5336</v>
      </c>
      <c r="GWI1" s="122" t="s">
        <v>5337</v>
      </c>
      <c r="GWJ1" s="122" t="s">
        <v>5338</v>
      </c>
      <c r="GWK1" s="122" t="s">
        <v>5339</v>
      </c>
      <c r="GWL1" s="122" t="s">
        <v>5340</v>
      </c>
      <c r="GWM1" s="122" t="s">
        <v>5341</v>
      </c>
      <c r="GWN1" s="122" t="s">
        <v>5342</v>
      </c>
      <c r="GWO1" s="122" t="s">
        <v>5343</v>
      </c>
      <c r="GWP1" s="122" t="s">
        <v>5344</v>
      </c>
      <c r="GWQ1" s="122" t="s">
        <v>5345</v>
      </c>
      <c r="GWR1" s="122" t="s">
        <v>5346</v>
      </c>
      <c r="GWS1" s="122" t="s">
        <v>5347</v>
      </c>
      <c r="GWT1" s="122" t="s">
        <v>5348</v>
      </c>
      <c r="GWU1" s="122" t="s">
        <v>5349</v>
      </c>
      <c r="GWV1" s="122" t="s">
        <v>5350</v>
      </c>
      <c r="GWW1" s="122" t="s">
        <v>5351</v>
      </c>
      <c r="GWX1" s="122" t="s">
        <v>5352</v>
      </c>
      <c r="GWY1" s="122" t="s">
        <v>5353</v>
      </c>
      <c r="GWZ1" s="122" t="s">
        <v>5354</v>
      </c>
      <c r="GXA1" s="122" t="s">
        <v>5355</v>
      </c>
      <c r="GXB1" s="122" t="s">
        <v>5356</v>
      </c>
      <c r="GXC1" s="122" t="s">
        <v>5357</v>
      </c>
      <c r="GXD1" s="122" t="s">
        <v>5358</v>
      </c>
      <c r="GXE1" s="122" t="s">
        <v>5359</v>
      </c>
      <c r="GXF1" s="122" t="s">
        <v>5360</v>
      </c>
      <c r="GXG1" s="122" t="s">
        <v>5361</v>
      </c>
      <c r="GXH1" s="122" t="s">
        <v>5362</v>
      </c>
      <c r="GXI1" s="122" t="s">
        <v>5363</v>
      </c>
      <c r="GXJ1" s="122" t="s">
        <v>5364</v>
      </c>
      <c r="GXK1" s="122" t="s">
        <v>5365</v>
      </c>
      <c r="GXL1" s="122" t="s">
        <v>5366</v>
      </c>
      <c r="GXM1" s="122" t="s">
        <v>5367</v>
      </c>
      <c r="GXN1" s="122" t="s">
        <v>5368</v>
      </c>
      <c r="GXO1" s="122" t="s">
        <v>5369</v>
      </c>
      <c r="GXP1" s="122" t="s">
        <v>5370</v>
      </c>
      <c r="GXQ1" s="122" t="s">
        <v>5371</v>
      </c>
      <c r="GXR1" s="122" t="s">
        <v>5372</v>
      </c>
      <c r="GXS1" s="122" t="s">
        <v>5373</v>
      </c>
      <c r="GXT1" s="122" t="s">
        <v>5374</v>
      </c>
      <c r="GXU1" s="122" t="s">
        <v>5375</v>
      </c>
      <c r="GXV1" s="122" t="s">
        <v>5376</v>
      </c>
      <c r="GXW1" s="122" t="s">
        <v>5377</v>
      </c>
      <c r="GXX1" s="122" t="s">
        <v>5378</v>
      </c>
      <c r="GXY1" s="122" t="s">
        <v>5379</v>
      </c>
      <c r="GXZ1" s="122" t="s">
        <v>5380</v>
      </c>
      <c r="GYA1" s="122" t="s">
        <v>5381</v>
      </c>
      <c r="GYB1" s="122" t="s">
        <v>5382</v>
      </c>
      <c r="GYC1" s="122" t="s">
        <v>5383</v>
      </c>
      <c r="GYD1" s="122" t="s">
        <v>5384</v>
      </c>
      <c r="GYE1" s="122" t="s">
        <v>5385</v>
      </c>
      <c r="GYF1" s="122" t="s">
        <v>5386</v>
      </c>
      <c r="GYG1" s="122" t="s">
        <v>5387</v>
      </c>
      <c r="GYH1" s="122" t="s">
        <v>5388</v>
      </c>
      <c r="GYI1" s="122" t="s">
        <v>5389</v>
      </c>
      <c r="GYJ1" s="122" t="s">
        <v>5390</v>
      </c>
      <c r="GYK1" s="122" t="s">
        <v>5391</v>
      </c>
      <c r="GYL1" s="122" t="s">
        <v>5392</v>
      </c>
      <c r="GYM1" s="122" t="s">
        <v>5393</v>
      </c>
      <c r="GYN1" s="122" t="s">
        <v>5394</v>
      </c>
      <c r="GYO1" s="122" t="s">
        <v>5395</v>
      </c>
      <c r="GYP1" s="122" t="s">
        <v>5396</v>
      </c>
      <c r="GYQ1" s="122" t="s">
        <v>5397</v>
      </c>
      <c r="GYR1" s="122" t="s">
        <v>5398</v>
      </c>
      <c r="GYS1" s="122" t="s">
        <v>5399</v>
      </c>
      <c r="GYT1" s="122" t="s">
        <v>5400</v>
      </c>
      <c r="GYU1" s="122" t="s">
        <v>5401</v>
      </c>
      <c r="GYV1" s="122" t="s">
        <v>5402</v>
      </c>
      <c r="GYW1" s="122" t="s">
        <v>5403</v>
      </c>
      <c r="GYX1" s="122" t="s">
        <v>5404</v>
      </c>
      <c r="GYY1" s="122" t="s">
        <v>5405</v>
      </c>
      <c r="GYZ1" s="122" t="s">
        <v>5406</v>
      </c>
      <c r="GZA1" s="122" t="s">
        <v>5407</v>
      </c>
      <c r="GZB1" s="122" t="s">
        <v>5408</v>
      </c>
      <c r="GZC1" s="122" t="s">
        <v>5409</v>
      </c>
      <c r="GZD1" s="122" t="s">
        <v>5410</v>
      </c>
      <c r="GZE1" s="122" t="s">
        <v>5411</v>
      </c>
      <c r="GZF1" s="122" t="s">
        <v>5412</v>
      </c>
      <c r="GZG1" s="122" t="s">
        <v>5413</v>
      </c>
      <c r="GZH1" s="122" t="s">
        <v>5414</v>
      </c>
      <c r="GZI1" s="122" t="s">
        <v>5415</v>
      </c>
      <c r="GZJ1" s="122" t="s">
        <v>5416</v>
      </c>
      <c r="GZK1" s="122" t="s">
        <v>5417</v>
      </c>
      <c r="GZL1" s="122" t="s">
        <v>5418</v>
      </c>
      <c r="GZM1" s="122" t="s">
        <v>5419</v>
      </c>
      <c r="GZN1" s="122" t="s">
        <v>5420</v>
      </c>
      <c r="GZO1" s="122" t="s">
        <v>5421</v>
      </c>
      <c r="GZP1" s="122" t="s">
        <v>5422</v>
      </c>
      <c r="GZQ1" s="122" t="s">
        <v>5423</v>
      </c>
      <c r="GZR1" s="122" t="s">
        <v>5424</v>
      </c>
      <c r="GZS1" s="122" t="s">
        <v>5425</v>
      </c>
      <c r="GZT1" s="122" t="s">
        <v>5426</v>
      </c>
      <c r="GZU1" s="122" t="s">
        <v>5427</v>
      </c>
      <c r="GZV1" s="122" t="s">
        <v>5428</v>
      </c>
      <c r="GZW1" s="122" t="s">
        <v>5429</v>
      </c>
      <c r="GZX1" s="122" t="s">
        <v>5430</v>
      </c>
      <c r="GZY1" s="122" t="s">
        <v>5431</v>
      </c>
      <c r="GZZ1" s="122" t="s">
        <v>5432</v>
      </c>
      <c r="HAA1" s="122" t="s">
        <v>5433</v>
      </c>
      <c r="HAB1" s="122" t="s">
        <v>5434</v>
      </c>
      <c r="HAC1" s="122" t="s">
        <v>5435</v>
      </c>
      <c r="HAD1" s="122" t="s">
        <v>5436</v>
      </c>
      <c r="HAE1" s="122" t="s">
        <v>5437</v>
      </c>
      <c r="HAF1" s="122" t="s">
        <v>5438</v>
      </c>
      <c r="HAG1" s="122" t="s">
        <v>5439</v>
      </c>
      <c r="HAH1" s="122" t="s">
        <v>5440</v>
      </c>
      <c r="HAI1" s="122" t="s">
        <v>5441</v>
      </c>
      <c r="HAJ1" s="122" t="s">
        <v>5442</v>
      </c>
      <c r="HAK1" s="122" t="s">
        <v>5443</v>
      </c>
      <c r="HAL1" s="122" t="s">
        <v>5444</v>
      </c>
      <c r="HAM1" s="122" t="s">
        <v>5445</v>
      </c>
      <c r="HAN1" s="122" t="s">
        <v>5446</v>
      </c>
      <c r="HAO1" s="122" t="s">
        <v>5447</v>
      </c>
      <c r="HAP1" s="122" t="s">
        <v>5448</v>
      </c>
      <c r="HAQ1" s="122" t="s">
        <v>5449</v>
      </c>
      <c r="HAR1" s="122" t="s">
        <v>5450</v>
      </c>
      <c r="HAS1" s="122" t="s">
        <v>5451</v>
      </c>
      <c r="HAT1" s="122" t="s">
        <v>5452</v>
      </c>
      <c r="HAU1" s="122" t="s">
        <v>5453</v>
      </c>
      <c r="HAV1" s="122" t="s">
        <v>5454</v>
      </c>
      <c r="HAW1" s="122" t="s">
        <v>5455</v>
      </c>
      <c r="HAX1" s="122" t="s">
        <v>5456</v>
      </c>
      <c r="HAY1" s="122" t="s">
        <v>5457</v>
      </c>
      <c r="HAZ1" s="122" t="s">
        <v>5458</v>
      </c>
      <c r="HBA1" s="122" t="s">
        <v>5459</v>
      </c>
      <c r="HBB1" s="122" t="s">
        <v>5460</v>
      </c>
      <c r="HBC1" s="122" t="s">
        <v>5461</v>
      </c>
      <c r="HBD1" s="122" t="s">
        <v>5462</v>
      </c>
      <c r="HBE1" s="122" t="s">
        <v>5463</v>
      </c>
      <c r="HBF1" s="122" t="s">
        <v>5464</v>
      </c>
      <c r="HBG1" s="122" t="s">
        <v>5465</v>
      </c>
      <c r="HBH1" s="122" t="s">
        <v>5466</v>
      </c>
      <c r="HBI1" s="122" t="s">
        <v>5467</v>
      </c>
      <c r="HBJ1" s="122" t="s">
        <v>5468</v>
      </c>
      <c r="HBK1" s="122" t="s">
        <v>5469</v>
      </c>
      <c r="HBL1" s="122" t="s">
        <v>5470</v>
      </c>
      <c r="HBM1" s="122" t="s">
        <v>5471</v>
      </c>
      <c r="HBN1" s="122" t="s">
        <v>5472</v>
      </c>
      <c r="HBO1" s="122" t="s">
        <v>5473</v>
      </c>
      <c r="HBP1" s="122" t="s">
        <v>5474</v>
      </c>
      <c r="HBQ1" s="122" t="s">
        <v>5475</v>
      </c>
      <c r="HBR1" s="122" t="s">
        <v>5476</v>
      </c>
      <c r="HBS1" s="122" t="s">
        <v>5477</v>
      </c>
      <c r="HBT1" s="122" t="s">
        <v>5478</v>
      </c>
      <c r="HBU1" s="122" t="s">
        <v>5479</v>
      </c>
      <c r="HBV1" s="122" t="s">
        <v>5480</v>
      </c>
      <c r="HBW1" s="122" t="s">
        <v>5481</v>
      </c>
      <c r="HBX1" s="122" t="s">
        <v>5482</v>
      </c>
      <c r="HBY1" s="122" t="s">
        <v>5483</v>
      </c>
      <c r="HBZ1" s="122" t="s">
        <v>5484</v>
      </c>
      <c r="HCA1" s="122" t="s">
        <v>5485</v>
      </c>
      <c r="HCB1" s="122" t="s">
        <v>5486</v>
      </c>
      <c r="HCC1" s="122" t="s">
        <v>5487</v>
      </c>
      <c r="HCD1" s="122" t="s">
        <v>5488</v>
      </c>
      <c r="HCE1" s="122" t="s">
        <v>5489</v>
      </c>
      <c r="HCF1" s="122" t="s">
        <v>5490</v>
      </c>
      <c r="HCG1" s="122" t="s">
        <v>5491</v>
      </c>
      <c r="HCH1" s="122" t="s">
        <v>5492</v>
      </c>
      <c r="HCI1" s="122" t="s">
        <v>5493</v>
      </c>
      <c r="HCJ1" s="122" t="s">
        <v>5494</v>
      </c>
      <c r="HCK1" s="122" t="s">
        <v>5495</v>
      </c>
      <c r="HCL1" s="122" t="s">
        <v>5496</v>
      </c>
      <c r="HCM1" s="122" t="s">
        <v>5497</v>
      </c>
      <c r="HCN1" s="122" t="s">
        <v>5498</v>
      </c>
      <c r="HCO1" s="122" t="s">
        <v>5499</v>
      </c>
      <c r="HCP1" s="122" t="s">
        <v>5500</v>
      </c>
      <c r="HCQ1" s="122" t="s">
        <v>5501</v>
      </c>
      <c r="HCR1" s="122" t="s">
        <v>5502</v>
      </c>
      <c r="HCS1" s="122" t="s">
        <v>5503</v>
      </c>
      <c r="HCT1" s="122" t="s">
        <v>5504</v>
      </c>
      <c r="HCU1" s="122" t="s">
        <v>5505</v>
      </c>
      <c r="HCV1" s="122" t="s">
        <v>5506</v>
      </c>
      <c r="HCW1" s="122" t="s">
        <v>5507</v>
      </c>
      <c r="HCX1" s="122" t="s">
        <v>5508</v>
      </c>
      <c r="HCY1" s="122" t="s">
        <v>5509</v>
      </c>
      <c r="HCZ1" s="122" t="s">
        <v>5510</v>
      </c>
      <c r="HDA1" s="122" t="s">
        <v>5511</v>
      </c>
      <c r="HDB1" s="122" t="s">
        <v>5512</v>
      </c>
      <c r="HDC1" s="122" t="s">
        <v>5513</v>
      </c>
      <c r="HDD1" s="122" t="s">
        <v>5514</v>
      </c>
      <c r="HDE1" s="122" t="s">
        <v>5515</v>
      </c>
      <c r="HDF1" s="122" t="s">
        <v>5516</v>
      </c>
      <c r="HDG1" s="122" t="s">
        <v>5517</v>
      </c>
      <c r="HDH1" s="122" t="s">
        <v>5518</v>
      </c>
      <c r="HDI1" s="122" t="s">
        <v>5519</v>
      </c>
      <c r="HDJ1" s="122" t="s">
        <v>5520</v>
      </c>
      <c r="HDK1" s="122" t="s">
        <v>5521</v>
      </c>
      <c r="HDL1" s="122" t="s">
        <v>5522</v>
      </c>
      <c r="HDM1" s="122" t="s">
        <v>5523</v>
      </c>
      <c r="HDN1" s="122" t="s">
        <v>5524</v>
      </c>
      <c r="HDO1" s="122" t="s">
        <v>5525</v>
      </c>
      <c r="HDP1" s="122" t="s">
        <v>5526</v>
      </c>
      <c r="HDQ1" s="122" t="s">
        <v>5527</v>
      </c>
      <c r="HDR1" s="122" t="s">
        <v>5528</v>
      </c>
      <c r="HDS1" s="122" t="s">
        <v>5529</v>
      </c>
      <c r="HDT1" s="122" t="s">
        <v>5530</v>
      </c>
      <c r="HDU1" s="122" t="s">
        <v>5531</v>
      </c>
      <c r="HDV1" s="122" t="s">
        <v>5532</v>
      </c>
      <c r="HDW1" s="122" t="s">
        <v>5533</v>
      </c>
      <c r="HDX1" s="122" t="s">
        <v>5534</v>
      </c>
      <c r="HDY1" s="122" t="s">
        <v>5535</v>
      </c>
      <c r="HDZ1" s="122" t="s">
        <v>5536</v>
      </c>
      <c r="HEA1" s="122" t="s">
        <v>5537</v>
      </c>
      <c r="HEB1" s="122" t="s">
        <v>5538</v>
      </c>
      <c r="HEC1" s="122" t="s">
        <v>5539</v>
      </c>
      <c r="HED1" s="122" t="s">
        <v>5540</v>
      </c>
      <c r="HEE1" s="122" t="s">
        <v>5541</v>
      </c>
      <c r="HEF1" s="122" t="s">
        <v>5542</v>
      </c>
      <c r="HEG1" s="122" t="s">
        <v>5543</v>
      </c>
      <c r="HEH1" s="122" t="s">
        <v>5544</v>
      </c>
      <c r="HEI1" s="122" t="s">
        <v>5545</v>
      </c>
      <c r="HEJ1" s="122" t="s">
        <v>5546</v>
      </c>
      <c r="HEK1" s="122" t="s">
        <v>5547</v>
      </c>
      <c r="HEL1" s="122" t="s">
        <v>5548</v>
      </c>
      <c r="HEM1" s="122" t="s">
        <v>5549</v>
      </c>
      <c r="HEN1" s="122" t="s">
        <v>5550</v>
      </c>
      <c r="HEO1" s="122" t="s">
        <v>5551</v>
      </c>
      <c r="HEP1" s="122" t="s">
        <v>5552</v>
      </c>
      <c r="HEQ1" s="122" t="s">
        <v>5553</v>
      </c>
      <c r="HER1" s="122" t="s">
        <v>5554</v>
      </c>
      <c r="HES1" s="122" t="s">
        <v>5555</v>
      </c>
      <c r="HET1" s="122" t="s">
        <v>5556</v>
      </c>
      <c r="HEU1" s="122" t="s">
        <v>5557</v>
      </c>
      <c r="HEV1" s="122" t="s">
        <v>5558</v>
      </c>
      <c r="HEW1" s="122" t="s">
        <v>5559</v>
      </c>
      <c r="HEX1" s="122" t="s">
        <v>5560</v>
      </c>
      <c r="HEY1" s="122" t="s">
        <v>5561</v>
      </c>
      <c r="HEZ1" s="122" t="s">
        <v>5562</v>
      </c>
      <c r="HFA1" s="122" t="s">
        <v>5563</v>
      </c>
      <c r="HFB1" s="122" t="s">
        <v>5564</v>
      </c>
      <c r="HFC1" s="122" t="s">
        <v>5565</v>
      </c>
      <c r="HFD1" s="122" t="s">
        <v>5566</v>
      </c>
      <c r="HFE1" s="122" t="s">
        <v>5567</v>
      </c>
      <c r="HFF1" s="122" t="s">
        <v>5568</v>
      </c>
      <c r="HFG1" s="122" t="s">
        <v>5569</v>
      </c>
      <c r="HFH1" s="122" t="s">
        <v>5570</v>
      </c>
      <c r="HFI1" s="122" t="s">
        <v>5571</v>
      </c>
      <c r="HFJ1" s="122" t="s">
        <v>5572</v>
      </c>
      <c r="HFK1" s="122" t="s">
        <v>5573</v>
      </c>
      <c r="HFL1" s="122" t="s">
        <v>5574</v>
      </c>
      <c r="HFM1" s="122" t="s">
        <v>5575</v>
      </c>
      <c r="HFN1" s="122" t="s">
        <v>5576</v>
      </c>
      <c r="HFO1" s="122" t="s">
        <v>5577</v>
      </c>
      <c r="HFP1" s="122" t="s">
        <v>5578</v>
      </c>
      <c r="HFQ1" s="122" t="s">
        <v>5579</v>
      </c>
      <c r="HFR1" s="122" t="s">
        <v>5580</v>
      </c>
      <c r="HFS1" s="122" t="s">
        <v>5581</v>
      </c>
      <c r="HFT1" s="122" t="s">
        <v>5582</v>
      </c>
      <c r="HFU1" s="122" t="s">
        <v>5583</v>
      </c>
      <c r="HFV1" s="122" t="s">
        <v>5584</v>
      </c>
      <c r="HFW1" s="122" t="s">
        <v>5585</v>
      </c>
      <c r="HFX1" s="122" t="s">
        <v>5586</v>
      </c>
      <c r="HFY1" s="122" t="s">
        <v>5587</v>
      </c>
      <c r="HFZ1" s="122" t="s">
        <v>5588</v>
      </c>
      <c r="HGA1" s="122" t="s">
        <v>5589</v>
      </c>
      <c r="HGB1" s="122" t="s">
        <v>5590</v>
      </c>
      <c r="HGC1" s="122" t="s">
        <v>5591</v>
      </c>
      <c r="HGD1" s="122" t="s">
        <v>5592</v>
      </c>
      <c r="HGE1" s="122" t="s">
        <v>5593</v>
      </c>
      <c r="HGF1" s="122" t="s">
        <v>5594</v>
      </c>
      <c r="HGG1" s="122" t="s">
        <v>5595</v>
      </c>
      <c r="HGH1" s="122" t="s">
        <v>5596</v>
      </c>
      <c r="HGI1" s="122" t="s">
        <v>5597</v>
      </c>
      <c r="HGJ1" s="122" t="s">
        <v>5598</v>
      </c>
      <c r="HGK1" s="122" t="s">
        <v>5599</v>
      </c>
      <c r="HGL1" s="122" t="s">
        <v>5600</v>
      </c>
      <c r="HGM1" s="122" t="s">
        <v>5601</v>
      </c>
      <c r="HGN1" s="122" t="s">
        <v>5602</v>
      </c>
      <c r="HGO1" s="122" t="s">
        <v>5603</v>
      </c>
      <c r="HGP1" s="122" t="s">
        <v>5604</v>
      </c>
      <c r="HGQ1" s="122" t="s">
        <v>5605</v>
      </c>
      <c r="HGR1" s="122" t="s">
        <v>5606</v>
      </c>
      <c r="HGS1" s="122" t="s">
        <v>5607</v>
      </c>
      <c r="HGT1" s="122" t="s">
        <v>5608</v>
      </c>
      <c r="HGU1" s="122" t="s">
        <v>5609</v>
      </c>
      <c r="HGV1" s="122" t="s">
        <v>5610</v>
      </c>
      <c r="HGW1" s="122" t="s">
        <v>5611</v>
      </c>
      <c r="HGX1" s="122" t="s">
        <v>5612</v>
      </c>
      <c r="HGY1" s="122" t="s">
        <v>5613</v>
      </c>
      <c r="HGZ1" s="122" t="s">
        <v>5614</v>
      </c>
      <c r="HHA1" s="122" t="s">
        <v>5615</v>
      </c>
      <c r="HHB1" s="122" t="s">
        <v>5616</v>
      </c>
      <c r="HHC1" s="122" t="s">
        <v>5617</v>
      </c>
      <c r="HHD1" s="122" t="s">
        <v>5618</v>
      </c>
      <c r="HHE1" s="122" t="s">
        <v>5619</v>
      </c>
      <c r="HHF1" s="122" t="s">
        <v>5620</v>
      </c>
      <c r="HHG1" s="122" t="s">
        <v>5621</v>
      </c>
      <c r="HHH1" s="122" t="s">
        <v>5622</v>
      </c>
      <c r="HHI1" s="122" t="s">
        <v>5623</v>
      </c>
      <c r="HHJ1" s="122" t="s">
        <v>5624</v>
      </c>
      <c r="HHK1" s="122" t="s">
        <v>5625</v>
      </c>
      <c r="HHL1" s="122" t="s">
        <v>5626</v>
      </c>
      <c r="HHM1" s="122" t="s">
        <v>5627</v>
      </c>
      <c r="HHN1" s="122" t="s">
        <v>5628</v>
      </c>
      <c r="HHO1" s="122" t="s">
        <v>5629</v>
      </c>
      <c r="HHP1" s="122" t="s">
        <v>5630</v>
      </c>
      <c r="HHQ1" s="122" t="s">
        <v>5631</v>
      </c>
      <c r="HHR1" s="122" t="s">
        <v>5632</v>
      </c>
      <c r="HHS1" s="122" t="s">
        <v>5633</v>
      </c>
      <c r="HHT1" s="122" t="s">
        <v>5634</v>
      </c>
      <c r="HHU1" s="122" t="s">
        <v>5635</v>
      </c>
      <c r="HHV1" s="122" t="s">
        <v>5636</v>
      </c>
      <c r="HHW1" s="122" t="s">
        <v>5637</v>
      </c>
      <c r="HHX1" s="122" t="s">
        <v>5638</v>
      </c>
      <c r="HHY1" s="122" t="s">
        <v>5639</v>
      </c>
      <c r="HHZ1" s="122" t="s">
        <v>5640</v>
      </c>
      <c r="HIA1" s="122" t="s">
        <v>5641</v>
      </c>
      <c r="HIB1" s="122" t="s">
        <v>5642</v>
      </c>
      <c r="HIC1" s="122" t="s">
        <v>5643</v>
      </c>
      <c r="HID1" s="122" t="s">
        <v>5644</v>
      </c>
      <c r="HIE1" s="122" t="s">
        <v>5645</v>
      </c>
      <c r="HIF1" s="122" t="s">
        <v>5646</v>
      </c>
      <c r="HIG1" s="122" t="s">
        <v>5647</v>
      </c>
      <c r="HIH1" s="122" t="s">
        <v>5648</v>
      </c>
      <c r="HII1" s="122" t="s">
        <v>5649</v>
      </c>
      <c r="HIJ1" s="122" t="s">
        <v>5650</v>
      </c>
      <c r="HIK1" s="122" t="s">
        <v>5651</v>
      </c>
      <c r="HIL1" s="122" t="s">
        <v>5652</v>
      </c>
      <c r="HIM1" s="122" t="s">
        <v>5653</v>
      </c>
      <c r="HIN1" s="122" t="s">
        <v>5654</v>
      </c>
      <c r="HIO1" s="122" t="s">
        <v>5655</v>
      </c>
      <c r="HIP1" s="122" t="s">
        <v>5656</v>
      </c>
      <c r="HIQ1" s="122" t="s">
        <v>5657</v>
      </c>
      <c r="HIR1" s="122" t="s">
        <v>5658</v>
      </c>
      <c r="HIS1" s="122" t="s">
        <v>5659</v>
      </c>
      <c r="HIT1" s="122" t="s">
        <v>5660</v>
      </c>
      <c r="HIU1" s="122" t="s">
        <v>5661</v>
      </c>
      <c r="HIV1" s="122" t="s">
        <v>5662</v>
      </c>
      <c r="HIW1" s="122" t="s">
        <v>5663</v>
      </c>
      <c r="HIX1" s="122" t="s">
        <v>5664</v>
      </c>
      <c r="HIY1" s="122" t="s">
        <v>5665</v>
      </c>
      <c r="HIZ1" s="122" t="s">
        <v>5666</v>
      </c>
      <c r="HJA1" s="122" t="s">
        <v>5667</v>
      </c>
      <c r="HJB1" s="122" t="s">
        <v>5668</v>
      </c>
      <c r="HJC1" s="122" t="s">
        <v>5669</v>
      </c>
      <c r="HJD1" s="122" t="s">
        <v>5670</v>
      </c>
      <c r="HJE1" s="122" t="s">
        <v>5671</v>
      </c>
      <c r="HJF1" s="122" t="s">
        <v>5672</v>
      </c>
      <c r="HJG1" s="122" t="s">
        <v>5673</v>
      </c>
      <c r="HJH1" s="122" t="s">
        <v>5674</v>
      </c>
      <c r="HJI1" s="122" t="s">
        <v>5675</v>
      </c>
      <c r="HJJ1" s="122" t="s">
        <v>5676</v>
      </c>
      <c r="HJK1" s="122" t="s">
        <v>5677</v>
      </c>
      <c r="HJL1" s="122" t="s">
        <v>5678</v>
      </c>
      <c r="HJM1" s="122" t="s">
        <v>5679</v>
      </c>
      <c r="HJN1" s="122" t="s">
        <v>5680</v>
      </c>
      <c r="HJO1" s="122" t="s">
        <v>5681</v>
      </c>
      <c r="HJP1" s="122" t="s">
        <v>5682</v>
      </c>
      <c r="HJQ1" s="122" t="s">
        <v>5683</v>
      </c>
      <c r="HJR1" s="122" t="s">
        <v>5684</v>
      </c>
      <c r="HJS1" s="122" t="s">
        <v>5685</v>
      </c>
      <c r="HJT1" s="122" t="s">
        <v>5686</v>
      </c>
      <c r="HJU1" s="122" t="s">
        <v>5687</v>
      </c>
      <c r="HJV1" s="122" t="s">
        <v>5688</v>
      </c>
      <c r="HJW1" s="122" t="s">
        <v>5689</v>
      </c>
      <c r="HJX1" s="122" t="s">
        <v>5690</v>
      </c>
      <c r="HJY1" s="122" t="s">
        <v>5691</v>
      </c>
      <c r="HJZ1" s="122" t="s">
        <v>5692</v>
      </c>
      <c r="HKA1" s="122" t="s">
        <v>5693</v>
      </c>
      <c r="HKB1" s="122" t="s">
        <v>5694</v>
      </c>
      <c r="HKC1" s="122" t="s">
        <v>5695</v>
      </c>
      <c r="HKD1" s="122" t="s">
        <v>5696</v>
      </c>
      <c r="HKE1" s="122" t="s">
        <v>5697</v>
      </c>
      <c r="HKF1" s="122" t="s">
        <v>5698</v>
      </c>
      <c r="HKG1" s="122" t="s">
        <v>5699</v>
      </c>
      <c r="HKH1" s="122" t="s">
        <v>5700</v>
      </c>
      <c r="HKI1" s="122" t="s">
        <v>5701</v>
      </c>
      <c r="HKJ1" s="122" t="s">
        <v>5702</v>
      </c>
      <c r="HKK1" s="122" t="s">
        <v>5703</v>
      </c>
      <c r="HKL1" s="122" t="s">
        <v>5704</v>
      </c>
      <c r="HKM1" s="122" t="s">
        <v>5705</v>
      </c>
      <c r="HKN1" s="122" t="s">
        <v>5706</v>
      </c>
      <c r="HKO1" s="122" t="s">
        <v>5707</v>
      </c>
      <c r="HKP1" s="122" t="s">
        <v>5708</v>
      </c>
      <c r="HKQ1" s="122" t="s">
        <v>5709</v>
      </c>
      <c r="HKR1" s="122" t="s">
        <v>5710</v>
      </c>
      <c r="HKS1" s="122" t="s">
        <v>5711</v>
      </c>
      <c r="HKT1" s="122" t="s">
        <v>5712</v>
      </c>
      <c r="HKU1" s="122" t="s">
        <v>5713</v>
      </c>
      <c r="HKV1" s="122" t="s">
        <v>5714</v>
      </c>
      <c r="HKW1" s="122" t="s">
        <v>5715</v>
      </c>
      <c r="HKX1" s="122" t="s">
        <v>5716</v>
      </c>
      <c r="HKY1" s="122" t="s">
        <v>5717</v>
      </c>
      <c r="HKZ1" s="122" t="s">
        <v>5718</v>
      </c>
      <c r="HLA1" s="122" t="s">
        <v>5719</v>
      </c>
      <c r="HLB1" s="122" t="s">
        <v>5720</v>
      </c>
      <c r="HLC1" s="122" t="s">
        <v>5721</v>
      </c>
      <c r="HLD1" s="122" t="s">
        <v>5722</v>
      </c>
      <c r="HLE1" s="122" t="s">
        <v>5723</v>
      </c>
      <c r="HLF1" s="122" t="s">
        <v>5724</v>
      </c>
      <c r="HLG1" s="122" t="s">
        <v>5725</v>
      </c>
      <c r="HLH1" s="122" t="s">
        <v>5726</v>
      </c>
      <c r="HLI1" s="122" t="s">
        <v>5727</v>
      </c>
      <c r="HLJ1" s="122" t="s">
        <v>5728</v>
      </c>
      <c r="HLK1" s="122" t="s">
        <v>5729</v>
      </c>
      <c r="HLL1" s="122" t="s">
        <v>5730</v>
      </c>
      <c r="HLM1" s="122" t="s">
        <v>5731</v>
      </c>
      <c r="HLN1" s="122" t="s">
        <v>5732</v>
      </c>
      <c r="HLO1" s="122" t="s">
        <v>5733</v>
      </c>
      <c r="HLP1" s="122" t="s">
        <v>5734</v>
      </c>
      <c r="HLQ1" s="122" t="s">
        <v>5735</v>
      </c>
      <c r="HLR1" s="122" t="s">
        <v>5736</v>
      </c>
      <c r="HLS1" s="122" t="s">
        <v>5737</v>
      </c>
      <c r="HLT1" s="122" t="s">
        <v>5738</v>
      </c>
      <c r="HLU1" s="122" t="s">
        <v>5739</v>
      </c>
      <c r="HLV1" s="122" t="s">
        <v>5740</v>
      </c>
      <c r="HLW1" s="122" t="s">
        <v>5741</v>
      </c>
      <c r="HLX1" s="122" t="s">
        <v>5742</v>
      </c>
      <c r="HLY1" s="122" t="s">
        <v>5743</v>
      </c>
      <c r="HLZ1" s="122" t="s">
        <v>5744</v>
      </c>
      <c r="HMA1" s="122" t="s">
        <v>5745</v>
      </c>
      <c r="HMB1" s="122" t="s">
        <v>5746</v>
      </c>
      <c r="HMC1" s="122" t="s">
        <v>5747</v>
      </c>
      <c r="HMD1" s="122" t="s">
        <v>5748</v>
      </c>
      <c r="HME1" s="122" t="s">
        <v>5749</v>
      </c>
      <c r="HMF1" s="122" t="s">
        <v>5750</v>
      </c>
      <c r="HMG1" s="122" t="s">
        <v>5751</v>
      </c>
      <c r="HMH1" s="122" t="s">
        <v>5752</v>
      </c>
      <c r="HMI1" s="122" t="s">
        <v>5753</v>
      </c>
      <c r="HMJ1" s="122" t="s">
        <v>5754</v>
      </c>
      <c r="HMK1" s="122" t="s">
        <v>5755</v>
      </c>
      <c r="HML1" s="122" t="s">
        <v>5756</v>
      </c>
      <c r="HMM1" s="122" t="s">
        <v>5757</v>
      </c>
      <c r="HMN1" s="122" t="s">
        <v>5758</v>
      </c>
      <c r="HMO1" s="122" t="s">
        <v>5759</v>
      </c>
      <c r="HMP1" s="122" t="s">
        <v>5760</v>
      </c>
      <c r="HMQ1" s="122" t="s">
        <v>5761</v>
      </c>
      <c r="HMR1" s="122" t="s">
        <v>5762</v>
      </c>
      <c r="HMS1" s="122" t="s">
        <v>5763</v>
      </c>
      <c r="HMT1" s="122" t="s">
        <v>5764</v>
      </c>
      <c r="HMU1" s="122" t="s">
        <v>5765</v>
      </c>
      <c r="HMV1" s="122" t="s">
        <v>5766</v>
      </c>
      <c r="HMW1" s="122" t="s">
        <v>5767</v>
      </c>
      <c r="HMX1" s="122" t="s">
        <v>5768</v>
      </c>
      <c r="HMY1" s="122" t="s">
        <v>5769</v>
      </c>
      <c r="HMZ1" s="122" t="s">
        <v>5770</v>
      </c>
      <c r="HNA1" s="122" t="s">
        <v>5771</v>
      </c>
      <c r="HNB1" s="122" t="s">
        <v>5772</v>
      </c>
      <c r="HNC1" s="122" t="s">
        <v>5773</v>
      </c>
      <c r="HND1" s="122" t="s">
        <v>5774</v>
      </c>
      <c r="HNE1" s="122" t="s">
        <v>5775</v>
      </c>
      <c r="HNF1" s="122" t="s">
        <v>5776</v>
      </c>
      <c r="HNG1" s="122" t="s">
        <v>5777</v>
      </c>
      <c r="HNH1" s="122" t="s">
        <v>5778</v>
      </c>
      <c r="HNI1" s="122" t="s">
        <v>5779</v>
      </c>
      <c r="HNJ1" s="122" t="s">
        <v>5780</v>
      </c>
      <c r="HNK1" s="122" t="s">
        <v>5781</v>
      </c>
      <c r="HNL1" s="122" t="s">
        <v>5782</v>
      </c>
      <c r="HNM1" s="122" t="s">
        <v>5783</v>
      </c>
      <c r="HNN1" s="122" t="s">
        <v>5784</v>
      </c>
      <c r="HNO1" s="122" t="s">
        <v>5785</v>
      </c>
      <c r="HNP1" s="122" t="s">
        <v>5786</v>
      </c>
      <c r="HNQ1" s="122" t="s">
        <v>5787</v>
      </c>
      <c r="HNR1" s="122" t="s">
        <v>5788</v>
      </c>
      <c r="HNS1" s="122" t="s">
        <v>5789</v>
      </c>
      <c r="HNT1" s="122" t="s">
        <v>5790</v>
      </c>
      <c r="HNU1" s="122" t="s">
        <v>5791</v>
      </c>
      <c r="HNV1" s="122" t="s">
        <v>5792</v>
      </c>
      <c r="HNW1" s="122" t="s">
        <v>5793</v>
      </c>
      <c r="HNX1" s="122" t="s">
        <v>5794</v>
      </c>
      <c r="HNY1" s="122" t="s">
        <v>5795</v>
      </c>
      <c r="HNZ1" s="122" t="s">
        <v>5796</v>
      </c>
      <c r="HOA1" s="122" t="s">
        <v>5797</v>
      </c>
      <c r="HOB1" s="122" t="s">
        <v>5798</v>
      </c>
      <c r="HOC1" s="122" t="s">
        <v>5799</v>
      </c>
      <c r="HOD1" s="122" t="s">
        <v>5800</v>
      </c>
      <c r="HOE1" s="122" t="s">
        <v>5801</v>
      </c>
      <c r="HOF1" s="122" t="s">
        <v>5802</v>
      </c>
      <c r="HOG1" s="122" t="s">
        <v>5803</v>
      </c>
      <c r="HOH1" s="122" t="s">
        <v>5804</v>
      </c>
      <c r="HOI1" s="122" t="s">
        <v>5805</v>
      </c>
      <c r="HOJ1" s="122" t="s">
        <v>5806</v>
      </c>
      <c r="HOK1" s="122" t="s">
        <v>5807</v>
      </c>
      <c r="HOL1" s="122" t="s">
        <v>5808</v>
      </c>
      <c r="HOM1" s="122" t="s">
        <v>5809</v>
      </c>
      <c r="HON1" s="122" t="s">
        <v>5810</v>
      </c>
      <c r="HOO1" s="122" t="s">
        <v>5811</v>
      </c>
      <c r="HOP1" s="122" t="s">
        <v>5812</v>
      </c>
      <c r="HOQ1" s="122" t="s">
        <v>5813</v>
      </c>
      <c r="HOR1" s="122" t="s">
        <v>5814</v>
      </c>
      <c r="HOS1" s="122" t="s">
        <v>5815</v>
      </c>
      <c r="HOT1" s="122" t="s">
        <v>5816</v>
      </c>
      <c r="HOU1" s="122" t="s">
        <v>5817</v>
      </c>
      <c r="HOV1" s="122" t="s">
        <v>5818</v>
      </c>
      <c r="HOW1" s="122" t="s">
        <v>5819</v>
      </c>
      <c r="HOX1" s="122" t="s">
        <v>5820</v>
      </c>
      <c r="HOY1" s="122" t="s">
        <v>5821</v>
      </c>
      <c r="HOZ1" s="122" t="s">
        <v>5822</v>
      </c>
      <c r="HPA1" s="122" t="s">
        <v>5823</v>
      </c>
      <c r="HPB1" s="122" t="s">
        <v>5824</v>
      </c>
      <c r="HPC1" s="122" t="s">
        <v>5825</v>
      </c>
      <c r="HPD1" s="122" t="s">
        <v>5826</v>
      </c>
      <c r="HPE1" s="122" t="s">
        <v>5827</v>
      </c>
      <c r="HPF1" s="122" t="s">
        <v>5828</v>
      </c>
      <c r="HPG1" s="122" t="s">
        <v>5829</v>
      </c>
      <c r="HPH1" s="122" t="s">
        <v>5830</v>
      </c>
      <c r="HPI1" s="122" t="s">
        <v>5831</v>
      </c>
      <c r="HPJ1" s="122" t="s">
        <v>5832</v>
      </c>
      <c r="HPK1" s="122" t="s">
        <v>5833</v>
      </c>
      <c r="HPL1" s="122" t="s">
        <v>5834</v>
      </c>
      <c r="HPM1" s="122" t="s">
        <v>5835</v>
      </c>
      <c r="HPN1" s="122" t="s">
        <v>5836</v>
      </c>
      <c r="HPO1" s="122" t="s">
        <v>5837</v>
      </c>
      <c r="HPP1" s="122" t="s">
        <v>5838</v>
      </c>
      <c r="HPQ1" s="122" t="s">
        <v>5839</v>
      </c>
      <c r="HPR1" s="122" t="s">
        <v>5840</v>
      </c>
      <c r="HPS1" s="122" t="s">
        <v>5841</v>
      </c>
      <c r="HPT1" s="122" t="s">
        <v>5842</v>
      </c>
      <c r="HPU1" s="122" t="s">
        <v>5843</v>
      </c>
      <c r="HPV1" s="122" t="s">
        <v>5844</v>
      </c>
      <c r="HPW1" s="122" t="s">
        <v>5845</v>
      </c>
      <c r="HPX1" s="122" t="s">
        <v>5846</v>
      </c>
      <c r="HPY1" s="122" t="s">
        <v>5847</v>
      </c>
      <c r="HPZ1" s="122" t="s">
        <v>5848</v>
      </c>
      <c r="HQA1" s="122" t="s">
        <v>5849</v>
      </c>
      <c r="HQB1" s="122" t="s">
        <v>5850</v>
      </c>
      <c r="HQC1" s="122" t="s">
        <v>5851</v>
      </c>
      <c r="HQD1" s="122" t="s">
        <v>5852</v>
      </c>
      <c r="HQE1" s="122" t="s">
        <v>5853</v>
      </c>
      <c r="HQF1" s="122" t="s">
        <v>5854</v>
      </c>
      <c r="HQG1" s="122" t="s">
        <v>5855</v>
      </c>
      <c r="HQH1" s="122" t="s">
        <v>5856</v>
      </c>
      <c r="HQI1" s="122" t="s">
        <v>5857</v>
      </c>
      <c r="HQJ1" s="122" t="s">
        <v>5858</v>
      </c>
      <c r="HQK1" s="122" t="s">
        <v>5859</v>
      </c>
      <c r="HQL1" s="122" t="s">
        <v>5860</v>
      </c>
      <c r="HQM1" s="122" t="s">
        <v>5861</v>
      </c>
      <c r="HQN1" s="122" t="s">
        <v>5862</v>
      </c>
      <c r="HQO1" s="122" t="s">
        <v>5863</v>
      </c>
      <c r="HQP1" s="122" t="s">
        <v>5864</v>
      </c>
      <c r="HQQ1" s="122" t="s">
        <v>5865</v>
      </c>
      <c r="HQR1" s="122" t="s">
        <v>5866</v>
      </c>
      <c r="HQS1" s="122" t="s">
        <v>5867</v>
      </c>
      <c r="HQT1" s="122" t="s">
        <v>5868</v>
      </c>
      <c r="HQU1" s="122" t="s">
        <v>5869</v>
      </c>
      <c r="HQV1" s="122" t="s">
        <v>5870</v>
      </c>
      <c r="HQW1" s="122" t="s">
        <v>5871</v>
      </c>
      <c r="HQX1" s="122" t="s">
        <v>5872</v>
      </c>
      <c r="HQY1" s="122" t="s">
        <v>5873</v>
      </c>
      <c r="HQZ1" s="122" t="s">
        <v>5874</v>
      </c>
      <c r="HRA1" s="122" t="s">
        <v>5875</v>
      </c>
      <c r="HRB1" s="122" t="s">
        <v>5876</v>
      </c>
      <c r="HRC1" s="122" t="s">
        <v>5877</v>
      </c>
      <c r="HRD1" s="122" t="s">
        <v>5878</v>
      </c>
      <c r="HRE1" s="122" t="s">
        <v>5879</v>
      </c>
      <c r="HRF1" s="122" t="s">
        <v>5880</v>
      </c>
      <c r="HRG1" s="122" t="s">
        <v>5881</v>
      </c>
      <c r="HRH1" s="122" t="s">
        <v>5882</v>
      </c>
      <c r="HRI1" s="122" t="s">
        <v>5883</v>
      </c>
      <c r="HRJ1" s="122" t="s">
        <v>5884</v>
      </c>
      <c r="HRK1" s="122" t="s">
        <v>5885</v>
      </c>
      <c r="HRL1" s="122" t="s">
        <v>5886</v>
      </c>
      <c r="HRM1" s="122" t="s">
        <v>5887</v>
      </c>
      <c r="HRN1" s="122" t="s">
        <v>5888</v>
      </c>
      <c r="HRO1" s="122" t="s">
        <v>5889</v>
      </c>
      <c r="HRP1" s="122" t="s">
        <v>5890</v>
      </c>
      <c r="HRQ1" s="122" t="s">
        <v>5891</v>
      </c>
      <c r="HRR1" s="122" t="s">
        <v>5892</v>
      </c>
      <c r="HRS1" s="122" t="s">
        <v>5893</v>
      </c>
      <c r="HRT1" s="122" t="s">
        <v>5894</v>
      </c>
      <c r="HRU1" s="122" t="s">
        <v>5895</v>
      </c>
      <c r="HRV1" s="122" t="s">
        <v>5896</v>
      </c>
      <c r="HRW1" s="122" t="s">
        <v>5897</v>
      </c>
      <c r="HRX1" s="122" t="s">
        <v>5898</v>
      </c>
      <c r="HRY1" s="122" t="s">
        <v>5899</v>
      </c>
      <c r="HRZ1" s="122" t="s">
        <v>5900</v>
      </c>
      <c r="HSA1" s="122" t="s">
        <v>5901</v>
      </c>
      <c r="HSB1" s="122" t="s">
        <v>5902</v>
      </c>
      <c r="HSC1" s="122" t="s">
        <v>5903</v>
      </c>
      <c r="HSD1" s="122" t="s">
        <v>5904</v>
      </c>
      <c r="HSE1" s="122" t="s">
        <v>5905</v>
      </c>
      <c r="HSF1" s="122" t="s">
        <v>5906</v>
      </c>
      <c r="HSG1" s="122" t="s">
        <v>5907</v>
      </c>
      <c r="HSH1" s="122" t="s">
        <v>5908</v>
      </c>
      <c r="HSI1" s="122" t="s">
        <v>5909</v>
      </c>
      <c r="HSJ1" s="122" t="s">
        <v>5910</v>
      </c>
      <c r="HSK1" s="122" t="s">
        <v>5911</v>
      </c>
      <c r="HSL1" s="122" t="s">
        <v>5912</v>
      </c>
      <c r="HSM1" s="122" t="s">
        <v>5913</v>
      </c>
      <c r="HSN1" s="122" t="s">
        <v>5914</v>
      </c>
      <c r="HSO1" s="122" t="s">
        <v>5915</v>
      </c>
      <c r="HSP1" s="122" t="s">
        <v>5916</v>
      </c>
      <c r="HSQ1" s="122" t="s">
        <v>5917</v>
      </c>
      <c r="HSR1" s="122" t="s">
        <v>5918</v>
      </c>
      <c r="HSS1" s="122" t="s">
        <v>5919</v>
      </c>
      <c r="HST1" s="122" t="s">
        <v>5920</v>
      </c>
      <c r="HSU1" s="122" t="s">
        <v>5921</v>
      </c>
      <c r="HSV1" s="122" t="s">
        <v>5922</v>
      </c>
      <c r="HSW1" s="122" t="s">
        <v>5923</v>
      </c>
      <c r="HSX1" s="122" t="s">
        <v>5924</v>
      </c>
      <c r="HSY1" s="122" t="s">
        <v>5925</v>
      </c>
      <c r="HSZ1" s="122" t="s">
        <v>5926</v>
      </c>
      <c r="HTA1" s="122" t="s">
        <v>5927</v>
      </c>
      <c r="HTB1" s="122" t="s">
        <v>5928</v>
      </c>
      <c r="HTC1" s="122" t="s">
        <v>5929</v>
      </c>
      <c r="HTD1" s="122" t="s">
        <v>5930</v>
      </c>
      <c r="HTE1" s="122" t="s">
        <v>5931</v>
      </c>
      <c r="HTF1" s="122" t="s">
        <v>5932</v>
      </c>
      <c r="HTG1" s="122" t="s">
        <v>5933</v>
      </c>
      <c r="HTH1" s="122" t="s">
        <v>5934</v>
      </c>
      <c r="HTI1" s="122" t="s">
        <v>5935</v>
      </c>
      <c r="HTJ1" s="122" t="s">
        <v>5936</v>
      </c>
      <c r="HTK1" s="122" t="s">
        <v>5937</v>
      </c>
      <c r="HTL1" s="122" t="s">
        <v>5938</v>
      </c>
      <c r="HTM1" s="122" t="s">
        <v>5939</v>
      </c>
      <c r="HTN1" s="122" t="s">
        <v>5940</v>
      </c>
      <c r="HTO1" s="122" t="s">
        <v>5941</v>
      </c>
      <c r="HTP1" s="122" t="s">
        <v>5942</v>
      </c>
      <c r="HTQ1" s="122" t="s">
        <v>5943</v>
      </c>
      <c r="HTR1" s="122" t="s">
        <v>5944</v>
      </c>
      <c r="HTS1" s="122" t="s">
        <v>5945</v>
      </c>
      <c r="HTT1" s="122" t="s">
        <v>5946</v>
      </c>
      <c r="HTU1" s="122" t="s">
        <v>5947</v>
      </c>
      <c r="HTV1" s="122" t="s">
        <v>5948</v>
      </c>
      <c r="HTW1" s="122" t="s">
        <v>5949</v>
      </c>
      <c r="HTX1" s="122" t="s">
        <v>5950</v>
      </c>
      <c r="HTY1" s="122" t="s">
        <v>5951</v>
      </c>
      <c r="HTZ1" s="122" t="s">
        <v>5952</v>
      </c>
      <c r="HUA1" s="122" t="s">
        <v>5953</v>
      </c>
      <c r="HUB1" s="122" t="s">
        <v>5954</v>
      </c>
      <c r="HUC1" s="122" t="s">
        <v>5955</v>
      </c>
      <c r="HUD1" s="122" t="s">
        <v>5956</v>
      </c>
      <c r="HUE1" s="122" t="s">
        <v>5957</v>
      </c>
      <c r="HUF1" s="122" t="s">
        <v>5958</v>
      </c>
      <c r="HUG1" s="122" t="s">
        <v>5959</v>
      </c>
      <c r="HUH1" s="122" t="s">
        <v>5960</v>
      </c>
      <c r="HUI1" s="122" t="s">
        <v>5961</v>
      </c>
      <c r="HUJ1" s="122" t="s">
        <v>5962</v>
      </c>
      <c r="HUK1" s="122" t="s">
        <v>5963</v>
      </c>
      <c r="HUL1" s="122" t="s">
        <v>5964</v>
      </c>
      <c r="HUM1" s="122" t="s">
        <v>5965</v>
      </c>
      <c r="HUN1" s="122" t="s">
        <v>5966</v>
      </c>
      <c r="HUO1" s="122" t="s">
        <v>5967</v>
      </c>
      <c r="HUP1" s="122" t="s">
        <v>5968</v>
      </c>
      <c r="HUQ1" s="122" t="s">
        <v>5969</v>
      </c>
      <c r="HUR1" s="122" t="s">
        <v>5970</v>
      </c>
      <c r="HUS1" s="122" t="s">
        <v>5971</v>
      </c>
      <c r="HUT1" s="122" t="s">
        <v>5972</v>
      </c>
      <c r="HUU1" s="122" t="s">
        <v>5973</v>
      </c>
      <c r="HUV1" s="122" t="s">
        <v>5974</v>
      </c>
      <c r="HUW1" s="122" t="s">
        <v>5975</v>
      </c>
      <c r="HUX1" s="122" t="s">
        <v>5976</v>
      </c>
      <c r="HUY1" s="122" t="s">
        <v>5977</v>
      </c>
      <c r="HUZ1" s="122" t="s">
        <v>5978</v>
      </c>
      <c r="HVA1" s="122" t="s">
        <v>5979</v>
      </c>
      <c r="HVB1" s="122" t="s">
        <v>5980</v>
      </c>
      <c r="HVC1" s="122" t="s">
        <v>5981</v>
      </c>
      <c r="HVD1" s="122" t="s">
        <v>5982</v>
      </c>
      <c r="HVE1" s="122" t="s">
        <v>5983</v>
      </c>
      <c r="HVF1" s="122" t="s">
        <v>5984</v>
      </c>
      <c r="HVG1" s="122" t="s">
        <v>5985</v>
      </c>
      <c r="HVH1" s="122" t="s">
        <v>5986</v>
      </c>
      <c r="HVI1" s="122" t="s">
        <v>5987</v>
      </c>
      <c r="HVJ1" s="122" t="s">
        <v>5988</v>
      </c>
      <c r="HVK1" s="122" t="s">
        <v>5989</v>
      </c>
      <c r="HVL1" s="122" t="s">
        <v>5990</v>
      </c>
      <c r="HVM1" s="122" t="s">
        <v>5991</v>
      </c>
      <c r="HVN1" s="122" t="s">
        <v>5992</v>
      </c>
      <c r="HVO1" s="122" t="s">
        <v>5993</v>
      </c>
      <c r="HVP1" s="122" t="s">
        <v>5994</v>
      </c>
      <c r="HVQ1" s="122" t="s">
        <v>5995</v>
      </c>
      <c r="HVR1" s="122" t="s">
        <v>5996</v>
      </c>
      <c r="HVS1" s="122" t="s">
        <v>5997</v>
      </c>
      <c r="HVT1" s="122" t="s">
        <v>5998</v>
      </c>
      <c r="HVU1" s="122" t="s">
        <v>5999</v>
      </c>
      <c r="HVV1" s="122" t="s">
        <v>6000</v>
      </c>
      <c r="HVW1" s="122" t="s">
        <v>6001</v>
      </c>
      <c r="HVX1" s="122" t="s">
        <v>6002</v>
      </c>
      <c r="HVY1" s="122" t="s">
        <v>6003</v>
      </c>
      <c r="HVZ1" s="122" t="s">
        <v>6004</v>
      </c>
      <c r="HWA1" s="122" t="s">
        <v>6005</v>
      </c>
      <c r="HWB1" s="122" t="s">
        <v>6006</v>
      </c>
      <c r="HWC1" s="122" t="s">
        <v>6007</v>
      </c>
      <c r="HWD1" s="122" t="s">
        <v>6008</v>
      </c>
      <c r="HWE1" s="122" t="s">
        <v>6009</v>
      </c>
      <c r="HWF1" s="122" t="s">
        <v>6010</v>
      </c>
      <c r="HWG1" s="122" t="s">
        <v>6011</v>
      </c>
      <c r="HWH1" s="122" t="s">
        <v>6012</v>
      </c>
      <c r="HWI1" s="122" t="s">
        <v>6013</v>
      </c>
      <c r="HWJ1" s="122" t="s">
        <v>6014</v>
      </c>
      <c r="HWK1" s="122" t="s">
        <v>6015</v>
      </c>
      <c r="HWL1" s="122" t="s">
        <v>6016</v>
      </c>
      <c r="HWM1" s="122" t="s">
        <v>6017</v>
      </c>
      <c r="HWN1" s="122" t="s">
        <v>6018</v>
      </c>
      <c r="HWO1" s="122" t="s">
        <v>6019</v>
      </c>
      <c r="HWP1" s="122" t="s">
        <v>6020</v>
      </c>
      <c r="HWQ1" s="122" t="s">
        <v>6021</v>
      </c>
      <c r="HWR1" s="122" t="s">
        <v>6022</v>
      </c>
      <c r="HWS1" s="122" t="s">
        <v>6023</v>
      </c>
      <c r="HWT1" s="122" t="s">
        <v>6024</v>
      </c>
      <c r="HWU1" s="122" t="s">
        <v>6025</v>
      </c>
      <c r="HWV1" s="122" t="s">
        <v>6026</v>
      </c>
      <c r="HWW1" s="122" t="s">
        <v>6027</v>
      </c>
      <c r="HWX1" s="122" t="s">
        <v>6028</v>
      </c>
      <c r="HWY1" s="122" t="s">
        <v>6029</v>
      </c>
      <c r="HWZ1" s="122" t="s">
        <v>6030</v>
      </c>
      <c r="HXA1" s="122" t="s">
        <v>6031</v>
      </c>
      <c r="HXB1" s="122" t="s">
        <v>6032</v>
      </c>
      <c r="HXC1" s="122" t="s">
        <v>6033</v>
      </c>
      <c r="HXD1" s="122" t="s">
        <v>6034</v>
      </c>
      <c r="HXE1" s="122" t="s">
        <v>6035</v>
      </c>
      <c r="HXF1" s="122" t="s">
        <v>6036</v>
      </c>
      <c r="HXG1" s="122" t="s">
        <v>6037</v>
      </c>
      <c r="HXH1" s="122" t="s">
        <v>6038</v>
      </c>
      <c r="HXI1" s="122" t="s">
        <v>6039</v>
      </c>
      <c r="HXJ1" s="122" t="s">
        <v>6040</v>
      </c>
      <c r="HXK1" s="122" t="s">
        <v>6041</v>
      </c>
      <c r="HXL1" s="122" t="s">
        <v>6042</v>
      </c>
      <c r="HXM1" s="122" t="s">
        <v>6043</v>
      </c>
      <c r="HXN1" s="122" t="s">
        <v>6044</v>
      </c>
      <c r="HXO1" s="122" t="s">
        <v>6045</v>
      </c>
      <c r="HXP1" s="122" t="s">
        <v>6046</v>
      </c>
      <c r="HXQ1" s="122" t="s">
        <v>6047</v>
      </c>
      <c r="HXR1" s="122" t="s">
        <v>6048</v>
      </c>
      <c r="HXS1" s="122" t="s">
        <v>6049</v>
      </c>
      <c r="HXT1" s="122" t="s">
        <v>6050</v>
      </c>
      <c r="HXU1" s="122" t="s">
        <v>6051</v>
      </c>
      <c r="HXV1" s="122" t="s">
        <v>6052</v>
      </c>
      <c r="HXW1" s="122" t="s">
        <v>6053</v>
      </c>
      <c r="HXX1" s="122" t="s">
        <v>6054</v>
      </c>
      <c r="HXY1" s="122" t="s">
        <v>6055</v>
      </c>
      <c r="HXZ1" s="122" t="s">
        <v>6056</v>
      </c>
      <c r="HYA1" s="122" t="s">
        <v>6057</v>
      </c>
      <c r="HYB1" s="122" t="s">
        <v>6058</v>
      </c>
      <c r="HYC1" s="122" t="s">
        <v>6059</v>
      </c>
      <c r="HYD1" s="122" t="s">
        <v>6060</v>
      </c>
      <c r="HYE1" s="122" t="s">
        <v>6061</v>
      </c>
      <c r="HYF1" s="122" t="s">
        <v>6062</v>
      </c>
      <c r="HYG1" s="122" t="s">
        <v>6063</v>
      </c>
      <c r="HYH1" s="122" t="s">
        <v>6064</v>
      </c>
      <c r="HYI1" s="122" t="s">
        <v>6065</v>
      </c>
      <c r="HYJ1" s="122" t="s">
        <v>6066</v>
      </c>
      <c r="HYK1" s="122" t="s">
        <v>6067</v>
      </c>
      <c r="HYL1" s="122" t="s">
        <v>6068</v>
      </c>
      <c r="HYM1" s="122" t="s">
        <v>6069</v>
      </c>
      <c r="HYN1" s="122" t="s">
        <v>6070</v>
      </c>
      <c r="HYO1" s="122" t="s">
        <v>6071</v>
      </c>
      <c r="HYP1" s="122" t="s">
        <v>6072</v>
      </c>
      <c r="HYQ1" s="122" t="s">
        <v>6073</v>
      </c>
      <c r="HYR1" s="122" t="s">
        <v>6074</v>
      </c>
      <c r="HYS1" s="122" t="s">
        <v>6075</v>
      </c>
      <c r="HYT1" s="122" t="s">
        <v>6076</v>
      </c>
      <c r="HYU1" s="122" t="s">
        <v>6077</v>
      </c>
      <c r="HYV1" s="122" t="s">
        <v>6078</v>
      </c>
      <c r="HYW1" s="122" t="s">
        <v>6079</v>
      </c>
      <c r="HYX1" s="122" t="s">
        <v>6080</v>
      </c>
      <c r="HYY1" s="122" t="s">
        <v>6081</v>
      </c>
      <c r="HYZ1" s="122" t="s">
        <v>6082</v>
      </c>
      <c r="HZA1" s="122" t="s">
        <v>6083</v>
      </c>
      <c r="HZB1" s="122" t="s">
        <v>6084</v>
      </c>
      <c r="HZC1" s="122" t="s">
        <v>6085</v>
      </c>
      <c r="HZD1" s="122" t="s">
        <v>6086</v>
      </c>
      <c r="HZE1" s="122" t="s">
        <v>6087</v>
      </c>
      <c r="HZF1" s="122" t="s">
        <v>6088</v>
      </c>
      <c r="HZG1" s="122" t="s">
        <v>6089</v>
      </c>
      <c r="HZH1" s="122" t="s">
        <v>6090</v>
      </c>
      <c r="HZI1" s="122" t="s">
        <v>6091</v>
      </c>
      <c r="HZJ1" s="122" t="s">
        <v>6092</v>
      </c>
      <c r="HZK1" s="122" t="s">
        <v>6093</v>
      </c>
      <c r="HZL1" s="122" t="s">
        <v>6094</v>
      </c>
      <c r="HZM1" s="122" t="s">
        <v>6095</v>
      </c>
      <c r="HZN1" s="122" t="s">
        <v>6096</v>
      </c>
      <c r="HZO1" s="122" t="s">
        <v>6097</v>
      </c>
      <c r="HZP1" s="122" t="s">
        <v>6098</v>
      </c>
      <c r="HZQ1" s="122" t="s">
        <v>6099</v>
      </c>
      <c r="HZR1" s="122" t="s">
        <v>6100</v>
      </c>
      <c r="HZS1" s="122" t="s">
        <v>6101</v>
      </c>
      <c r="HZT1" s="122" t="s">
        <v>6102</v>
      </c>
      <c r="HZU1" s="122" t="s">
        <v>6103</v>
      </c>
      <c r="HZV1" s="122" t="s">
        <v>6104</v>
      </c>
      <c r="HZW1" s="122" t="s">
        <v>6105</v>
      </c>
      <c r="HZX1" s="122" t="s">
        <v>6106</v>
      </c>
      <c r="HZY1" s="122" t="s">
        <v>6107</v>
      </c>
      <c r="HZZ1" s="122" t="s">
        <v>6108</v>
      </c>
      <c r="IAA1" s="122" t="s">
        <v>6109</v>
      </c>
      <c r="IAB1" s="122" t="s">
        <v>6110</v>
      </c>
      <c r="IAC1" s="122" t="s">
        <v>6111</v>
      </c>
      <c r="IAD1" s="122" t="s">
        <v>6112</v>
      </c>
      <c r="IAE1" s="122" t="s">
        <v>6113</v>
      </c>
      <c r="IAF1" s="122" t="s">
        <v>6114</v>
      </c>
      <c r="IAG1" s="122" t="s">
        <v>6115</v>
      </c>
      <c r="IAH1" s="122" t="s">
        <v>6116</v>
      </c>
      <c r="IAI1" s="122" t="s">
        <v>6117</v>
      </c>
      <c r="IAJ1" s="122" t="s">
        <v>6118</v>
      </c>
      <c r="IAK1" s="122" t="s">
        <v>6119</v>
      </c>
      <c r="IAL1" s="122" t="s">
        <v>6120</v>
      </c>
      <c r="IAM1" s="122" t="s">
        <v>6121</v>
      </c>
      <c r="IAN1" s="122" t="s">
        <v>6122</v>
      </c>
      <c r="IAO1" s="122" t="s">
        <v>6123</v>
      </c>
      <c r="IAP1" s="122" t="s">
        <v>6124</v>
      </c>
      <c r="IAQ1" s="122" t="s">
        <v>6125</v>
      </c>
      <c r="IAR1" s="122" t="s">
        <v>6126</v>
      </c>
      <c r="IAS1" s="122" t="s">
        <v>6127</v>
      </c>
      <c r="IAT1" s="122" t="s">
        <v>6128</v>
      </c>
      <c r="IAU1" s="122" t="s">
        <v>6129</v>
      </c>
      <c r="IAV1" s="122" t="s">
        <v>6130</v>
      </c>
      <c r="IAW1" s="122" t="s">
        <v>6131</v>
      </c>
      <c r="IAX1" s="122" t="s">
        <v>6132</v>
      </c>
      <c r="IAY1" s="122" t="s">
        <v>6133</v>
      </c>
      <c r="IAZ1" s="122" t="s">
        <v>6134</v>
      </c>
      <c r="IBA1" s="122" t="s">
        <v>6135</v>
      </c>
      <c r="IBB1" s="122" t="s">
        <v>6136</v>
      </c>
      <c r="IBC1" s="122" t="s">
        <v>6137</v>
      </c>
      <c r="IBD1" s="122" t="s">
        <v>6138</v>
      </c>
      <c r="IBE1" s="122" t="s">
        <v>6139</v>
      </c>
      <c r="IBF1" s="122" t="s">
        <v>6140</v>
      </c>
      <c r="IBG1" s="122" t="s">
        <v>6141</v>
      </c>
      <c r="IBH1" s="122" t="s">
        <v>6142</v>
      </c>
      <c r="IBI1" s="122" t="s">
        <v>6143</v>
      </c>
      <c r="IBJ1" s="122" t="s">
        <v>6144</v>
      </c>
      <c r="IBK1" s="122" t="s">
        <v>6145</v>
      </c>
      <c r="IBL1" s="122" t="s">
        <v>6146</v>
      </c>
      <c r="IBM1" s="122" t="s">
        <v>6147</v>
      </c>
      <c r="IBN1" s="122" t="s">
        <v>6148</v>
      </c>
      <c r="IBO1" s="122" t="s">
        <v>6149</v>
      </c>
      <c r="IBP1" s="122" t="s">
        <v>6150</v>
      </c>
      <c r="IBQ1" s="122" t="s">
        <v>6151</v>
      </c>
      <c r="IBR1" s="122" t="s">
        <v>6152</v>
      </c>
      <c r="IBS1" s="122" t="s">
        <v>6153</v>
      </c>
      <c r="IBT1" s="122" t="s">
        <v>6154</v>
      </c>
      <c r="IBU1" s="122" t="s">
        <v>6155</v>
      </c>
      <c r="IBV1" s="122" t="s">
        <v>6156</v>
      </c>
      <c r="IBW1" s="122" t="s">
        <v>6157</v>
      </c>
      <c r="IBX1" s="122" t="s">
        <v>6158</v>
      </c>
      <c r="IBY1" s="122" t="s">
        <v>6159</v>
      </c>
      <c r="IBZ1" s="122" t="s">
        <v>6160</v>
      </c>
      <c r="ICA1" s="122" t="s">
        <v>6161</v>
      </c>
      <c r="ICB1" s="122" t="s">
        <v>6162</v>
      </c>
      <c r="ICC1" s="122" t="s">
        <v>6163</v>
      </c>
      <c r="ICD1" s="122" t="s">
        <v>6164</v>
      </c>
      <c r="ICE1" s="122" t="s">
        <v>6165</v>
      </c>
      <c r="ICF1" s="122" t="s">
        <v>6166</v>
      </c>
      <c r="ICG1" s="122" t="s">
        <v>6167</v>
      </c>
      <c r="ICH1" s="122" t="s">
        <v>6168</v>
      </c>
      <c r="ICI1" s="122" t="s">
        <v>6169</v>
      </c>
      <c r="ICJ1" s="122" t="s">
        <v>6170</v>
      </c>
      <c r="ICK1" s="122" t="s">
        <v>6171</v>
      </c>
      <c r="ICL1" s="122" t="s">
        <v>6172</v>
      </c>
      <c r="ICM1" s="122" t="s">
        <v>6173</v>
      </c>
      <c r="ICN1" s="122" t="s">
        <v>6174</v>
      </c>
      <c r="ICO1" s="122" t="s">
        <v>6175</v>
      </c>
      <c r="ICP1" s="122" t="s">
        <v>6176</v>
      </c>
      <c r="ICQ1" s="122" t="s">
        <v>6177</v>
      </c>
      <c r="ICR1" s="122" t="s">
        <v>6178</v>
      </c>
      <c r="ICS1" s="122" t="s">
        <v>6179</v>
      </c>
      <c r="ICT1" s="122" t="s">
        <v>6180</v>
      </c>
      <c r="ICU1" s="122" t="s">
        <v>6181</v>
      </c>
      <c r="ICV1" s="122" t="s">
        <v>6182</v>
      </c>
      <c r="ICW1" s="122" t="s">
        <v>6183</v>
      </c>
      <c r="ICX1" s="122" t="s">
        <v>6184</v>
      </c>
      <c r="ICY1" s="122" t="s">
        <v>6185</v>
      </c>
      <c r="ICZ1" s="122" t="s">
        <v>6186</v>
      </c>
      <c r="IDA1" s="122" t="s">
        <v>6187</v>
      </c>
      <c r="IDB1" s="122" t="s">
        <v>6188</v>
      </c>
      <c r="IDC1" s="122" t="s">
        <v>6189</v>
      </c>
      <c r="IDD1" s="122" t="s">
        <v>6190</v>
      </c>
      <c r="IDE1" s="122" t="s">
        <v>6191</v>
      </c>
      <c r="IDF1" s="122" t="s">
        <v>6192</v>
      </c>
      <c r="IDG1" s="122" t="s">
        <v>6193</v>
      </c>
      <c r="IDH1" s="122" t="s">
        <v>6194</v>
      </c>
      <c r="IDI1" s="122" t="s">
        <v>6195</v>
      </c>
      <c r="IDJ1" s="122" t="s">
        <v>6196</v>
      </c>
      <c r="IDK1" s="122" t="s">
        <v>6197</v>
      </c>
      <c r="IDL1" s="122" t="s">
        <v>6198</v>
      </c>
      <c r="IDM1" s="122" t="s">
        <v>6199</v>
      </c>
      <c r="IDN1" s="122" t="s">
        <v>6200</v>
      </c>
      <c r="IDO1" s="122" t="s">
        <v>6201</v>
      </c>
      <c r="IDP1" s="122" t="s">
        <v>6202</v>
      </c>
      <c r="IDQ1" s="122" t="s">
        <v>6203</v>
      </c>
      <c r="IDR1" s="122" t="s">
        <v>6204</v>
      </c>
      <c r="IDS1" s="122" t="s">
        <v>6205</v>
      </c>
      <c r="IDT1" s="122" t="s">
        <v>6206</v>
      </c>
      <c r="IDU1" s="122" t="s">
        <v>6207</v>
      </c>
      <c r="IDV1" s="122" t="s">
        <v>6208</v>
      </c>
      <c r="IDW1" s="122" t="s">
        <v>6209</v>
      </c>
      <c r="IDX1" s="122" t="s">
        <v>6210</v>
      </c>
      <c r="IDY1" s="122" t="s">
        <v>6211</v>
      </c>
      <c r="IDZ1" s="122" t="s">
        <v>6212</v>
      </c>
      <c r="IEA1" s="122" t="s">
        <v>6213</v>
      </c>
      <c r="IEB1" s="122" t="s">
        <v>6214</v>
      </c>
      <c r="IEC1" s="122" t="s">
        <v>6215</v>
      </c>
      <c r="IED1" s="122" t="s">
        <v>6216</v>
      </c>
      <c r="IEE1" s="122" t="s">
        <v>6217</v>
      </c>
      <c r="IEF1" s="122" t="s">
        <v>6218</v>
      </c>
      <c r="IEG1" s="122" t="s">
        <v>6219</v>
      </c>
      <c r="IEH1" s="122" t="s">
        <v>6220</v>
      </c>
      <c r="IEI1" s="122" t="s">
        <v>6221</v>
      </c>
      <c r="IEJ1" s="122" t="s">
        <v>6222</v>
      </c>
      <c r="IEK1" s="122" t="s">
        <v>6223</v>
      </c>
      <c r="IEL1" s="122" t="s">
        <v>6224</v>
      </c>
      <c r="IEM1" s="122" t="s">
        <v>6225</v>
      </c>
      <c r="IEN1" s="122" t="s">
        <v>6226</v>
      </c>
      <c r="IEO1" s="122" t="s">
        <v>6227</v>
      </c>
      <c r="IEP1" s="122" t="s">
        <v>6228</v>
      </c>
      <c r="IEQ1" s="122" t="s">
        <v>6229</v>
      </c>
      <c r="IER1" s="122" t="s">
        <v>6230</v>
      </c>
      <c r="IES1" s="122" t="s">
        <v>6231</v>
      </c>
      <c r="IET1" s="122" t="s">
        <v>6232</v>
      </c>
      <c r="IEU1" s="122" t="s">
        <v>6233</v>
      </c>
      <c r="IEV1" s="122" t="s">
        <v>6234</v>
      </c>
      <c r="IEW1" s="122" t="s">
        <v>6235</v>
      </c>
      <c r="IEX1" s="122" t="s">
        <v>6236</v>
      </c>
      <c r="IEY1" s="122" t="s">
        <v>6237</v>
      </c>
      <c r="IEZ1" s="122" t="s">
        <v>6238</v>
      </c>
      <c r="IFA1" s="122" t="s">
        <v>6239</v>
      </c>
      <c r="IFB1" s="122" t="s">
        <v>6240</v>
      </c>
      <c r="IFC1" s="122" t="s">
        <v>6241</v>
      </c>
      <c r="IFD1" s="122" t="s">
        <v>6242</v>
      </c>
      <c r="IFE1" s="122" t="s">
        <v>6243</v>
      </c>
      <c r="IFF1" s="122" t="s">
        <v>6244</v>
      </c>
      <c r="IFG1" s="122" t="s">
        <v>6245</v>
      </c>
      <c r="IFH1" s="122" t="s">
        <v>6246</v>
      </c>
      <c r="IFI1" s="122" t="s">
        <v>6247</v>
      </c>
      <c r="IFJ1" s="122" t="s">
        <v>6248</v>
      </c>
      <c r="IFK1" s="122" t="s">
        <v>6249</v>
      </c>
      <c r="IFL1" s="122" t="s">
        <v>6250</v>
      </c>
      <c r="IFM1" s="122" t="s">
        <v>6251</v>
      </c>
      <c r="IFN1" s="122" t="s">
        <v>6252</v>
      </c>
      <c r="IFO1" s="122" t="s">
        <v>6253</v>
      </c>
      <c r="IFP1" s="122" t="s">
        <v>6254</v>
      </c>
      <c r="IFQ1" s="122" t="s">
        <v>6255</v>
      </c>
      <c r="IFR1" s="122" t="s">
        <v>6256</v>
      </c>
      <c r="IFS1" s="122" t="s">
        <v>6257</v>
      </c>
      <c r="IFT1" s="122" t="s">
        <v>6258</v>
      </c>
      <c r="IFU1" s="122" t="s">
        <v>6259</v>
      </c>
      <c r="IFV1" s="122" t="s">
        <v>6260</v>
      </c>
      <c r="IFW1" s="122" t="s">
        <v>6261</v>
      </c>
      <c r="IFX1" s="122" t="s">
        <v>6262</v>
      </c>
      <c r="IFY1" s="122" t="s">
        <v>6263</v>
      </c>
      <c r="IFZ1" s="122" t="s">
        <v>6264</v>
      </c>
      <c r="IGA1" s="122" t="s">
        <v>6265</v>
      </c>
      <c r="IGB1" s="122" t="s">
        <v>6266</v>
      </c>
      <c r="IGC1" s="122" t="s">
        <v>6267</v>
      </c>
      <c r="IGD1" s="122" t="s">
        <v>6268</v>
      </c>
      <c r="IGE1" s="122" t="s">
        <v>6269</v>
      </c>
      <c r="IGF1" s="122" t="s">
        <v>6270</v>
      </c>
      <c r="IGG1" s="122" t="s">
        <v>6271</v>
      </c>
      <c r="IGH1" s="122" t="s">
        <v>6272</v>
      </c>
      <c r="IGI1" s="122" t="s">
        <v>6273</v>
      </c>
      <c r="IGJ1" s="122" t="s">
        <v>6274</v>
      </c>
      <c r="IGK1" s="122" t="s">
        <v>6275</v>
      </c>
      <c r="IGL1" s="122" t="s">
        <v>6276</v>
      </c>
      <c r="IGM1" s="122" t="s">
        <v>6277</v>
      </c>
      <c r="IGN1" s="122" t="s">
        <v>6278</v>
      </c>
      <c r="IGO1" s="122" t="s">
        <v>6279</v>
      </c>
      <c r="IGP1" s="122" t="s">
        <v>6280</v>
      </c>
      <c r="IGQ1" s="122" t="s">
        <v>6281</v>
      </c>
      <c r="IGR1" s="122" t="s">
        <v>6282</v>
      </c>
      <c r="IGS1" s="122" t="s">
        <v>6283</v>
      </c>
      <c r="IGT1" s="122" t="s">
        <v>6284</v>
      </c>
      <c r="IGU1" s="122" t="s">
        <v>6285</v>
      </c>
      <c r="IGV1" s="122" t="s">
        <v>6286</v>
      </c>
      <c r="IGW1" s="122" t="s">
        <v>6287</v>
      </c>
      <c r="IGX1" s="122" t="s">
        <v>6288</v>
      </c>
      <c r="IGY1" s="122" t="s">
        <v>6289</v>
      </c>
      <c r="IGZ1" s="122" t="s">
        <v>6290</v>
      </c>
      <c r="IHA1" s="122" t="s">
        <v>6291</v>
      </c>
      <c r="IHB1" s="122" t="s">
        <v>6292</v>
      </c>
      <c r="IHC1" s="122" t="s">
        <v>6293</v>
      </c>
      <c r="IHD1" s="122" t="s">
        <v>6294</v>
      </c>
      <c r="IHE1" s="122" t="s">
        <v>6295</v>
      </c>
      <c r="IHF1" s="122" t="s">
        <v>6296</v>
      </c>
      <c r="IHG1" s="122" t="s">
        <v>6297</v>
      </c>
      <c r="IHH1" s="122" t="s">
        <v>6298</v>
      </c>
      <c r="IHI1" s="122" t="s">
        <v>6299</v>
      </c>
      <c r="IHJ1" s="122" t="s">
        <v>6300</v>
      </c>
      <c r="IHK1" s="122" t="s">
        <v>6301</v>
      </c>
      <c r="IHL1" s="122" t="s">
        <v>6302</v>
      </c>
      <c r="IHM1" s="122" t="s">
        <v>6303</v>
      </c>
      <c r="IHN1" s="122" t="s">
        <v>6304</v>
      </c>
      <c r="IHO1" s="122" t="s">
        <v>6305</v>
      </c>
      <c r="IHP1" s="122" t="s">
        <v>6306</v>
      </c>
      <c r="IHQ1" s="122" t="s">
        <v>6307</v>
      </c>
      <c r="IHR1" s="122" t="s">
        <v>6308</v>
      </c>
      <c r="IHS1" s="122" t="s">
        <v>6309</v>
      </c>
      <c r="IHT1" s="122" t="s">
        <v>6310</v>
      </c>
      <c r="IHU1" s="122" t="s">
        <v>6311</v>
      </c>
      <c r="IHV1" s="122" t="s">
        <v>6312</v>
      </c>
      <c r="IHW1" s="122" t="s">
        <v>6313</v>
      </c>
      <c r="IHX1" s="122" t="s">
        <v>6314</v>
      </c>
      <c r="IHY1" s="122" t="s">
        <v>6315</v>
      </c>
      <c r="IHZ1" s="122" t="s">
        <v>6316</v>
      </c>
      <c r="IIA1" s="122" t="s">
        <v>6317</v>
      </c>
      <c r="IIB1" s="122" t="s">
        <v>6318</v>
      </c>
      <c r="IIC1" s="122" t="s">
        <v>6319</v>
      </c>
      <c r="IID1" s="122" t="s">
        <v>6320</v>
      </c>
      <c r="IIE1" s="122" t="s">
        <v>6321</v>
      </c>
      <c r="IIF1" s="122" t="s">
        <v>6322</v>
      </c>
      <c r="IIG1" s="122" t="s">
        <v>6323</v>
      </c>
      <c r="IIH1" s="122" t="s">
        <v>6324</v>
      </c>
      <c r="III1" s="122" t="s">
        <v>6325</v>
      </c>
      <c r="IIJ1" s="122" t="s">
        <v>6326</v>
      </c>
      <c r="IIK1" s="122" t="s">
        <v>6327</v>
      </c>
      <c r="IIL1" s="122" t="s">
        <v>6328</v>
      </c>
      <c r="IIM1" s="122" t="s">
        <v>6329</v>
      </c>
      <c r="IIN1" s="122" t="s">
        <v>6330</v>
      </c>
      <c r="IIO1" s="122" t="s">
        <v>6331</v>
      </c>
      <c r="IIP1" s="122" t="s">
        <v>6332</v>
      </c>
      <c r="IIQ1" s="122" t="s">
        <v>6333</v>
      </c>
      <c r="IIR1" s="122" t="s">
        <v>6334</v>
      </c>
      <c r="IIS1" s="122" t="s">
        <v>6335</v>
      </c>
      <c r="IIT1" s="122" t="s">
        <v>6336</v>
      </c>
      <c r="IIU1" s="122" t="s">
        <v>6337</v>
      </c>
      <c r="IIV1" s="122" t="s">
        <v>6338</v>
      </c>
      <c r="IIW1" s="122" t="s">
        <v>6339</v>
      </c>
      <c r="IIX1" s="122" t="s">
        <v>6340</v>
      </c>
      <c r="IIY1" s="122" t="s">
        <v>6341</v>
      </c>
      <c r="IIZ1" s="122" t="s">
        <v>6342</v>
      </c>
      <c r="IJA1" s="122" t="s">
        <v>6343</v>
      </c>
      <c r="IJB1" s="122" t="s">
        <v>6344</v>
      </c>
      <c r="IJC1" s="122" t="s">
        <v>6345</v>
      </c>
      <c r="IJD1" s="122" t="s">
        <v>6346</v>
      </c>
      <c r="IJE1" s="122" t="s">
        <v>6347</v>
      </c>
      <c r="IJF1" s="122" t="s">
        <v>6348</v>
      </c>
      <c r="IJG1" s="122" t="s">
        <v>6349</v>
      </c>
      <c r="IJH1" s="122" t="s">
        <v>6350</v>
      </c>
      <c r="IJI1" s="122" t="s">
        <v>6351</v>
      </c>
      <c r="IJJ1" s="122" t="s">
        <v>6352</v>
      </c>
      <c r="IJK1" s="122" t="s">
        <v>6353</v>
      </c>
      <c r="IJL1" s="122" t="s">
        <v>6354</v>
      </c>
      <c r="IJM1" s="122" t="s">
        <v>6355</v>
      </c>
      <c r="IJN1" s="122" t="s">
        <v>6356</v>
      </c>
      <c r="IJO1" s="122" t="s">
        <v>6357</v>
      </c>
      <c r="IJP1" s="122" t="s">
        <v>6358</v>
      </c>
      <c r="IJQ1" s="122" t="s">
        <v>6359</v>
      </c>
      <c r="IJR1" s="122" t="s">
        <v>6360</v>
      </c>
      <c r="IJS1" s="122" t="s">
        <v>6361</v>
      </c>
      <c r="IJT1" s="122" t="s">
        <v>6362</v>
      </c>
      <c r="IJU1" s="122" t="s">
        <v>6363</v>
      </c>
      <c r="IJV1" s="122" t="s">
        <v>6364</v>
      </c>
      <c r="IJW1" s="122" t="s">
        <v>6365</v>
      </c>
      <c r="IJX1" s="122" t="s">
        <v>6366</v>
      </c>
      <c r="IJY1" s="122" t="s">
        <v>6367</v>
      </c>
      <c r="IJZ1" s="122" t="s">
        <v>6368</v>
      </c>
      <c r="IKA1" s="122" t="s">
        <v>6369</v>
      </c>
      <c r="IKB1" s="122" t="s">
        <v>6370</v>
      </c>
      <c r="IKC1" s="122" t="s">
        <v>6371</v>
      </c>
      <c r="IKD1" s="122" t="s">
        <v>6372</v>
      </c>
      <c r="IKE1" s="122" t="s">
        <v>6373</v>
      </c>
      <c r="IKF1" s="122" t="s">
        <v>6374</v>
      </c>
      <c r="IKG1" s="122" t="s">
        <v>6375</v>
      </c>
      <c r="IKH1" s="122" t="s">
        <v>6376</v>
      </c>
      <c r="IKI1" s="122" t="s">
        <v>6377</v>
      </c>
      <c r="IKJ1" s="122" t="s">
        <v>6378</v>
      </c>
      <c r="IKK1" s="122" t="s">
        <v>6379</v>
      </c>
      <c r="IKL1" s="122" t="s">
        <v>6380</v>
      </c>
      <c r="IKM1" s="122" t="s">
        <v>6381</v>
      </c>
      <c r="IKN1" s="122" t="s">
        <v>6382</v>
      </c>
      <c r="IKO1" s="122" t="s">
        <v>6383</v>
      </c>
      <c r="IKP1" s="122" t="s">
        <v>6384</v>
      </c>
      <c r="IKQ1" s="122" t="s">
        <v>6385</v>
      </c>
      <c r="IKR1" s="122" t="s">
        <v>6386</v>
      </c>
      <c r="IKS1" s="122" t="s">
        <v>6387</v>
      </c>
      <c r="IKT1" s="122" t="s">
        <v>6388</v>
      </c>
      <c r="IKU1" s="122" t="s">
        <v>6389</v>
      </c>
      <c r="IKV1" s="122" t="s">
        <v>6390</v>
      </c>
      <c r="IKW1" s="122" t="s">
        <v>6391</v>
      </c>
      <c r="IKX1" s="122" t="s">
        <v>6392</v>
      </c>
      <c r="IKY1" s="122" t="s">
        <v>6393</v>
      </c>
      <c r="IKZ1" s="122" t="s">
        <v>6394</v>
      </c>
      <c r="ILA1" s="122" t="s">
        <v>6395</v>
      </c>
      <c r="ILB1" s="122" t="s">
        <v>6396</v>
      </c>
      <c r="ILC1" s="122" t="s">
        <v>6397</v>
      </c>
      <c r="ILD1" s="122" t="s">
        <v>6398</v>
      </c>
      <c r="ILE1" s="122" t="s">
        <v>6399</v>
      </c>
      <c r="ILF1" s="122" t="s">
        <v>6400</v>
      </c>
      <c r="ILG1" s="122" t="s">
        <v>6401</v>
      </c>
      <c r="ILH1" s="122" t="s">
        <v>6402</v>
      </c>
      <c r="ILI1" s="122" t="s">
        <v>6403</v>
      </c>
      <c r="ILJ1" s="122" t="s">
        <v>6404</v>
      </c>
      <c r="ILK1" s="122" t="s">
        <v>6405</v>
      </c>
      <c r="ILL1" s="122" t="s">
        <v>6406</v>
      </c>
      <c r="ILM1" s="122" t="s">
        <v>6407</v>
      </c>
      <c r="ILN1" s="122" t="s">
        <v>6408</v>
      </c>
      <c r="ILO1" s="122" t="s">
        <v>6409</v>
      </c>
      <c r="ILP1" s="122" t="s">
        <v>6410</v>
      </c>
      <c r="ILQ1" s="122" t="s">
        <v>6411</v>
      </c>
      <c r="ILR1" s="122" t="s">
        <v>6412</v>
      </c>
      <c r="ILS1" s="122" t="s">
        <v>6413</v>
      </c>
      <c r="ILT1" s="122" t="s">
        <v>6414</v>
      </c>
      <c r="ILU1" s="122" t="s">
        <v>6415</v>
      </c>
      <c r="ILV1" s="122" t="s">
        <v>6416</v>
      </c>
      <c r="ILW1" s="122" t="s">
        <v>6417</v>
      </c>
      <c r="ILX1" s="122" t="s">
        <v>6418</v>
      </c>
      <c r="ILY1" s="122" t="s">
        <v>6419</v>
      </c>
      <c r="ILZ1" s="122" t="s">
        <v>6420</v>
      </c>
      <c r="IMA1" s="122" t="s">
        <v>6421</v>
      </c>
      <c r="IMB1" s="122" t="s">
        <v>6422</v>
      </c>
      <c r="IMC1" s="122" t="s">
        <v>6423</v>
      </c>
      <c r="IMD1" s="122" t="s">
        <v>6424</v>
      </c>
      <c r="IME1" s="122" t="s">
        <v>6425</v>
      </c>
      <c r="IMF1" s="122" t="s">
        <v>6426</v>
      </c>
      <c r="IMG1" s="122" t="s">
        <v>6427</v>
      </c>
      <c r="IMH1" s="122" t="s">
        <v>6428</v>
      </c>
      <c r="IMI1" s="122" t="s">
        <v>6429</v>
      </c>
      <c r="IMJ1" s="122" t="s">
        <v>6430</v>
      </c>
      <c r="IMK1" s="122" t="s">
        <v>6431</v>
      </c>
      <c r="IML1" s="122" t="s">
        <v>6432</v>
      </c>
      <c r="IMM1" s="122" t="s">
        <v>6433</v>
      </c>
      <c r="IMN1" s="122" t="s">
        <v>6434</v>
      </c>
      <c r="IMO1" s="122" t="s">
        <v>6435</v>
      </c>
      <c r="IMP1" s="122" t="s">
        <v>6436</v>
      </c>
      <c r="IMQ1" s="122" t="s">
        <v>6437</v>
      </c>
      <c r="IMR1" s="122" t="s">
        <v>6438</v>
      </c>
      <c r="IMS1" s="122" t="s">
        <v>6439</v>
      </c>
      <c r="IMT1" s="122" t="s">
        <v>6440</v>
      </c>
      <c r="IMU1" s="122" t="s">
        <v>6441</v>
      </c>
      <c r="IMV1" s="122" t="s">
        <v>6442</v>
      </c>
      <c r="IMW1" s="122" t="s">
        <v>6443</v>
      </c>
      <c r="IMX1" s="122" t="s">
        <v>6444</v>
      </c>
      <c r="IMY1" s="122" t="s">
        <v>6445</v>
      </c>
      <c r="IMZ1" s="122" t="s">
        <v>6446</v>
      </c>
      <c r="INA1" s="122" t="s">
        <v>6447</v>
      </c>
      <c r="INB1" s="122" t="s">
        <v>6448</v>
      </c>
      <c r="INC1" s="122" t="s">
        <v>6449</v>
      </c>
      <c r="IND1" s="122" t="s">
        <v>6450</v>
      </c>
      <c r="INE1" s="122" t="s">
        <v>6451</v>
      </c>
      <c r="INF1" s="122" t="s">
        <v>6452</v>
      </c>
      <c r="ING1" s="122" t="s">
        <v>6453</v>
      </c>
      <c r="INH1" s="122" t="s">
        <v>6454</v>
      </c>
      <c r="INI1" s="122" t="s">
        <v>6455</v>
      </c>
      <c r="INJ1" s="122" t="s">
        <v>6456</v>
      </c>
      <c r="INK1" s="122" t="s">
        <v>6457</v>
      </c>
      <c r="INL1" s="122" t="s">
        <v>6458</v>
      </c>
      <c r="INM1" s="122" t="s">
        <v>6459</v>
      </c>
      <c r="INN1" s="122" t="s">
        <v>6460</v>
      </c>
      <c r="INO1" s="122" t="s">
        <v>6461</v>
      </c>
      <c r="INP1" s="122" t="s">
        <v>6462</v>
      </c>
      <c r="INQ1" s="122" t="s">
        <v>6463</v>
      </c>
      <c r="INR1" s="122" t="s">
        <v>6464</v>
      </c>
      <c r="INS1" s="122" t="s">
        <v>6465</v>
      </c>
      <c r="INT1" s="122" t="s">
        <v>6466</v>
      </c>
      <c r="INU1" s="122" t="s">
        <v>6467</v>
      </c>
      <c r="INV1" s="122" t="s">
        <v>6468</v>
      </c>
      <c r="INW1" s="122" t="s">
        <v>6469</v>
      </c>
      <c r="INX1" s="122" t="s">
        <v>6470</v>
      </c>
      <c r="INY1" s="122" t="s">
        <v>6471</v>
      </c>
      <c r="INZ1" s="122" t="s">
        <v>6472</v>
      </c>
      <c r="IOA1" s="122" t="s">
        <v>6473</v>
      </c>
      <c r="IOB1" s="122" t="s">
        <v>6474</v>
      </c>
      <c r="IOC1" s="122" t="s">
        <v>6475</v>
      </c>
      <c r="IOD1" s="122" t="s">
        <v>6476</v>
      </c>
      <c r="IOE1" s="122" t="s">
        <v>6477</v>
      </c>
      <c r="IOF1" s="122" t="s">
        <v>6478</v>
      </c>
      <c r="IOG1" s="122" t="s">
        <v>6479</v>
      </c>
      <c r="IOH1" s="122" t="s">
        <v>6480</v>
      </c>
      <c r="IOI1" s="122" t="s">
        <v>6481</v>
      </c>
      <c r="IOJ1" s="122" t="s">
        <v>6482</v>
      </c>
      <c r="IOK1" s="122" t="s">
        <v>6483</v>
      </c>
      <c r="IOL1" s="122" t="s">
        <v>6484</v>
      </c>
      <c r="IOM1" s="122" t="s">
        <v>6485</v>
      </c>
      <c r="ION1" s="122" t="s">
        <v>6486</v>
      </c>
      <c r="IOO1" s="122" t="s">
        <v>6487</v>
      </c>
      <c r="IOP1" s="122" t="s">
        <v>6488</v>
      </c>
      <c r="IOQ1" s="122" t="s">
        <v>6489</v>
      </c>
      <c r="IOR1" s="122" t="s">
        <v>6490</v>
      </c>
      <c r="IOS1" s="122" t="s">
        <v>6491</v>
      </c>
      <c r="IOT1" s="122" t="s">
        <v>6492</v>
      </c>
      <c r="IOU1" s="122" t="s">
        <v>6493</v>
      </c>
      <c r="IOV1" s="122" t="s">
        <v>6494</v>
      </c>
      <c r="IOW1" s="122" t="s">
        <v>6495</v>
      </c>
      <c r="IOX1" s="122" t="s">
        <v>6496</v>
      </c>
      <c r="IOY1" s="122" t="s">
        <v>6497</v>
      </c>
      <c r="IOZ1" s="122" t="s">
        <v>6498</v>
      </c>
      <c r="IPA1" s="122" t="s">
        <v>6499</v>
      </c>
      <c r="IPB1" s="122" t="s">
        <v>6500</v>
      </c>
      <c r="IPC1" s="122" t="s">
        <v>6501</v>
      </c>
      <c r="IPD1" s="122" t="s">
        <v>6502</v>
      </c>
      <c r="IPE1" s="122" t="s">
        <v>6503</v>
      </c>
      <c r="IPF1" s="122" t="s">
        <v>6504</v>
      </c>
      <c r="IPG1" s="122" t="s">
        <v>6505</v>
      </c>
      <c r="IPH1" s="122" t="s">
        <v>6506</v>
      </c>
      <c r="IPI1" s="122" t="s">
        <v>6507</v>
      </c>
      <c r="IPJ1" s="122" t="s">
        <v>6508</v>
      </c>
      <c r="IPK1" s="122" t="s">
        <v>6509</v>
      </c>
      <c r="IPL1" s="122" t="s">
        <v>6510</v>
      </c>
      <c r="IPM1" s="122" t="s">
        <v>6511</v>
      </c>
      <c r="IPN1" s="122" t="s">
        <v>6512</v>
      </c>
      <c r="IPO1" s="122" t="s">
        <v>6513</v>
      </c>
      <c r="IPP1" s="122" t="s">
        <v>6514</v>
      </c>
      <c r="IPQ1" s="122" t="s">
        <v>6515</v>
      </c>
      <c r="IPR1" s="122" t="s">
        <v>6516</v>
      </c>
      <c r="IPS1" s="122" t="s">
        <v>6517</v>
      </c>
      <c r="IPT1" s="122" t="s">
        <v>6518</v>
      </c>
      <c r="IPU1" s="122" t="s">
        <v>6519</v>
      </c>
      <c r="IPV1" s="122" t="s">
        <v>6520</v>
      </c>
      <c r="IPW1" s="122" t="s">
        <v>6521</v>
      </c>
      <c r="IPX1" s="122" t="s">
        <v>6522</v>
      </c>
      <c r="IPY1" s="122" t="s">
        <v>6523</v>
      </c>
      <c r="IPZ1" s="122" t="s">
        <v>6524</v>
      </c>
      <c r="IQA1" s="122" t="s">
        <v>6525</v>
      </c>
      <c r="IQB1" s="122" t="s">
        <v>6526</v>
      </c>
      <c r="IQC1" s="122" t="s">
        <v>6527</v>
      </c>
      <c r="IQD1" s="122" t="s">
        <v>6528</v>
      </c>
      <c r="IQE1" s="122" t="s">
        <v>6529</v>
      </c>
      <c r="IQF1" s="122" t="s">
        <v>6530</v>
      </c>
      <c r="IQG1" s="122" t="s">
        <v>6531</v>
      </c>
      <c r="IQH1" s="122" t="s">
        <v>6532</v>
      </c>
      <c r="IQI1" s="122" t="s">
        <v>6533</v>
      </c>
      <c r="IQJ1" s="122" t="s">
        <v>6534</v>
      </c>
      <c r="IQK1" s="122" t="s">
        <v>6535</v>
      </c>
      <c r="IQL1" s="122" t="s">
        <v>6536</v>
      </c>
      <c r="IQM1" s="122" t="s">
        <v>6537</v>
      </c>
      <c r="IQN1" s="122" t="s">
        <v>6538</v>
      </c>
      <c r="IQO1" s="122" t="s">
        <v>6539</v>
      </c>
      <c r="IQP1" s="122" t="s">
        <v>6540</v>
      </c>
      <c r="IQQ1" s="122" t="s">
        <v>6541</v>
      </c>
      <c r="IQR1" s="122" t="s">
        <v>6542</v>
      </c>
      <c r="IQS1" s="122" t="s">
        <v>6543</v>
      </c>
      <c r="IQT1" s="122" t="s">
        <v>6544</v>
      </c>
      <c r="IQU1" s="122" t="s">
        <v>6545</v>
      </c>
      <c r="IQV1" s="122" t="s">
        <v>6546</v>
      </c>
      <c r="IQW1" s="122" t="s">
        <v>6547</v>
      </c>
      <c r="IQX1" s="122" t="s">
        <v>6548</v>
      </c>
      <c r="IQY1" s="122" t="s">
        <v>6549</v>
      </c>
      <c r="IQZ1" s="122" t="s">
        <v>6550</v>
      </c>
      <c r="IRA1" s="122" t="s">
        <v>6551</v>
      </c>
      <c r="IRB1" s="122" t="s">
        <v>6552</v>
      </c>
      <c r="IRC1" s="122" t="s">
        <v>6553</v>
      </c>
      <c r="IRD1" s="122" t="s">
        <v>6554</v>
      </c>
      <c r="IRE1" s="122" t="s">
        <v>6555</v>
      </c>
      <c r="IRF1" s="122" t="s">
        <v>6556</v>
      </c>
      <c r="IRG1" s="122" t="s">
        <v>6557</v>
      </c>
      <c r="IRH1" s="122" t="s">
        <v>6558</v>
      </c>
      <c r="IRI1" s="122" t="s">
        <v>6559</v>
      </c>
      <c r="IRJ1" s="122" t="s">
        <v>6560</v>
      </c>
      <c r="IRK1" s="122" t="s">
        <v>6561</v>
      </c>
      <c r="IRL1" s="122" t="s">
        <v>6562</v>
      </c>
      <c r="IRM1" s="122" t="s">
        <v>6563</v>
      </c>
      <c r="IRN1" s="122" t="s">
        <v>6564</v>
      </c>
      <c r="IRO1" s="122" t="s">
        <v>6565</v>
      </c>
      <c r="IRP1" s="122" t="s">
        <v>6566</v>
      </c>
      <c r="IRQ1" s="122" t="s">
        <v>6567</v>
      </c>
      <c r="IRR1" s="122" t="s">
        <v>6568</v>
      </c>
      <c r="IRS1" s="122" t="s">
        <v>6569</v>
      </c>
      <c r="IRT1" s="122" t="s">
        <v>6570</v>
      </c>
      <c r="IRU1" s="122" t="s">
        <v>6571</v>
      </c>
      <c r="IRV1" s="122" t="s">
        <v>6572</v>
      </c>
      <c r="IRW1" s="122" t="s">
        <v>6573</v>
      </c>
      <c r="IRX1" s="122" t="s">
        <v>6574</v>
      </c>
      <c r="IRY1" s="122" t="s">
        <v>6575</v>
      </c>
      <c r="IRZ1" s="122" t="s">
        <v>6576</v>
      </c>
      <c r="ISA1" s="122" t="s">
        <v>6577</v>
      </c>
      <c r="ISB1" s="122" t="s">
        <v>6578</v>
      </c>
      <c r="ISC1" s="122" t="s">
        <v>6579</v>
      </c>
      <c r="ISD1" s="122" t="s">
        <v>6580</v>
      </c>
      <c r="ISE1" s="122" t="s">
        <v>6581</v>
      </c>
      <c r="ISF1" s="122" t="s">
        <v>6582</v>
      </c>
      <c r="ISG1" s="122" t="s">
        <v>6583</v>
      </c>
      <c r="ISH1" s="122" t="s">
        <v>6584</v>
      </c>
      <c r="ISI1" s="122" t="s">
        <v>6585</v>
      </c>
      <c r="ISJ1" s="122" t="s">
        <v>6586</v>
      </c>
      <c r="ISK1" s="122" t="s">
        <v>6587</v>
      </c>
      <c r="ISL1" s="122" t="s">
        <v>6588</v>
      </c>
      <c r="ISM1" s="122" t="s">
        <v>6589</v>
      </c>
      <c r="ISN1" s="122" t="s">
        <v>6590</v>
      </c>
      <c r="ISO1" s="122" t="s">
        <v>6591</v>
      </c>
      <c r="ISP1" s="122" t="s">
        <v>6592</v>
      </c>
      <c r="ISQ1" s="122" t="s">
        <v>6593</v>
      </c>
      <c r="ISR1" s="122" t="s">
        <v>6594</v>
      </c>
      <c r="ISS1" s="122" t="s">
        <v>6595</v>
      </c>
      <c r="IST1" s="122" t="s">
        <v>6596</v>
      </c>
      <c r="ISU1" s="122" t="s">
        <v>6597</v>
      </c>
      <c r="ISV1" s="122" t="s">
        <v>6598</v>
      </c>
      <c r="ISW1" s="122" t="s">
        <v>6599</v>
      </c>
      <c r="ISX1" s="122" t="s">
        <v>6600</v>
      </c>
      <c r="ISY1" s="122" t="s">
        <v>6601</v>
      </c>
      <c r="ISZ1" s="122" t="s">
        <v>6602</v>
      </c>
      <c r="ITA1" s="122" t="s">
        <v>6603</v>
      </c>
      <c r="ITB1" s="122" t="s">
        <v>6604</v>
      </c>
      <c r="ITC1" s="122" t="s">
        <v>6605</v>
      </c>
      <c r="ITD1" s="122" t="s">
        <v>6606</v>
      </c>
      <c r="ITE1" s="122" t="s">
        <v>6607</v>
      </c>
      <c r="ITF1" s="122" t="s">
        <v>6608</v>
      </c>
      <c r="ITG1" s="122" t="s">
        <v>6609</v>
      </c>
      <c r="ITH1" s="122" t="s">
        <v>6610</v>
      </c>
      <c r="ITI1" s="122" t="s">
        <v>6611</v>
      </c>
      <c r="ITJ1" s="122" t="s">
        <v>6612</v>
      </c>
      <c r="ITK1" s="122" t="s">
        <v>6613</v>
      </c>
      <c r="ITL1" s="122" t="s">
        <v>6614</v>
      </c>
      <c r="ITM1" s="122" t="s">
        <v>6615</v>
      </c>
      <c r="ITN1" s="122" t="s">
        <v>6616</v>
      </c>
      <c r="ITO1" s="122" t="s">
        <v>6617</v>
      </c>
      <c r="ITP1" s="122" t="s">
        <v>6618</v>
      </c>
      <c r="ITQ1" s="122" t="s">
        <v>6619</v>
      </c>
      <c r="ITR1" s="122" t="s">
        <v>6620</v>
      </c>
      <c r="ITS1" s="122" t="s">
        <v>6621</v>
      </c>
      <c r="ITT1" s="122" t="s">
        <v>6622</v>
      </c>
      <c r="ITU1" s="122" t="s">
        <v>6623</v>
      </c>
      <c r="ITV1" s="122" t="s">
        <v>6624</v>
      </c>
      <c r="ITW1" s="122" t="s">
        <v>6625</v>
      </c>
      <c r="ITX1" s="122" t="s">
        <v>6626</v>
      </c>
      <c r="ITY1" s="122" t="s">
        <v>6627</v>
      </c>
      <c r="ITZ1" s="122" t="s">
        <v>6628</v>
      </c>
      <c r="IUA1" s="122" t="s">
        <v>6629</v>
      </c>
      <c r="IUB1" s="122" t="s">
        <v>6630</v>
      </c>
      <c r="IUC1" s="122" t="s">
        <v>6631</v>
      </c>
      <c r="IUD1" s="122" t="s">
        <v>6632</v>
      </c>
      <c r="IUE1" s="122" t="s">
        <v>6633</v>
      </c>
      <c r="IUF1" s="122" t="s">
        <v>6634</v>
      </c>
      <c r="IUG1" s="122" t="s">
        <v>6635</v>
      </c>
      <c r="IUH1" s="122" t="s">
        <v>6636</v>
      </c>
      <c r="IUI1" s="122" t="s">
        <v>6637</v>
      </c>
      <c r="IUJ1" s="122" t="s">
        <v>6638</v>
      </c>
      <c r="IUK1" s="122" t="s">
        <v>6639</v>
      </c>
      <c r="IUL1" s="122" t="s">
        <v>6640</v>
      </c>
      <c r="IUM1" s="122" t="s">
        <v>6641</v>
      </c>
      <c r="IUN1" s="122" t="s">
        <v>6642</v>
      </c>
      <c r="IUO1" s="122" t="s">
        <v>6643</v>
      </c>
      <c r="IUP1" s="122" t="s">
        <v>6644</v>
      </c>
      <c r="IUQ1" s="122" t="s">
        <v>6645</v>
      </c>
      <c r="IUR1" s="122" t="s">
        <v>6646</v>
      </c>
      <c r="IUS1" s="122" t="s">
        <v>6647</v>
      </c>
      <c r="IUT1" s="122" t="s">
        <v>6648</v>
      </c>
      <c r="IUU1" s="122" t="s">
        <v>6649</v>
      </c>
      <c r="IUV1" s="122" t="s">
        <v>6650</v>
      </c>
      <c r="IUW1" s="122" t="s">
        <v>6651</v>
      </c>
      <c r="IUX1" s="122" t="s">
        <v>6652</v>
      </c>
      <c r="IUY1" s="122" t="s">
        <v>6653</v>
      </c>
      <c r="IUZ1" s="122" t="s">
        <v>6654</v>
      </c>
      <c r="IVA1" s="122" t="s">
        <v>6655</v>
      </c>
      <c r="IVB1" s="122" t="s">
        <v>6656</v>
      </c>
      <c r="IVC1" s="122" t="s">
        <v>6657</v>
      </c>
      <c r="IVD1" s="122" t="s">
        <v>6658</v>
      </c>
      <c r="IVE1" s="122" t="s">
        <v>6659</v>
      </c>
      <c r="IVF1" s="122" t="s">
        <v>6660</v>
      </c>
      <c r="IVG1" s="122" t="s">
        <v>6661</v>
      </c>
      <c r="IVH1" s="122" t="s">
        <v>6662</v>
      </c>
      <c r="IVI1" s="122" t="s">
        <v>6663</v>
      </c>
      <c r="IVJ1" s="122" t="s">
        <v>6664</v>
      </c>
      <c r="IVK1" s="122" t="s">
        <v>6665</v>
      </c>
      <c r="IVL1" s="122" t="s">
        <v>6666</v>
      </c>
      <c r="IVM1" s="122" t="s">
        <v>6667</v>
      </c>
      <c r="IVN1" s="122" t="s">
        <v>6668</v>
      </c>
      <c r="IVO1" s="122" t="s">
        <v>6669</v>
      </c>
      <c r="IVP1" s="122" t="s">
        <v>6670</v>
      </c>
      <c r="IVQ1" s="122" t="s">
        <v>6671</v>
      </c>
      <c r="IVR1" s="122" t="s">
        <v>6672</v>
      </c>
      <c r="IVS1" s="122" t="s">
        <v>6673</v>
      </c>
      <c r="IVT1" s="122" t="s">
        <v>6674</v>
      </c>
      <c r="IVU1" s="122" t="s">
        <v>6675</v>
      </c>
      <c r="IVV1" s="122" t="s">
        <v>6676</v>
      </c>
      <c r="IVW1" s="122" t="s">
        <v>6677</v>
      </c>
      <c r="IVX1" s="122" t="s">
        <v>6678</v>
      </c>
      <c r="IVY1" s="122" t="s">
        <v>6679</v>
      </c>
      <c r="IVZ1" s="122" t="s">
        <v>6680</v>
      </c>
      <c r="IWA1" s="122" t="s">
        <v>6681</v>
      </c>
      <c r="IWB1" s="122" t="s">
        <v>6682</v>
      </c>
      <c r="IWC1" s="122" t="s">
        <v>6683</v>
      </c>
      <c r="IWD1" s="122" t="s">
        <v>6684</v>
      </c>
      <c r="IWE1" s="122" t="s">
        <v>6685</v>
      </c>
      <c r="IWF1" s="122" t="s">
        <v>6686</v>
      </c>
      <c r="IWG1" s="122" t="s">
        <v>6687</v>
      </c>
      <c r="IWH1" s="122" t="s">
        <v>6688</v>
      </c>
      <c r="IWI1" s="122" t="s">
        <v>6689</v>
      </c>
      <c r="IWJ1" s="122" t="s">
        <v>6690</v>
      </c>
      <c r="IWK1" s="122" t="s">
        <v>6691</v>
      </c>
      <c r="IWL1" s="122" t="s">
        <v>6692</v>
      </c>
      <c r="IWM1" s="122" t="s">
        <v>6693</v>
      </c>
      <c r="IWN1" s="122" t="s">
        <v>6694</v>
      </c>
      <c r="IWO1" s="122" t="s">
        <v>6695</v>
      </c>
      <c r="IWP1" s="122" t="s">
        <v>6696</v>
      </c>
      <c r="IWQ1" s="122" t="s">
        <v>6697</v>
      </c>
      <c r="IWR1" s="122" t="s">
        <v>6698</v>
      </c>
      <c r="IWS1" s="122" t="s">
        <v>6699</v>
      </c>
      <c r="IWT1" s="122" t="s">
        <v>6700</v>
      </c>
      <c r="IWU1" s="122" t="s">
        <v>6701</v>
      </c>
      <c r="IWV1" s="122" t="s">
        <v>6702</v>
      </c>
      <c r="IWW1" s="122" t="s">
        <v>6703</v>
      </c>
      <c r="IWX1" s="122" t="s">
        <v>6704</v>
      </c>
      <c r="IWY1" s="122" t="s">
        <v>6705</v>
      </c>
      <c r="IWZ1" s="122" t="s">
        <v>6706</v>
      </c>
      <c r="IXA1" s="122" t="s">
        <v>6707</v>
      </c>
      <c r="IXB1" s="122" t="s">
        <v>6708</v>
      </c>
      <c r="IXC1" s="122" t="s">
        <v>6709</v>
      </c>
      <c r="IXD1" s="122" t="s">
        <v>6710</v>
      </c>
      <c r="IXE1" s="122" t="s">
        <v>6711</v>
      </c>
      <c r="IXF1" s="122" t="s">
        <v>6712</v>
      </c>
      <c r="IXG1" s="122" t="s">
        <v>6713</v>
      </c>
      <c r="IXH1" s="122" t="s">
        <v>6714</v>
      </c>
      <c r="IXI1" s="122" t="s">
        <v>6715</v>
      </c>
      <c r="IXJ1" s="122" t="s">
        <v>6716</v>
      </c>
      <c r="IXK1" s="122" t="s">
        <v>6717</v>
      </c>
      <c r="IXL1" s="122" t="s">
        <v>6718</v>
      </c>
      <c r="IXM1" s="122" t="s">
        <v>6719</v>
      </c>
      <c r="IXN1" s="122" t="s">
        <v>6720</v>
      </c>
      <c r="IXO1" s="122" t="s">
        <v>6721</v>
      </c>
      <c r="IXP1" s="122" t="s">
        <v>6722</v>
      </c>
      <c r="IXQ1" s="122" t="s">
        <v>6723</v>
      </c>
      <c r="IXR1" s="122" t="s">
        <v>6724</v>
      </c>
      <c r="IXS1" s="122" t="s">
        <v>6725</v>
      </c>
      <c r="IXT1" s="122" t="s">
        <v>6726</v>
      </c>
      <c r="IXU1" s="122" t="s">
        <v>6727</v>
      </c>
      <c r="IXV1" s="122" t="s">
        <v>6728</v>
      </c>
      <c r="IXW1" s="122" t="s">
        <v>6729</v>
      </c>
      <c r="IXX1" s="122" t="s">
        <v>6730</v>
      </c>
      <c r="IXY1" s="122" t="s">
        <v>6731</v>
      </c>
      <c r="IXZ1" s="122" t="s">
        <v>6732</v>
      </c>
      <c r="IYA1" s="122" t="s">
        <v>6733</v>
      </c>
      <c r="IYB1" s="122" t="s">
        <v>6734</v>
      </c>
      <c r="IYC1" s="122" t="s">
        <v>6735</v>
      </c>
      <c r="IYD1" s="122" t="s">
        <v>6736</v>
      </c>
      <c r="IYE1" s="122" t="s">
        <v>6737</v>
      </c>
      <c r="IYF1" s="122" t="s">
        <v>6738</v>
      </c>
      <c r="IYG1" s="122" t="s">
        <v>6739</v>
      </c>
      <c r="IYH1" s="122" t="s">
        <v>6740</v>
      </c>
      <c r="IYI1" s="122" t="s">
        <v>6741</v>
      </c>
      <c r="IYJ1" s="122" t="s">
        <v>6742</v>
      </c>
      <c r="IYK1" s="122" t="s">
        <v>6743</v>
      </c>
      <c r="IYL1" s="122" t="s">
        <v>6744</v>
      </c>
      <c r="IYM1" s="122" t="s">
        <v>6745</v>
      </c>
      <c r="IYN1" s="122" t="s">
        <v>6746</v>
      </c>
      <c r="IYO1" s="122" t="s">
        <v>6747</v>
      </c>
      <c r="IYP1" s="122" t="s">
        <v>6748</v>
      </c>
      <c r="IYQ1" s="122" t="s">
        <v>6749</v>
      </c>
      <c r="IYR1" s="122" t="s">
        <v>6750</v>
      </c>
      <c r="IYS1" s="122" t="s">
        <v>6751</v>
      </c>
      <c r="IYT1" s="122" t="s">
        <v>6752</v>
      </c>
      <c r="IYU1" s="122" t="s">
        <v>6753</v>
      </c>
      <c r="IYV1" s="122" t="s">
        <v>6754</v>
      </c>
      <c r="IYW1" s="122" t="s">
        <v>6755</v>
      </c>
      <c r="IYX1" s="122" t="s">
        <v>6756</v>
      </c>
      <c r="IYY1" s="122" t="s">
        <v>6757</v>
      </c>
      <c r="IYZ1" s="122" t="s">
        <v>6758</v>
      </c>
      <c r="IZA1" s="122" t="s">
        <v>6759</v>
      </c>
      <c r="IZB1" s="122" t="s">
        <v>6760</v>
      </c>
      <c r="IZC1" s="122" t="s">
        <v>6761</v>
      </c>
      <c r="IZD1" s="122" t="s">
        <v>6762</v>
      </c>
      <c r="IZE1" s="122" t="s">
        <v>6763</v>
      </c>
      <c r="IZF1" s="122" t="s">
        <v>6764</v>
      </c>
      <c r="IZG1" s="122" t="s">
        <v>6765</v>
      </c>
      <c r="IZH1" s="122" t="s">
        <v>6766</v>
      </c>
      <c r="IZI1" s="122" t="s">
        <v>6767</v>
      </c>
      <c r="IZJ1" s="122" t="s">
        <v>6768</v>
      </c>
      <c r="IZK1" s="122" t="s">
        <v>6769</v>
      </c>
      <c r="IZL1" s="122" t="s">
        <v>6770</v>
      </c>
      <c r="IZM1" s="122" t="s">
        <v>6771</v>
      </c>
      <c r="IZN1" s="122" t="s">
        <v>6772</v>
      </c>
      <c r="IZO1" s="122" t="s">
        <v>6773</v>
      </c>
      <c r="IZP1" s="122" t="s">
        <v>6774</v>
      </c>
      <c r="IZQ1" s="122" t="s">
        <v>6775</v>
      </c>
      <c r="IZR1" s="122" t="s">
        <v>6776</v>
      </c>
      <c r="IZS1" s="122" t="s">
        <v>6777</v>
      </c>
      <c r="IZT1" s="122" t="s">
        <v>6778</v>
      </c>
      <c r="IZU1" s="122" t="s">
        <v>6779</v>
      </c>
      <c r="IZV1" s="122" t="s">
        <v>6780</v>
      </c>
      <c r="IZW1" s="122" t="s">
        <v>6781</v>
      </c>
      <c r="IZX1" s="122" t="s">
        <v>6782</v>
      </c>
      <c r="IZY1" s="122" t="s">
        <v>6783</v>
      </c>
      <c r="IZZ1" s="122" t="s">
        <v>6784</v>
      </c>
      <c r="JAA1" s="122" t="s">
        <v>6785</v>
      </c>
      <c r="JAB1" s="122" t="s">
        <v>6786</v>
      </c>
      <c r="JAC1" s="122" t="s">
        <v>6787</v>
      </c>
      <c r="JAD1" s="122" t="s">
        <v>6788</v>
      </c>
      <c r="JAE1" s="122" t="s">
        <v>6789</v>
      </c>
      <c r="JAF1" s="122" t="s">
        <v>6790</v>
      </c>
      <c r="JAG1" s="122" t="s">
        <v>6791</v>
      </c>
      <c r="JAH1" s="122" t="s">
        <v>6792</v>
      </c>
      <c r="JAI1" s="122" t="s">
        <v>6793</v>
      </c>
      <c r="JAJ1" s="122" t="s">
        <v>6794</v>
      </c>
      <c r="JAK1" s="122" t="s">
        <v>6795</v>
      </c>
      <c r="JAL1" s="122" t="s">
        <v>6796</v>
      </c>
      <c r="JAM1" s="122" t="s">
        <v>6797</v>
      </c>
      <c r="JAN1" s="122" t="s">
        <v>6798</v>
      </c>
      <c r="JAO1" s="122" t="s">
        <v>6799</v>
      </c>
      <c r="JAP1" s="122" t="s">
        <v>6800</v>
      </c>
      <c r="JAQ1" s="122" t="s">
        <v>6801</v>
      </c>
      <c r="JAR1" s="122" t="s">
        <v>6802</v>
      </c>
      <c r="JAS1" s="122" t="s">
        <v>6803</v>
      </c>
      <c r="JAT1" s="122" t="s">
        <v>6804</v>
      </c>
      <c r="JAU1" s="122" t="s">
        <v>6805</v>
      </c>
      <c r="JAV1" s="122" t="s">
        <v>6806</v>
      </c>
      <c r="JAW1" s="122" t="s">
        <v>6807</v>
      </c>
      <c r="JAX1" s="122" t="s">
        <v>6808</v>
      </c>
      <c r="JAY1" s="122" t="s">
        <v>6809</v>
      </c>
      <c r="JAZ1" s="122" t="s">
        <v>6810</v>
      </c>
      <c r="JBA1" s="122" t="s">
        <v>6811</v>
      </c>
      <c r="JBB1" s="122" t="s">
        <v>6812</v>
      </c>
      <c r="JBC1" s="122" t="s">
        <v>6813</v>
      </c>
      <c r="JBD1" s="122" t="s">
        <v>6814</v>
      </c>
      <c r="JBE1" s="122" t="s">
        <v>6815</v>
      </c>
      <c r="JBF1" s="122" t="s">
        <v>6816</v>
      </c>
      <c r="JBG1" s="122" t="s">
        <v>6817</v>
      </c>
      <c r="JBH1" s="122" t="s">
        <v>6818</v>
      </c>
      <c r="JBI1" s="122" t="s">
        <v>6819</v>
      </c>
      <c r="JBJ1" s="122" t="s">
        <v>6820</v>
      </c>
      <c r="JBK1" s="122" t="s">
        <v>6821</v>
      </c>
      <c r="JBL1" s="122" t="s">
        <v>6822</v>
      </c>
      <c r="JBM1" s="122" t="s">
        <v>6823</v>
      </c>
      <c r="JBN1" s="122" t="s">
        <v>6824</v>
      </c>
      <c r="JBO1" s="122" t="s">
        <v>6825</v>
      </c>
      <c r="JBP1" s="122" t="s">
        <v>6826</v>
      </c>
      <c r="JBQ1" s="122" t="s">
        <v>6827</v>
      </c>
      <c r="JBR1" s="122" t="s">
        <v>6828</v>
      </c>
      <c r="JBS1" s="122" t="s">
        <v>6829</v>
      </c>
      <c r="JBT1" s="122" t="s">
        <v>6830</v>
      </c>
      <c r="JBU1" s="122" t="s">
        <v>6831</v>
      </c>
      <c r="JBV1" s="122" t="s">
        <v>6832</v>
      </c>
      <c r="JBW1" s="122" t="s">
        <v>6833</v>
      </c>
      <c r="JBX1" s="122" t="s">
        <v>6834</v>
      </c>
      <c r="JBY1" s="122" t="s">
        <v>6835</v>
      </c>
      <c r="JBZ1" s="122" t="s">
        <v>6836</v>
      </c>
      <c r="JCA1" s="122" t="s">
        <v>6837</v>
      </c>
      <c r="JCB1" s="122" t="s">
        <v>6838</v>
      </c>
      <c r="JCC1" s="122" t="s">
        <v>6839</v>
      </c>
      <c r="JCD1" s="122" t="s">
        <v>6840</v>
      </c>
      <c r="JCE1" s="122" t="s">
        <v>6841</v>
      </c>
      <c r="JCF1" s="122" t="s">
        <v>6842</v>
      </c>
      <c r="JCG1" s="122" t="s">
        <v>6843</v>
      </c>
      <c r="JCH1" s="122" t="s">
        <v>6844</v>
      </c>
      <c r="JCI1" s="122" t="s">
        <v>6845</v>
      </c>
      <c r="JCJ1" s="122" t="s">
        <v>6846</v>
      </c>
      <c r="JCK1" s="122" t="s">
        <v>6847</v>
      </c>
      <c r="JCL1" s="122" t="s">
        <v>6848</v>
      </c>
      <c r="JCM1" s="122" t="s">
        <v>6849</v>
      </c>
      <c r="JCN1" s="122" t="s">
        <v>6850</v>
      </c>
      <c r="JCO1" s="122" t="s">
        <v>6851</v>
      </c>
      <c r="JCP1" s="122" t="s">
        <v>6852</v>
      </c>
      <c r="JCQ1" s="122" t="s">
        <v>6853</v>
      </c>
      <c r="JCR1" s="122" t="s">
        <v>6854</v>
      </c>
      <c r="JCS1" s="122" t="s">
        <v>6855</v>
      </c>
      <c r="JCT1" s="122" t="s">
        <v>6856</v>
      </c>
      <c r="JCU1" s="122" t="s">
        <v>6857</v>
      </c>
      <c r="JCV1" s="122" t="s">
        <v>6858</v>
      </c>
      <c r="JCW1" s="122" t="s">
        <v>6859</v>
      </c>
      <c r="JCX1" s="122" t="s">
        <v>6860</v>
      </c>
      <c r="JCY1" s="122" t="s">
        <v>6861</v>
      </c>
      <c r="JCZ1" s="122" t="s">
        <v>6862</v>
      </c>
      <c r="JDA1" s="122" t="s">
        <v>6863</v>
      </c>
      <c r="JDB1" s="122" t="s">
        <v>6864</v>
      </c>
      <c r="JDC1" s="122" t="s">
        <v>6865</v>
      </c>
      <c r="JDD1" s="122" t="s">
        <v>6866</v>
      </c>
      <c r="JDE1" s="122" t="s">
        <v>6867</v>
      </c>
      <c r="JDF1" s="122" t="s">
        <v>6868</v>
      </c>
      <c r="JDG1" s="122" t="s">
        <v>6869</v>
      </c>
      <c r="JDH1" s="122" t="s">
        <v>6870</v>
      </c>
      <c r="JDI1" s="122" t="s">
        <v>6871</v>
      </c>
      <c r="JDJ1" s="122" t="s">
        <v>6872</v>
      </c>
      <c r="JDK1" s="122" t="s">
        <v>6873</v>
      </c>
      <c r="JDL1" s="122" t="s">
        <v>6874</v>
      </c>
      <c r="JDM1" s="122" t="s">
        <v>6875</v>
      </c>
      <c r="JDN1" s="122" t="s">
        <v>6876</v>
      </c>
      <c r="JDO1" s="122" t="s">
        <v>6877</v>
      </c>
      <c r="JDP1" s="122" t="s">
        <v>6878</v>
      </c>
      <c r="JDQ1" s="122" t="s">
        <v>6879</v>
      </c>
      <c r="JDR1" s="122" t="s">
        <v>6880</v>
      </c>
      <c r="JDS1" s="122" t="s">
        <v>6881</v>
      </c>
      <c r="JDT1" s="122" t="s">
        <v>6882</v>
      </c>
      <c r="JDU1" s="122" t="s">
        <v>6883</v>
      </c>
      <c r="JDV1" s="122" t="s">
        <v>6884</v>
      </c>
      <c r="JDW1" s="122" t="s">
        <v>6885</v>
      </c>
      <c r="JDX1" s="122" t="s">
        <v>6886</v>
      </c>
      <c r="JDY1" s="122" t="s">
        <v>6887</v>
      </c>
      <c r="JDZ1" s="122" t="s">
        <v>6888</v>
      </c>
      <c r="JEA1" s="122" t="s">
        <v>6889</v>
      </c>
      <c r="JEB1" s="122" t="s">
        <v>6890</v>
      </c>
      <c r="JEC1" s="122" t="s">
        <v>6891</v>
      </c>
      <c r="JED1" s="122" t="s">
        <v>6892</v>
      </c>
      <c r="JEE1" s="122" t="s">
        <v>6893</v>
      </c>
      <c r="JEF1" s="122" t="s">
        <v>6894</v>
      </c>
      <c r="JEG1" s="122" t="s">
        <v>6895</v>
      </c>
      <c r="JEH1" s="122" t="s">
        <v>6896</v>
      </c>
      <c r="JEI1" s="122" t="s">
        <v>6897</v>
      </c>
      <c r="JEJ1" s="122" t="s">
        <v>6898</v>
      </c>
      <c r="JEK1" s="122" t="s">
        <v>6899</v>
      </c>
      <c r="JEL1" s="122" t="s">
        <v>6900</v>
      </c>
      <c r="JEM1" s="122" t="s">
        <v>6901</v>
      </c>
      <c r="JEN1" s="122" t="s">
        <v>6902</v>
      </c>
      <c r="JEO1" s="122" t="s">
        <v>6903</v>
      </c>
      <c r="JEP1" s="122" t="s">
        <v>6904</v>
      </c>
      <c r="JEQ1" s="122" t="s">
        <v>6905</v>
      </c>
      <c r="JER1" s="122" t="s">
        <v>6906</v>
      </c>
      <c r="JES1" s="122" t="s">
        <v>6907</v>
      </c>
      <c r="JET1" s="122" t="s">
        <v>6908</v>
      </c>
      <c r="JEU1" s="122" t="s">
        <v>6909</v>
      </c>
      <c r="JEV1" s="122" t="s">
        <v>6910</v>
      </c>
      <c r="JEW1" s="122" t="s">
        <v>6911</v>
      </c>
      <c r="JEX1" s="122" t="s">
        <v>6912</v>
      </c>
      <c r="JEY1" s="122" t="s">
        <v>6913</v>
      </c>
      <c r="JEZ1" s="122" t="s">
        <v>6914</v>
      </c>
      <c r="JFA1" s="122" t="s">
        <v>6915</v>
      </c>
      <c r="JFB1" s="122" t="s">
        <v>6916</v>
      </c>
      <c r="JFC1" s="122" t="s">
        <v>6917</v>
      </c>
      <c r="JFD1" s="122" t="s">
        <v>6918</v>
      </c>
      <c r="JFE1" s="122" t="s">
        <v>6919</v>
      </c>
      <c r="JFF1" s="122" t="s">
        <v>6920</v>
      </c>
      <c r="JFG1" s="122" t="s">
        <v>6921</v>
      </c>
      <c r="JFH1" s="122" t="s">
        <v>6922</v>
      </c>
      <c r="JFI1" s="122" t="s">
        <v>6923</v>
      </c>
      <c r="JFJ1" s="122" t="s">
        <v>6924</v>
      </c>
      <c r="JFK1" s="122" t="s">
        <v>6925</v>
      </c>
      <c r="JFL1" s="122" t="s">
        <v>6926</v>
      </c>
      <c r="JFM1" s="122" t="s">
        <v>6927</v>
      </c>
      <c r="JFN1" s="122" t="s">
        <v>6928</v>
      </c>
      <c r="JFO1" s="122" t="s">
        <v>6929</v>
      </c>
      <c r="JFP1" s="122" t="s">
        <v>6930</v>
      </c>
      <c r="JFQ1" s="122" t="s">
        <v>6931</v>
      </c>
      <c r="JFR1" s="122" t="s">
        <v>6932</v>
      </c>
      <c r="JFS1" s="122" t="s">
        <v>6933</v>
      </c>
      <c r="JFT1" s="122" t="s">
        <v>6934</v>
      </c>
      <c r="JFU1" s="122" t="s">
        <v>6935</v>
      </c>
      <c r="JFV1" s="122" t="s">
        <v>6936</v>
      </c>
      <c r="JFW1" s="122" t="s">
        <v>6937</v>
      </c>
      <c r="JFX1" s="122" t="s">
        <v>6938</v>
      </c>
      <c r="JFY1" s="122" t="s">
        <v>6939</v>
      </c>
      <c r="JFZ1" s="122" t="s">
        <v>6940</v>
      </c>
      <c r="JGA1" s="122" t="s">
        <v>6941</v>
      </c>
      <c r="JGB1" s="122" t="s">
        <v>6942</v>
      </c>
      <c r="JGC1" s="122" t="s">
        <v>6943</v>
      </c>
      <c r="JGD1" s="122" t="s">
        <v>6944</v>
      </c>
      <c r="JGE1" s="122" t="s">
        <v>6945</v>
      </c>
      <c r="JGF1" s="122" t="s">
        <v>6946</v>
      </c>
      <c r="JGG1" s="122" t="s">
        <v>6947</v>
      </c>
      <c r="JGH1" s="122" t="s">
        <v>6948</v>
      </c>
      <c r="JGI1" s="122" t="s">
        <v>6949</v>
      </c>
      <c r="JGJ1" s="122" t="s">
        <v>6950</v>
      </c>
      <c r="JGK1" s="122" t="s">
        <v>6951</v>
      </c>
      <c r="JGL1" s="122" t="s">
        <v>6952</v>
      </c>
      <c r="JGM1" s="122" t="s">
        <v>6953</v>
      </c>
      <c r="JGN1" s="122" t="s">
        <v>6954</v>
      </c>
      <c r="JGO1" s="122" t="s">
        <v>6955</v>
      </c>
      <c r="JGP1" s="122" t="s">
        <v>6956</v>
      </c>
      <c r="JGQ1" s="122" t="s">
        <v>6957</v>
      </c>
      <c r="JGR1" s="122" t="s">
        <v>6958</v>
      </c>
      <c r="JGS1" s="122" t="s">
        <v>6959</v>
      </c>
      <c r="JGT1" s="122" t="s">
        <v>6960</v>
      </c>
      <c r="JGU1" s="122" t="s">
        <v>6961</v>
      </c>
      <c r="JGV1" s="122" t="s">
        <v>6962</v>
      </c>
      <c r="JGW1" s="122" t="s">
        <v>6963</v>
      </c>
      <c r="JGX1" s="122" t="s">
        <v>6964</v>
      </c>
      <c r="JGY1" s="122" t="s">
        <v>6965</v>
      </c>
      <c r="JGZ1" s="122" t="s">
        <v>6966</v>
      </c>
      <c r="JHA1" s="122" t="s">
        <v>6967</v>
      </c>
      <c r="JHB1" s="122" t="s">
        <v>6968</v>
      </c>
      <c r="JHC1" s="122" t="s">
        <v>6969</v>
      </c>
      <c r="JHD1" s="122" t="s">
        <v>6970</v>
      </c>
      <c r="JHE1" s="122" t="s">
        <v>6971</v>
      </c>
      <c r="JHF1" s="122" t="s">
        <v>6972</v>
      </c>
      <c r="JHG1" s="122" t="s">
        <v>6973</v>
      </c>
      <c r="JHH1" s="122" t="s">
        <v>6974</v>
      </c>
      <c r="JHI1" s="122" t="s">
        <v>6975</v>
      </c>
      <c r="JHJ1" s="122" t="s">
        <v>6976</v>
      </c>
      <c r="JHK1" s="122" t="s">
        <v>6977</v>
      </c>
      <c r="JHL1" s="122" t="s">
        <v>6978</v>
      </c>
      <c r="JHM1" s="122" t="s">
        <v>6979</v>
      </c>
      <c r="JHN1" s="122" t="s">
        <v>6980</v>
      </c>
      <c r="JHO1" s="122" t="s">
        <v>6981</v>
      </c>
      <c r="JHP1" s="122" t="s">
        <v>6982</v>
      </c>
      <c r="JHQ1" s="122" t="s">
        <v>6983</v>
      </c>
      <c r="JHR1" s="122" t="s">
        <v>6984</v>
      </c>
      <c r="JHS1" s="122" t="s">
        <v>6985</v>
      </c>
      <c r="JHT1" s="122" t="s">
        <v>6986</v>
      </c>
      <c r="JHU1" s="122" t="s">
        <v>6987</v>
      </c>
      <c r="JHV1" s="122" t="s">
        <v>6988</v>
      </c>
      <c r="JHW1" s="122" t="s">
        <v>6989</v>
      </c>
      <c r="JHX1" s="122" t="s">
        <v>6990</v>
      </c>
      <c r="JHY1" s="122" t="s">
        <v>6991</v>
      </c>
      <c r="JHZ1" s="122" t="s">
        <v>6992</v>
      </c>
      <c r="JIA1" s="122" t="s">
        <v>6993</v>
      </c>
      <c r="JIB1" s="122" t="s">
        <v>6994</v>
      </c>
      <c r="JIC1" s="122" t="s">
        <v>6995</v>
      </c>
      <c r="JID1" s="122" t="s">
        <v>6996</v>
      </c>
      <c r="JIE1" s="122" t="s">
        <v>6997</v>
      </c>
      <c r="JIF1" s="122" t="s">
        <v>6998</v>
      </c>
      <c r="JIG1" s="122" t="s">
        <v>6999</v>
      </c>
      <c r="JIH1" s="122" t="s">
        <v>7000</v>
      </c>
      <c r="JII1" s="122" t="s">
        <v>7001</v>
      </c>
      <c r="JIJ1" s="122" t="s">
        <v>7002</v>
      </c>
      <c r="JIK1" s="122" t="s">
        <v>7003</v>
      </c>
      <c r="JIL1" s="122" t="s">
        <v>7004</v>
      </c>
      <c r="JIM1" s="122" t="s">
        <v>7005</v>
      </c>
      <c r="JIN1" s="122" t="s">
        <v>7006</v>
      </c>
      <c r="JIO1" s="122" t="s">
        <v>7007</v>
      </c>
      <c r="JIP1" s="122" t="s">
        <v>7008</v>
      </c>
      <c r="JIQ1" s="122" t="s">
        <v>7009</v>
      </c>
      <c r="JIR1" s="122" t="s">
        <v>7010</v>
      </c>
      <c r="JIS1" s="122" t="s">
        <v>7011</v>
      </c>
      <c r="JIT1" s="122" t="s">
        <v>7012</v>
      </c>
      <c r="JIU1" s="122" t="s">
        <v>7013</v>
      </c>
      <c r="JIV1" s="122" t="s">
        <v>7014</v>
      </c>
      <c r="JIW1" s="122" t="s">
        <v>7015</v>
      </c>
      <c r="JIX1" s="122" t="s">
        <v>7016</v>
      </c>
      <c r="JIY1" s="122" t="s">
        <v>7017</v>
      </c>
      <c r="JIZ1" s="122" t="s">
        <v>7018</v>
      </c>
      <c r="JJA1" s="122" t="s">
        <v>7019</v>
      </c>
      <c r="JJB1" s="122" t="s">
        <v>7020</v>
      </c>
      <c r="JJC1" s="122" t="s">
        <v>7021</v>
      </c>
      <c r="JJD1" s="122" t="s">
        <v>7022</v>
      </c>
      <c r="JJE1" s="122" t="s">
        <v>7023</v>
      </c>
      <c r="JJF1" s="122" t="s">
        <v>7024</v>
      </c>
      <c r="JJG1" s="122" t="s">
        <v>7025</v>
      </c>
      <c r="JJH1" s="122" t="s">
        <v>7026</v>
      </c>
      <c r="JJI1" s="122" t="s">
        <v>7027</v>
      </c>
      <c r="JJJ1" s="122" t="s">
        <v>7028</v>
      </c>
      <c r="JJK1" s="122" t="s">
        <v>7029</v>
      </c>
      <c r="JJL1" s="122" t="s">
        <v>7030</v>
      </c>
      <c r="JJM1" s="122" t="s">
        <v>7031</v>
      </c>
      <c r="JJN1" s="122" t="s">
        <v>7032</v>
      </c>
      <c r="JJO1" s="122" t="s">
        <v>7033</v>
      </c>
      <c r="JJP1" s="122" t="s">
        <v>7034</v>
      </c>
      <c r="JJQ1" s="122" t="s">
        <v>7035</v>
      </c>
      <c r="JJR1" s="122" t="s">
        <v>7036</v>
      </c>
      <c r="JJS1" s="122" t="s">
        <v>7037</v>
      </c>
      <c r="JJT1" s="122" t="s">
        <v>7038</v>
      </c>
      <c r="JJU1" s="122" t="s">
        <v>7039</v>
      </c>
      <c r="JJV1" s="122" t="s">
        <v>7040</v>
      </c>
      <c r="JJW1" s="122" t="s">
        <v>7041</v>
      </c>
      <c r="JJX1" s="122" t="s">
        <v>7042</v>
      </c>
      <c r="JJY1" s="122" t="s">
        <v>7043</v>
      </c>
      <c r="JJZ1" s="122" t="s">
        <v>7044</v>
      </c>
      <c r="JKA1" s="122" t="s">
        <v>7045</v>
      </c>
      <c r="JKB1" s="122" t="s">
        <v>7046</v>
      </c>
      <c r="JKC1" s="122" t="s">
        <v>7047</v>
      </c>
      <c r="JKD1" s="122" t="s">
        <v>7048</v>
      </c>
      <c r="JKE1" s="122" t="s">
        <v>7049</v>
      </c>
      <c r="JKF1" s="122" t="s">
        <v>7050</v>
      </c>
      <c r="JKG1" s="122" t="s">
        <v>7051</v>
      </c>
      <c r="JKH1" s="122" t="s">
        <v>7052</v>
      </c>
      <c r="JKI1" s="122" t="s">
        <v>7053</v>
      </c>
      <c r="JKJ1" s="122" t="s">
        <v>7054</v>
      </c>
      <c r="JKK1" s="122" t="s">
        <v>7055</v>
      </c>
      <c r="JKL1" s="122" t="s">
        <v>7056</v>
      </c>
      <c r="JKM1" s="122" t="s">
        <v>7057</v>
      </c>
      <c r="JKN1" s="122" t="s">
        <v>7058</v>
      </c>
      <c r="JKO1" s="122" t="s">
        <v>7059</v>
      </c>
      <c r="JKP1" s="122" t="s">
        <v>7060</v>
      </c>
      <c r="JKQ1" s="122" t="s">
        <v>7061</v>
      </c>
      <c r="JKR1" s="122" t="s">
        <v>7062</v>
      </c>
      <c r="JKS1" s="122" t="s">
        <v>7063</v>
      </c>
      <c r="JKT1" s="122" t="s">
        <v>7064</v>
      </c>
      <c r="JKU1" s="122" t="s">
        <v>7065</v>
      </c>
      <c r="JKV1" s="122" t="s">
        <v>7066</v>
      </c>
      <c r="JKW1" s="122" t="s">
        <v>7067</v>
      </c>
      <c r="JKX1" s="122" t="s">
        <v>7068</v>
      </c>
      <c r="JKY1" s="122" t="s">
        <v>7069</v>
      </c>
      <c r="JKZ1" s="122" t="s">
        <v>7070</v>
      </c>
      <c r="JLA1" s="122" t="s">
        <v>7071</v>
      </c>
      <c r="JLB1" s="122" t="s">
        <v>7072</v>
      </c>
      <c r="JLC1" s="122" t="s">
        <v>7073</v>
      </c>
      <c r="JLD1" s="122" t="s">
        <v>7074</v>
      </c>
      <c r="JLE1" s="122" t="s">
        <v>7075</v>
      </c>
      <c r="JLF1" s="122" t="s">
        <v>7076</v>
      </c>
      <c r="JLG1" s="122" t="s">
        <v>7077</v>
      </c>
      <c r="JLH1" s="122" t="s">
        <v>7078</v>
      </c>
      <c r="JLI1" s="122" t="s">
        <v>7079</v>
      </c>
      <c r="JLJ1" s="122" t="s">
        <v>7080</v>
      </c>
      <c r="JLK1" s="122" t="s">
        <v>7081</v>
      </c>
      <c r="JLL1" s="122" t="s">
        <v>7082</v>
      </c>
      <c r="JLM1" s="122" t="s">
        <v>7083</v>
      </c>
      <c r="JLN1" s="122" t="s">
        <v>7084</v>
      </c>
      <c r="JLO1" s="122" t="s">
        <v>7085</v>
      </c>
      <c r="JLP1" s="122" t="s">
        <v>7086</v>
      </c>
      <c r="JLQ1" s="122" t="s">
        <v>7087</v>
      </c>
      <c r="JLR1" s="122" t="s">
        <v>7088</v>
      </c>
      <c r="JLS1" s="122" t="s">
        <v>7089</v>
      </c>
      <c r="JLT1" s="122" t="s">
        <v>7090</v>
      </c>
      <c r="JLU1" s="122" t="s">
        <v>7091</v>
      </c>
      <c r="JLV1" s="122" t="s">
        <v>7092</v>
      </c>
      <c r="JLW1" s="122" t="s">
        <v>7093</v>
      </c>
      <c r="JLX1" s="122" t="s">
        <v>7094</v>
      </c>
      <c r="JLY1" s="122" t="s">
        <v>7095</v>
      </c>
      <c r="JLZ1" s="122" t="s">
        <v>7096</v>
      </c>
      <c r="JMA1" s="122" t="s">
        <v>7097</v>
      </c>
      <c r="JMB1" s="122" t="s">
        <v>7098</v>
      </c>
      <c r="JMC1" s="122" t="s">
        <v>7099</v>
      </c>
      <c r="JMD1" s="122" t="s">
        <v>7100</v>
      </c>
      <c r="JME1" s="122" t="s">
        <v>7101</v>
      </c>
      <c r="JMF1" s="122" t="s">
        <v>7102</v>
      </c>
      <c r="JMG1" s="122" t="s">
        <v>7103</v>
      </c>
      <c r="JMH1" s="122" t="s">
        <v>7104</v>
      </c>
      <c r="JMI1" s="122" t="s">
        <v>7105</v>
      </c>
      <c r="JMJ1" s="122" t="s">
        <v>7106</v>
      </c>
      <c r="JMK1" s="122" t="s">
        <v>7107</v>
      </c>
      <c r="JML1" s="122" t="s">
        <v>7108</v>
      </c>
      <c r="JMM1" s="122" t="s">
        <v>7109</v>
      </c>
      <c r="JMN1" s="122" t="s">
        <v>7110</v>
      </c>
      <c r="JMO1" s="122" t="s">
        <v>7111</v>
      </c>
      <c r="JMP1" s="122" t="s">
        <v>7112</v>
      </c>
      <c r="JMQ1" s="122" t="s">
        <v>7113</v>
      </c>
      <c r="JMR1" s="122" t="s">
        <v>7114</v>
      </c>
      <c r="JMS1" s="122" t="s">
        <v>7115</v>
      </c>
      <c r="JMT1" s="122" t="s">
        <v>7116</v>
      </c>
      <c r="JMU1" s="122" t="s">
        <v>7117</v>
      </c>
      <c r="JMV1" s="122" t="s">
        <v>7118</v>
      </c>
      <c r="JMW1" s="122" t="s">
        <v>7119</v>
      </c>
      <c r="JMX1" s="122" t="s">
        <v>7120</v>
      </c>
      <c r="JMY1" s="122" t="s">
        <v>7121</v>
      </c>
      <c r="JMZ1" s="122" t="s">
        <v>7122</v>
      </c>
      <c r="JNA1" s="122" t="s">
        <v>7123</v>
      </c>
      <c r="JNB1" s="122" t="s">
        <v>7124</v>
      </c>
      <c r="JNC1" s="122" t="s">
        <v>7125</v>
      </c>
      <c r="JND1" s="122" t="s">
        <v>7126</v>
      </c>
      <c r="JNE1" s="122" t="s">
        <v>7127</v>
      </c>
      <c r="JNF1" s="122" t="s">
        <v>7128</v>
      </c>
      <c r="JNG1" s="122" t="s">
        <v>7129</v>
      </c>
      <c r="JNH1" s="122" t="s">
        <v>7130</v>
      </c>
      <c r="JNI1" s="122" t="s">
        <v>7131</v>
      </c>
      <c r="JNJ1" s="122" t="s">
        <v>7132</v>
      </c>
      <c r="JNK1" s="122" t="s">
        <v>7133</v>
      </c>
      <c r="JNL1" s="122" t="s">
        <v>7134</v>
      </c>
      <c r="JNM1" s="122" t="s">
        <v>7135</v>
      </c>
      <c r="JNN1" s="122" t="s">
        <v>7136</v>
      </c>
      <c r="JNO1" s="122" t="s">
        <v>7137</v>
      </c>
      <c r="JNP1" s="122" t="s">
        <v>7138</v>
      </c>
      <c r="JNQ1" s="122" t="s">
        <v>7139</v>
      </c>
      <c r="JNR1" s="122" t="s">
        <v>7140</v>
      </c>
      <c r="JNS1" s="122" t="s">
        <v>7141</v>
      </c>
      <c r="JNT1" s="122" t="s">
        <v>7142</v>
      </c>
      <c r="JNU1" s="122" t="s">
        <v>7143</v>
      </c>
      <c r="JNV1" s="122" t="s">
        <v>7144</v>
      </c>
      <c r="JNW1" s="122" t="s">
        <v>7145</v>
      </c>
      <c r="JNX1" s="122" t="s">
        <v>7146</v>
      </c>
      <c r="JNY1" s="122" t="s">
        <v>7147</v>
      </c>
      <c r="JNZ1" s="122" t="s">
        <v>7148</v>
      </c>
      <c r="JOA1" s="122" t="s">
        <v>7149</v>
      </c>
      <c r="JOB1" s="122" t="s">
        <v>7150</v>
      </c>
      <c r="JOC1" s="122" t="s">
        <v>7151</v>
      </c>
      <c r="JOD1" s="122" t="s">
        <v>7152</v>
      </c>
      <c r="JOE1" s="122" t="s">
        <v>7153</v>
      </c>
      <c r="JOF1" s="122" t="s">
        <v>7154</v>
      </c>
      <c r="JOG1" s="122" t="s">
        <v>7155</v>
      </c>
      <c r="JOH1" s="122" t="s">
        <v>7156</v>
      </c>
      <c r="JOI1" s="122" t="s">
        <v>7157</v>
      </c>
      <c r="JOJ1" s="122" t="s">
        <v>7158</v>
      </c>
      <c r="JOK1" s="122" t="s">
        <v>7159</v>
      </c>
      <c r="JOL1" s="122" t="s">
        <v>7160</v>
      </c>
      <c r="JOM1" s="122" t="s">
        <v>7161</v>
      </c>
      <c r="JON1" s="122" t="s">
        <v>7162</v>
      </c>
      <c r="JOO1" s="122" t="s">
        <v>7163</v>
      </c>
      <c r="JOP1" s="122" t="s">
        <v>7164</v>
      </c>
      <c r="JOQ1" s="122" t="s">
        <v>7165</v>
      </c>
      <c r="JOR1" s="122" t="s">
        <v>7166</v>
      </c>
      <c r="JOS1" s="122" t="s">
        <v>7167</v>
      </c>
      <c r="JOT1" s="122" t="s">
        <v>7168</v>
      </c>
      <c r="JOU1" s="122" t="s">
        <v>7169</v>
      </c>
      <c r="JOV1" s="122" t="s">
        <v>7170</v>
      </c>
      <c r="JOW1" s="122" t="s">
        <v>7171</v>
      </c>
      <c r="JOX1" s="122" t="s">
        <v>7172</v>
      </c>
      <c r="JOY1" s="122" t="s">
        <v>7173</v>
      </c>
      <c r="JOZ1" s="122" t="s">
        <v>7174</v>
      </c>
      <c r="JPA1" s="122" t="s">
        <v>7175</v>
      </c>
      <c r="JPB1" s="122" t="s">
        <v>7176</v>
      </c>
      <c r="JPC1" s="122" t="s">
        <v>7177</v>
      </c>
      <c r="JPD1" s="122" t="s">
        <v>7178</v>
      </c>
      <c r="JPE1" s="122" t="s">
        <v>7179</v>
      </c>
      <c r="JPF1" s="122" t="s">
        <v>7180</v>
      </c>
      <c r="JPG1" s="122" t="s">
        <v>7181</v>
      </c>
      <c r="JPH1" s="122" t="s">
        <v>7182</v>
      </c>
      <c r="JPI1" s="122" t="s">
        <v>7183</v>
      </c>
      <c r="JPJ1" s="122" t="s">
        <v>7184</v>
      </c>
      <c r="JPK1" s="122" t="s">
        <v>7185</v>
      </c>
      <c r="JPL1" s="122" t="s">
        <v>7186</v>
      </c>
      <c r="JPM1" s="122" t="s">
        <v>7187</v>
      </c>
      <c r="JPN1" s="122" t="s">
        <v>7188</v>
      </c>
      <c r="JPO1" s="122" t="s">
        <v>7189</v>
      </c>
      <c r="JPP1" s="122" t="s">
        <v>7190</v>
      </c>
      <c r="JPQ1" s="122" t="s">
        <v>7191</v>
      </c>
      <c r="JPR1" s="122" t="s">
        <v>7192</v>
      </c>
      <c r="JPS1" s="122" t="s">
        <v>7193</v>
      </c>
      <c r="JPT1" s="122" t="s">
        <v>7194</v>
      </c>
      <c r="JPU1" s="122" t="s">
        <v>7195</v>
      </c>
      <c r="JPV1" s="122" t="s">
        <v>7196</v>
      </c>
      <c r="JPW1" s="122" t="s">
        <v>7197</v>
      </c>
      <c r="JPX1" s="122" t="s">
        <v>7198</v>
      </c>
      <c r="JPY1" s="122" t="s">
        <v>7199</v>
      </c>
      <c r="JPZ1" s="122" t="s">
        <v>7200</v>
      </c>
      <c r="JQA1" s="122" t="s">
        <v>7201</v>
      </c>
      <c r="JQB1" s="122" t="s">
        <v>7202</v>
      </c>
      <c r="JQC1" s="122" t="s">
        <v>7203</v>
      </c>
      <c r="JQD1" s="122" t="s">
        <v>7204</v>
      </c>
      <c r="JQE1" s="122" t="s">
        <v>7205</v>
      </c>
      <c r="JQF1" s="122" t="s">
        <v>7206</v>
      </c>
      <c r="JQG1" s="122" t="s">
        <v>7207</v>
      </c>
      <c r="JQH1" s="122" t="s">
        <v>7208</v>
      </c>
      <c r="JQI1" s="122" t="s">
        <v>7209</v>
      </c>
      <c r="JQJ1" s="122" t="s">
        <v>7210</v>
      </c>
      <c r="JQK1" s="122" t="s">
        <v>7211</v>
      </c>
      <c r="JQL1" s="122" t="s">
        <v>7212</v>
      </c>
      <c r="JQM1" s="122" t="s">
        <v>7213</v>
      </c>
      <c r="JQN1" s="122" t="s">
        <v>7214</v>
      </c>
      <c r="JQO1" s="122" t="s">
        <v>7215</v>
      </c>
      <c r="JQP1" s="122" t="s">
        <v>7216</v>
      </c>
      <c r="JQQ1" s="122" t="s">
        <v>7217</v>
      </c>
      <c r="JQR1" s="122" t="s">
        <v>7218</v>
      </c>
      <c r="JQS1" s="122" t="s">
        <v>7219</v>
      </c>
      <c r="JQT1" s="122" t="s">
        <v>7220</v>
      </c>
      <c r="JQU1" s="122" t="s">
        <v>7221</v>
      </c>
      <c r="JQV1" s="122" t="s">
        <v>7222</v>
      </c>
      <c r="JQW1" s="122" t="s">
        <v>7223</v>
      </c>
      <c r="JQX1" s="122" t="s">
        <v>7224</v>
      </c>
      <c r="JQY1" s="122" t="s">
        <v>7225</v>
      </c>
      <c r="JQZ1" s="122" t="s">
        <v>7226</v>
      </c>
      <c r="JRA1" s="122" t="s">
        <v>7227</v>
      </c>
      <c r="JRB1" s="122" t="s">
        <v>7228</v>
      </c>
      <c r="JRC1" s="122" t="s">
        <v>7229</v>
      </c>
      <c r="JRD1" s="122" t="s">
        <v>7230</v>
      </c>
      <c r="JRE1" s="122" t="s">
        <v>7231</v>
      </c>
      <c r="JRF1" s="122" t="s">
        <v>7232</v>
      </c>
      <c r="JRG1" s="122" t="s">
        <v>7233</v>
      </c>
      <c r="JRH1" s="122" t="s">
        <v>7234</v>
      </c>
      <c r="JRI1" s="122" t="s">
        <v>7235</v>
      </c>
      <c r="JRJ1" s="122" t="s">
        <v>7236</v>
      </c>
      <c r="JRK1" s="122" t="s">
        <v>7237</v>
      </c>
      <c r="JRL1" s="122" t="s">
        <v>7238</v>
      </c>
      <c r="JRM1" s="122" t="s">
        <v>7239</v>
      </c>
      <c r="JRN1" s="122" t="s">
        <v>7240</v>
      </c>
      <c r="JRO1" s="122" t="s">
        <v>7241</v>
      </c>
      <c r="JRP1" s="122" t="s">
        <v>7242</v>
      </c>
      <c r="JRQ1" s="122" t="s">
        <v>7243</v>
      </c>
      <c r="JRR1" s="122" t="s">
        <v>7244</v>
      </c>
      <c r="JRS1" s="122" t="s">
        <v>7245</v>
      </c>
      <c r="JRT1" s="122" t="s">
        <v>7246</v>
      </c>
      <c r="JRU1" s="122" t="s">
        <v>7247</v>
      </c>
      <c r="JRV1" s="122" t="s">
        <v>7248</v>
      </c>
      <c r="JRW1" s="122" t="s">
        <v>7249</v>
      </c>
      <c r="JRX1" s="122" t="s">
        <v>7250</v>
      </c>
      <c r="JRY1" s="122" t="s">
        <v>7251</v>
      </c>
      <c r="JRZ1" s="122" t="s">
        <v>7252</v>
      </c>
      <c r="JSA1" s="122" t="s">
        <v>7253</v>
      </c>
      <c r="JSB1" s="122" t="s">
        <v>7254</v>
      </c>
      <c r="JSC1" s="122" t="s">
        <v>7255</v>
      </c>
      <c r="JSD1" s="122" t="s">
        <v>7256</v>
      </c>
      <c r="JSE1" s="122" t="s">
        <v>7257</v>
      </c>
      <c r="JSF1" s="122" t="s">
        <v>7258</v>
      </c>
      <c r="JSG1" s="122" t="s">
        <v>7259</v>
      </c>
      <c r="JSH1" s="122" t="s">
        <v>7260</v>
      </c>
      <c r="JSI1" s="122" t="s">
        <v>7261</v>
      </c>
      <c r="JSJ1" s="122" t="s">
        <v>7262</v>
      </c>
      <c r="JSK1" s="122" t="s">
        <v>7263</v>
      </c>
      <c r="JSL1" s="122" t="s">
        <v>7264</v>
      </c>
      <c r="JSM1" s="122" t="s">
        <v>7265</v>
      </c>
      <c r="JSN1" s="122" t="s">
        <v>7266</v>
      </c>
      <c r="JSO1" s="122" t="s">
        <v>7267</v>
      </c>
      <c r="JSP1" s="122" t="s">
        <v>7268</v>
      </c>
      <c r="JSQ1" s="122" t="s">
        <v>7269</v>
      </c>
      <c r="JSR1" s="122" t="s">
        <v>7270</v>
      </c>
      <c r="JSS1" s="122" t="s">
        <v>7271</v>
      </c>
      <c r="JST1" s="122" t="s">
        <v>7272</v>
      </c>
      <c r="JSU1" s="122" t="s">
        <v>7273</v>
      </c>
      <c r="JSV1" s="122" t="s">
        <v>7274</v>
      </c>
      <c r="JSW1" s="122" t="s">
        <v>7275</v>
      </c>
      <c r="JSX1" s="122" t="s">
        <v>7276</v>
      </c>
      <c r="JSY1" s="122" t="s">
        <v>7277</v>
      </c>
      <c r="JSZ1" s="122" t="s">
        <v>7278</v>
      </c>
      <c r="JTA1" s="122" t="s">
        <v>7279</v>
      </c>
      <c r="JTB1" s="122" t="s">
        <v>7280</v>
      </c>
      <c r="JTC1" s="122" t="s">
        <v>7281</v>
      </c>
      <c r="JTD1" s="122" t="s">
        <v>7282</v>
      </c>
      <c r="JTE1" s="122" t="s">
        <v>7283</v>
      </c>
      <c r="JTF1" s="122" t="s">
        <v>7284</v>
      </c>
      <c r="JTG1" s="122" t="s">
        <v>7285</v>
      </c>
      <c r="JTH1" s="122" t="s">
        <v>7286</v>
      </c>
      <c r="JTI1" s="122" t="s">
        <v>7287</v>
      </c>
      <c r="JTJ1" s="122" t="s">
        <v>7288</v>
      </c>
      <c r="JTK1" s="122" t="s">
        <v>7289</v>
      </c>
      <c r="JTL1" s="122" t="s">
        <v>7290</v>
      </c>
      <c r="JTM1" s="122" t="s">
        <v>7291</v>
      </c>
      <c r="JTN1" s="122" t="s">
        <v>7292</v>
      </c>
      <c r="JTO1" s="122" t="s">
        <v>7293</v>
      </c>
      <c r="JTP1" s="122" t="s">
        <v>7294</v>
      </c>
      <c r="JTQ1" s="122" t="s">
        <v>7295</v>
      </c>
      <c r="JTR1" s="122" t="s">
        <v>7296</v>
      </c>
      <c r="JTS1" s="122" t="s">
        <v>7297</v>
      </c>
      <c r="JTT1" s="122" t="s">
        <v>7298</v>
      </c>
      <c r="JTU1" s="122" t="s">
        <v>7299</v>
      </c>
      <c r="JTV1" s="122" t="s">
        <v>7300</v>
      </c>
      <c r="JTW1" s="122" t="s">
        <v>7301</v>
      </c>
      <c r="JTX1" s="122" t="s">
        <v>7302</v>
      </c>
      <c r="JTY1" s="122" t="s">
        <v>7303</v>
      </c>
      <c r="JTZ1" s="122" t="s">
        <v>7304</v>
      </c>
      <c r="JUA1" s="122" t="s">
        <v>7305</v>
      </c>
      <c r="JUB1" s="122" t="s">
        <v>7306</v>
      </c>
      <c r="JUC1" s="122" t="s">
        <v>7307</v>
      </c>
      <c r="JUD1" s="122" t="s">
        <v>7308</v>
      </c>
      <c r="JUE1" s="122" t="s">
        <v>7309</v>
      </c>
      <c r="JUF1" s="122" t="s">
        <v>7310</v>
      </c>
      <c r="JUG1" s="122" t="s">
        <v>7311</v>
      </c>
      <c r="JUH1" s="122" t="s">
        <v>7312</v>
      </c>
      <c r="JUI1" s="122" t="s">
        <v>7313</v>
      </c>
      <c r="JUJ1" s="122" t="s">
        <v>7314</v>
      </c>
      <c r="JUK1" s="122" t="s">
        <v>7315</v>
      </c>
      <c r="JUL1" s="122" t="s">
        <v>7316</v>
      </c>
      <c r="JUM1" s="122" t="s">
        <v>7317</v>
      </c>
      <c r="JUN1" s="122" t="s">
        <v>7318</v>
      </c>
      <c r="JUO1" s="122" t="s">
        <v>7319</v>
      </c>
      <c r="JUP1" s="122" t="s">
        <v>7320</v>
      </c>
      <c r="JUQ1" s="122" t="s">
        <v>7321</v>
      </c>
      <c r="JUR1" s="122" t="s">
        <v>7322</v>
      </c>
      <c r="JUS1" s="122" t="s">
        <v>7323</v>
      </c>
      <c r="JUT1" s="122" t="s">
        <v>7324</v>
      </c>
      <c r="JUU1" s="122" t="s">
        <v>7325</v>
      </c>
      <c r="JUV1" s="122" t="s">
        <v>7326</v>
      </c>
      <c r="JUW1" s="122" t="s">
        <v>7327</v>
      </c>
      <c r="JUX1" s="122" t="s">
        <v>7328</v>
      </c>
      <c r="JUY1" s="122" t="s">
        <v>7329</v>
      </c>
      <c r="JUZ1" s="122" t="s">
        <v>7330</v>
      </c>
      <c r="JVA1" s="122" t="s">
        <v>7331</v>
      </c>
      <c r="JVB1" s="122" t="s">
        <v>7332</v>
      </c>
      <c r="JVC1" s="122" t="s">
        <v>7333</v>
      </c>
      <c r="JVD1" s="122" t="s">
        <v>7334</v>
      </c>
      <c r="JVE1" s="122" t="s">
        <v>7335</v>
      </c>
      <c r="JVF1" s="122" t="s">
        <v>7336</v>
      </c>
      <c r="JVG1" s="122" t="s">
        <v>7337</v>
      </c>
      <c r="JVH1" s="122" t="s">
        <v>7338</v>
      </c>
      <c r="JVI1" s="122" t="s">
        <v>7339</v>
      </c>
      <c r="JVJ1" s="122" t="s">
        <v>7340</v>
      </c>
      <c r="JVK1" s="122" t="s">
        <v>7341</v>
      </c>
      <c r="JVL1" s="122" t="s">
        <v>7342</v>
      </c>
      <c r="JVM1" s="122" t="s">
        <v>7343</v>
      </c>
      <c r="JVN1" s="122" t="s">
        <v>7344</v>
      </c>
      <c r="JVO1" s="122" t="s">
        <v>7345</v>
      </c>
      <c r="JVP1" s="122" t="s">
        <v>7346</v>
      </c>
      <c r="JVQ1" s="122" t="s">
        <v>7347</v>
      </c>
      <c r="JVR1" s="122" t="s">
        <v>7348</v>
      </c>
      <c r="JVS1" s="122" t="s">
        <v>7349</v>
      </c>
      <c r="JVT1" s="122" t="s">
        <v>7350</v>
      </c>
      <c r="JVU1" s="122" t="s">
        <v>7351</v>
      </c>
      <c r="JVV1" s="122" t="s">
        <v>7352</v>
      </c>
      <c r="JVW1" s="122" t="s">
        <v>7353</v>
      </c>
      <c r="JVX1" s="122" t="s">
        <v>7354</v>
      </c>
      <c r="JVY1" s="122" t="s">
        <v>7355</v>
      </c>
      <c r="JVZ1" s="122" t="s">
        <v>7356</v>
      </c>
      <c r="JWA1" s="122" t="s">
        <v>7357</v>
      </c>
      <c r="JWB1" s="122" t="s">
        <v>7358</v>
      </c>
      <c r="JWC1" s="122" t="s">
        <v>7359</v>
      </c>
      <c r="JWD1" s="122" t="s">
        <v>7360</v>
      </c>
      <c r="JWE1" s="122" t="s">
        <v>7361</v>
      </c>
      <c r="JWF1" s="122" t="s">
        <v>7362</v>
      </c>
      <c r="JWG1" s="122" t="s">
        <v>7363</v>
      </c>
      <c r="JWH1" s="122" t="s">
        <v>7364</v>
      </c>
      <c r="JWI1" s="122" t="s">
        <v>7365</v>
      </c>
      <c r="JWJ1" s="122" t="s">
        <v>7366</v>
      </c>
      <c r="JWK1" s="122" t="s">
        <v>7367</v>
      </c>
      <c r="JWL1" s="122" t="s">
        <v>7368</v>
      </c>
      <c r="JWM1" s="122" t="s">
        <v>7369</v>
      </c>
      <c r="JWN1" s="122" t="s">
        <v>7370</v>
      </c>
      <c r="JWO1" s="122" t="s">
        <v>7371</v>
      </c>
      <c r="JWP1" s="122" t="s">
        <v>7372</v>
      </c>
      <c r="JWQ1" s="122" t="s">
        <v>7373</v>
      </c>
      <c r="JWR1" s="122" t="s">
        <v>7374</v>
      </c>
      <c r="JWS1" s="122" t="s">
        <v>7375</v>
      </c>
      <c r="JWT1" s="122" t="s">
        <v>7376</v>
      </c>
      <c r="JWU1" s="122" t="s">
        <v>7377</v>
      </c>
      <c r="JWV1" s="122" t="s">
        <v>7378</v>
      </c>
      <c r="JWW1" s="122" t="s">
        <v>7379</v>
      </c>
      <c r="JWX1" s="122" t="s">
        <v>7380</v>
      </c>
      <c r="JWY1" s="122" t="s">
        <v>7381</v>
      </c>
      <c r="JWZ1" s="122" t="s">
        <v>7382</v>
      </c>
      <c r="JXA1" s="122" t="s">
        <v>7383</v>
      </c>
      <c r="JXB1" s="122" t="s">
        <v>7384</v>
      </c>
      <c r="JXC1" s="122" t="s">
        <v>7385</v>
      </c>
      <c r="JXD1" s="122" t="s">
        <v>7386</v>
      </c>
      <c r="JXE1" s="122" t="s">
        <v>7387</v>
      </c>
      <c r="JXF1" s="122" t="s">
        <v>7388</v>
      </c>
      <c r="JXG1" s="122" t="s">
        <v>7389</v>
      </c>
      <c r="JXH1" s="122" t="s">
        <v>7390</v>
      </c>
      <c r="JXI1" s="122" t="s">
        <v>7391</v>
      </c>
      <c r="JXJ1" s="122" t="s">
        <v>7392</v>
      </c>
      <c r="JXK1" s="122" t="s">
        <v>7393</v>
      </c>
      <c r="JXL1" s="122" t="s">
        <v>7394</v>
      </c>
      <c r="JXM1" s="122" t="s">
        <v>7395</v>
      </c>
      <c r="JXN1" s="122" t="s">
        <v>7396</v>
      </c>
      <c r="JXO1" s="122" t="s">
        <v>7397</v>
      </c>
      <c r="JXP1" s="122" t="s">
        <v>7398</v>
      </c>
      <c r="JXQ1" s="122" t="s">
        <v>7399</v>
      </c>
      <c r="JXR1" s="122" t="s">
        <v>7400</v>
      </c>
      <c r="JXS1" s="122" t="s">
        <v>7401</v>
      </c>
      <c r="JXT1" s="122" t="s">
        <v>7402</v>
      </c>
      <c r="JXU1" s="122" t="s">
        <v>7403</v>
      </c>
      <c r="JXV1" s="122" t="s">
        <v>7404</v>
      </c>
      <c r="JXW1" s="122" t="s">
        <v>7405</v>
      </c>
      <c r="JXX1" s="122" t="s">
        <v>7406</v>
      </c>
      <c r="JXY1" s="122" t="s">
        <v>7407</v>
      </c>
      <c r="JXZ1" s="122" t="s">
        <v>7408</v>
      </c>
      <c r="JYA1" s="122" t="s">
        <v>7409</v>
      </c>
      <c r="JYB1" s="122" t="s">
        <v>7410</v>
      </c>
      <c r="JYC1" s="122" t="s">
        <v>7411</v>
      </c>
      <c r="JYD1" s="122" t="s">
        <v>7412</v>
      </c>
      <c r="JYE1" s="122" t="s">
        <v>7413</v>
      </c>
      <c r="JYF1" s="122" t="s">
        <v>7414</v>
      </c>
      <c r="JYG1" s="122" t="s">
        <v>7415</v>
      </c>
      <c r="JYH1" s="122" t="s">
        <v>7416</v>
      </c>
      <c r="JYI1" s="122" t="s">
        <v>7417</v>
      </c>
      <c r="JYJ1" s="122" t="s">
        <v>7418</v>
      </c>
      <c r="JYK1" s="122" t="s">
        <v>7419</v>
      </c>
      <c r="JYL1" s="122" t="s">
        <v>7420</v>
      </c>
      <c r="JYM1" s="122" t="s">
        <v>7421</v>
      </c>
      <c r="JYN1" s="122" t="s">
        <v>7422</v>
      </c>
      <c r="JYO1" s="122" t="s">
        <v>7423</v>
      </c>
      <c r="JYP1" s="122" t="s">
        <v>7424</v>
      </c>
      <c r="JYQ1" s="122" t="s">
        <v>7425</v>
      </c>
      <c r="JYR1" s="122" t="s">
        <v>7426</v>
      </c>
      <c r="JYS1" s="122" t="s">
        <v>7427</v>
      </c>
      <c r="JYT1" s="122" t="s">
        <v>7428</v>
      </c>
      <c r="JYU1" s="122" t="s">
        <v>7429</v>
      </c>
      <c r="JYV1" s="122" t="s">
        <v>7430</v>
      </c>
      <c r="JYW1" s="122" t="s">
        <v>7431</v>
      </c>
      <c r="JYX1" s="122" t="s">
        <v>7432</v>
      </c>
      <c r="JYY1" s="122" t="s">
        <v>7433</v>
      </c>
      <c r="JYZ1" s="122" t="s">
        <v>7434</v>
      </c>
      <c r="JZA1" s="122" t="s">
        <v>7435</v>
      </c>
      <c r="JZB1" s="122" t="s">
        <v>7436</v>
      </c>
      <c r="JZC1" s="122" t="s">
        <v>7437</v>
      </c>
      <c r="JZD1" s="122" t="s">
        <v>7438</v>
      </c>
      <c r="JZE1" s="122" t="s">
        <v>7439</v>
      </c>
      <c r="JZF1" s="122" t="s">
        <v>7440</v>
      </c>
      <c r="JZG1" s="122" t="s">
        <v>7441</v>
      </c>
      <c r="JZH1" s="122" t="s">
        <v>7442</v>
      </c>
      <c r="JZI1" s="122" t="s">
        <v>7443</v>
      </c>
      <c r="JZJ1" s="122" t="s">
        <v>7444</v>
      </c>
      <c r="JZK1" s="122" t="s">
        <v>7445</v>
      </c>
      <c r="JZL1" s="122" t="s">
        <v>7446</v>
      </c>
      <c r="JZM1" s="122" t="s">
        <v>7447</v>
      </c>
      <c r="JZN1" s="122" t="s">
        <v>7448</v>
      </c>
      <c r="JZO1" s="122" t="s">
        <v>7449</v>
      </c>
      <c r="JZP1" s="122" t="s">
        <v>7450</v>
      </c>
      <c r="JZQ1" s="122" t="s">
        <v>7451</v>
      </c>
      <c r="JZR1" s="122" t="s">
        <v>7452</v>
      </c>
      <c r="JZS1" s="122" t="s">
        <v>7453</v>
      </c>
      <c r="JZT1" s="122" t="s">
        <v>7454</v>
      </c>
      <c r="JZU1" s="122" t="s">
        <v>7455</v>
      </c>
      <c r="JZV1" s="122" t="s">
        <v>7456</v>
      </c>
      <c r="JZW1" s="122" t="s">
        <v>7457</v>
      </c>
      <c r="JZX1" s="122" t="s">
        <v>7458</v>
      </c>
      <c r="JZY1" s="122" t="s">
        <v>7459</v>
      </c>
      <c r="JZZ1" s="122" t="s">
        <v>7460</v>
      </c>
      <c r="KAA1" s="122" t="s">
        <v>7461</v>
      </c>
      <c r="KAB1" s="122" t="s">
        <v>7462</v>
      </c>
      <c r="KAC1" s="122" t="s">
        <v>7463</v>
      </c>
      <c r="KAD1" s="122" t="s">
        <v>7464</v>
      </c>
      <c r="KAE1" s="122" t="s">
        <v>7465</v>
      </c>
      <c r="KAF1" s="122" t="s">
        <v>7466</v>
      </c>
      <c r="KAG1" s="122" t="s">
        <v>7467</v>
      </c>
      <c r="KAH1" s="122" t="s">
        <v>7468</v>
      </c>
      <c r="KAI1" s="122" t="s">
        <v>7469</v>
      </c>
      <c r="KAJ1" s="122" t="s">
        <v>7470</v>
      </c>
      <c r="KAK1" s="122" t="s">
        <v>7471</v>
      </c>
      <c r="KAL1" s="122" t="s">
        <v>7472</v>
      </c>
      <c r="KAM1" s="122" t="s">
        <v>7473</v>
      </c>
      <c r="KAN1" s="122" t="s">
        <v>7474</v>
      </c>
      <c r="KAO1" s="122" t="s">
        <v>7475</v>
      </c>
      <c r="KAP1" s="122" t="s">
        <v>7476</v>
      </c>
      <c r="KAQ1" s="122" t="s">
        <v>7477</v>
      </c>
      <c r="KAR1" s="122" t="s">
        <v>7478</v>
      </c>
      <c r="KAS1" s="122" t="s">
        <v>7479</v>
      </c>
      <c r="KAT1" s="122" t="s">
        <v>7480</v>
      </c>
      <c r="KAU1" s="122" t="s">
        <v>7481</v>
      </c>
      <c r="KAV1" s="122" t="s">
        <v>7482</v>
      </c>
      <c r="KAW1" s="122" t="s">
        <v>7483</v>
      </c>
      <c r="KAX1" s="122" t="s">
        <v>7484</v>
      </c>
      <c r="KAY1" s="122" t="s">
        <v>7485</v>
      </c>
      <c r="KAZ1" s="122" t="s">
        <v>7486</v>
      </c>
      <c r="KBA1" s="122" t="s">
        <v>7487</v>
      </c>
      <c r="KBB1" s="122" t="s">
        <v>7488</v>
      </c>
      <c r="KBC1" s="122" t="s">
        <v>7489</v>
      </c>
      <c r="KBD1" s="122" t="s">
        <v>7490</v>
      </c>
      <c r="KBE1" s="122" t="s">
        <v>7491</v>
      </c>
      <c r="KBF1" s="122" t="s">
        <v>7492</v>
      </c>
      <c r="KBG1" s="122" t="s">
        <v>7493</v>
      </c>
      <c r="KBH1" s="122" t="s">
        <v>7494</v>
      </c>
      <c r="KBI1" s="122" t="s">
        <v>7495</v>
      </c>
      <c r="KBJ1" s="122" t="s">
        <v>7496</v>
      </c>
      <c r="KBK1" s="122" t="s">
        <v>7497</v>
      </c>
      <c r="KBL1" s="122" t="s">
        <v>7498</v>
      </c>
      <c r="KBM1" s="122" t="s">
        <v>7499</v>
      </c>
      <c r="KBN1" s="122" t="s">
        <v>7500</v>
      </c>
      <c r="KBO1" s="122" t="s">
        <v>7501</v>
      </c>
      <c r="KBP1" s="122" t="s">
        <v>7502</v>
      </c>
      <c r="KBQ1" s="122" t="s">
        <v>7503</v>
      </c>
      <c r="KBR1" s="122" t="s">
        <v>7504</v>
      </c>
      <c r="KBS1" s="122" t="s">
        <v>7505</v>
      </c>
      <c r="KBT1" s="122" t="s">
        <v>7506</v>
      </c>
      <c r="KBU1" s="122" t="s">
        <v>7507</v>
      </c>
      <c r="KBV1" s="122" t="s">
        <v>7508</v>
      </c>
      <c r="KBW1" s="122" t="s">
        <v>7509</v>
      </c>
      <c r="KBX1" s="122" t="s">
        <v>7510</v>
      </c>
      <c r="KBY1" s="122" t="s">
        <v>7511</v>
      </c>
      <c r="KBZ1" s="122" t="s">
        <v>7512</v>
      </c>
      <c r="KCA1" s="122" t="s">
        <v>7513</v>
      </c>
      <c r="KCB1" s="122" t="s">
        <v>7514</v>
      </c>
      <c r="KCC1" s="122" t="s">
        <v>7515</v>
      </c>
      <c r="KCD1" s="122" t="s">
        <v>7516</v>
      </c>
      <c r="KCE1" s="122" t="s">
        <v>7517</v>
      </c>
      <c r="KCF1" s="122" t="s">
        <v>7518</v>
      </c>
      <c r="KCG1" s="122" t="s">
        <v>7519</v>
      </c>
      <c r="KCH1" s="122" t="s">
        <v>7520</v>
      </c>
      <c r="KCI1" s="122" t="s">
        <v>7521</v>
      </c>
      <c r="KCJ1" s="122" t="s">
        <v>7522</v>
      </c>
      <c r="KCK1" s="122" t="s">
        <v>7523</v>
      </c>
      <c r="KCL1" s="122" t="s">
        <v>7524</v>
      </c>
      <c r="KCM1" s="122" t="s">
        <v>7525</v>
      </c>
      <c r="KCN1" s="122" t="s">
        <v>7526</v>
      </c>
      <c r="KCO1" s="122" t="s">
        <v>7527</v>
      </c>
      <c r="KCP1" s="122" t="s">
        <v>7528</v>
      </c>
      <c r="KCQ1" s="122" t="s">
        <v>7529</v>
      </c>
      <c r="KCR1" s="122" t="s">
        <v>7530</v>
      </c>
      <c r="KCS1" s="122" t="s">
        <v>7531</v>
      </c>
      <c r="KCT1" s="122" t="s">
        <v>7532</v>
      </c>
      <c r="KCU1" s="122" t="s">
        <v>7533</v>
      </c>
      <c r="KCV1" s="122" t="s">
        <v>7534</v>
      </c>
      <c r="KCW1" s="122" t="s">
        <v>7535</v>
      </c>
      <c r="KCX1" s="122" t="s">
        <v>7536</v>
      </c>
      <c r="KCY1" s="122" t="s">
        <v>7537</v>
      </c>
      <c r="KCZ1" s="122" t="s">
        <v>7538</v>
      </c>
      <c r="KDA1" s="122" t="s">
        <v>7539</v>
      </c>
      <c r="KDB1" s="122" t="s">
        <v>7540</v>
      </c>
      <c r="KDC1" s="122" t="s">
        <v>7541</v>
      </c>
      <c r="KDD1" s="122" t="s">
        <v>7542</v>
      </c>
      <c r="KDE1" s="122" t="s">
        <v>7543</v>
      </c>
      <c r="KDF1" s="122" t="s">
        <v>7544</v>
      </c>
      <c r="KDG1" s="122" t="s">
        <v>7545</v>
      </c>
      <c r="KDH1" s="122" t="s">
        <v>7546</v>
      </c>
      <c r="KDI1" s="122" t="s">
        <v>7547</v>
      </c>
      <c r="KDJ1" s="122" t="s">
        <v>7548</v>
      </c>
      <c r="KDK1" s="122" t="s">
        <v>7549</v>
      </c>
      <c r="KDL1" s="122" t="s">
        <v>7550</v>
      </c>
      <c r="KDM1" s="122" t="s">
        <v>7551</v>
      </c>
      <c r="KDN1" s="122" t="s">
        <v>7552</v>
      </c>
      <c r="KDO1" s="122" t="s">
        <v>7553</v>
      </c>
      <c r="KDP1" s="122" t="s">
        <v>7554</v>
      </c>
      <c r="KDQ1" s="122" t="s">
        <v>7555</v>
      </c>
      <c r="KDR1" s="122" t="s">
        <v>7556</v>
      </c>
      <c r="KDS1" s="122" t="s">
        <v>7557</v>
      </c>
      <c r="KDT1" s="122" t="s">
        <v>7558</v>
      </c>
      <c r="KDU1" s="122" t="s">
        <v>7559</v>
      </c>
      <c r="KDV1" s="122" t="s">
        <v>7560</v>
      </c>
      <c r="KDW1" s="122" t="s">
        <v>7561</v>
      </c>
      <c r="KDX1" s="122" t="s">
        <v>7562</v>
      </c>
      <c r="KDY1" s="122" t="s">
        <v>7563</v>
      </c>
      <c r="KDZ1" s="122" t="s">
        <v>7564</v>
      </c>
      <c r="KEA1" s="122" t="s">
        <v>7565</v>
      </c>
      <c r="KEB1" s="122" t="s">
        <v>7566</v>
      </c>
      <c r="KEC1" s="122" t="s">
        <v>7567</v>
      </c>
      <c r="KED1" s="122" t="s">
        <v>7568</v>
      </c>
      <c r="KEE1" s="122" t="s">
        <v>7569</v>
      </c>
      <c r="KEF1" s="122" t="s">
        <v>7570</v>
      </c>
      <c r="KEG1" s="122" t="s">
        <v>7571</v>
      </c>
      <c r="KEH1" s="122" t="s">
        <v>7572</v>
      </c>
      <c r="KEI1" s="122" t="s">
        <v>7573</v>
      </c>
      <c r="KEJ1" s="122" t="s">
        <v>7574</v>
      </c>
      <c r="KEK1" s="122" t="s">
        <v>7575</v>
      </c>
      <c r="KEL1" s="122" t="s">
        <v>7576</v>
      </c>
      <c r="KEM1" s="122" t="s">
        <v>7577</v>
      </c>
      <c r="KEN1" s="122" t="s">
        <v>7578</v>
      </c>
      <c r="KEO1" s="122" t="s">
        <v>7579</v>
      </c>
      <c r="KEP1" s="122" t="s">
        <v>7580</v>
      </c>
      <c r="KEQ1" s="122" t="s">
        <v>7581</v>
      </c>
      <c r="KER1" s="122" t="s">
        <v>7582</v>
      </c>
      <c r="KES1" s="122" t="s">
        <v>7583</v>
      </c>
      <c r="KET1" s="122" t="s">
        <v>7584</v>
      </c>
      <c r="KEU1" s="122" t="s">
        <v>7585</v>
      </c>
      <c r="KEV1" s="122" t="s">
        <v>7586</v>
      </c>
      <c r="KEW1" s="122" t="s">
        <v>7587</v>
      </c>
      <c r="KEX1" s="122" t="s">
        <v>7588</v>
      </c>
      <c r="KEY1" s="122" t="s">
        <v>7589</v>
      </c>
      <c r="KEZ1" s="122" t="s">
        <v>7590</v>
      </c>
      <c r="KFA1" s="122" t="s">
        <v>7591</v>
      </c>
      <c r="KFB1" s="122" t="s">
        <v>7592</v>
      </c>
      <c r="KFC1" s="122" t="s">
        <v>7593</v>
      </c>
      <c r="KFD1" s="122" t="s">
        <v>7594</v>
      </c>
      <c r="KFE1" s="122" t="s">
        <v>7595</v>
      </c>
      <c r="KFF1" s="122" t="s">
        <v>7596</v>
      </c>
      <c r="KFG1" s="122" t="s">
        <v>7597</v>
      </c>
      <c r="KFH1" s="122" t="s">
        <v>7598</v>
      </c>
      <c r="KFI1" s="122" t="s">
        <v>7599</v>
      </c>
      <c r="KFJ1" s="122" t="s">
        <v>7600</v>
      </c>
      <c r="KFK1" s="122" t="s">
        <v>7601</v>
      </c>
      <c r="KFL1" s="122" t="s">
        <v>7602</v>
      </c>
      <c r="KFM1" s="122" t="s">
        <v>7603</v>
      </c>
      <c r="KFN1" s="122" t="s">
        <v>7604</v>
      </c>
      <c r="KFO1" s="122" t="s">
        <v>7605</v>
      </c>
      <c r="KFP1" s="122" t="s">
        <v>7606</v>
      </c>
      <c r="KFQ1" s="122" t="s">
        <v>7607</v>
      </c>
      <c r="KFR1" s="122" t="s">
        <v>7608</v>
      </c>
      <c r="KFS1" s="122" t="s">
        <v>7609</v>
      </c>
      <c r="KFT1" s="122" t="s">
        <v>7610</v>
      </c>
      <c r="KFU1" s="122" t="s">
        <v>7611</v>
      </c>
      <c r="KFV1" s="122" t="s">
        <v>7612</v>
      </c>
      <c r="KFW1" s="122" t="s">
        <v>7613</v>
      </c>
      <c r="KFX1" s="122" t="s">
        <v>7614</v>
      </c>
      <c r="KFY1" s="122" t="s">
        <v>7615</v>
      </c>
      <c r="KFZ1" s="122" t="s">
        <v>7616</v>
      </c>
      <c r="KGA1" s="122" t="s">
        <v>7617</v>
      </c>
      <c r="KGB1" s="122" t="s">
        <v>7618</v>
      </c>
      <c r="KGC1" s="122" t="s">
        <v>7619</v>
      </c>
      <c r="KGD1" s="122" t="s">
        <v>7620</v>
      </c>
      <c r="KGE1" s="122" t="s">
        <v>7621</v>
      </c>
      <c r="KGF1" s="122" t="s">
        <v>7622</v>
      </c>
      <c r="KGG1" s="122" t="s">
        <v>7623</v>
      </c>
      <c r="KGH1" s="122" t="s">
        <v>7624</v>
      </c>
      <c r="KGI1" s="122" t="s">
        <v>7625</v>
      </c>
      <c r="KGJ1" s="122" t="s">
        <v>7626</v>
      </c>
      <c r="KGK1" s="122" t="s">
        <v>7627</v>
      </c>
      <c r="KGL1" s="122" t="s">
        <v>7628</v>
      </c>
      <c r="KGM1" s="122" t="s">
        <v>7629</v>
      </c>
      <c r="KGN1" s="122" t="s">
        <v>7630</v>
      </c>
      <c r="KGO1" s="122" t="s">
        <v>7631</v>
      </c>
      <c r="KGP1" s="122" t="s">
        <v>7632</v>
      </c>
      <c r="KGQ1" s="122" t="s">
        <v>7633</v>
      </c>
      <c r="KGR1" s="122" t="s">
        <v>7634</v>
      </c>
      <c r="KGS1" s="122" t="s">
        <v>7635</v>
      </c>
      <c r="KGT1" s="122" t="s">
        <v>7636</v>
      </c>
      <c r="KGU1" s="122" t="s">
        <v>7637</v>
      </c>
      <c r="KGV1" s="122" t="s">
        <v>7638</v>
      </c>
      <c r="KGW1" s="122" t="s">
        <v>7639</v>
      </c>
      <c r="KGX1" s="122" t="s">
        <v>7640</v>
      </c>
      <c r="KGY1" s="122" t="s">
        <v>7641</v>
      </c>
      <c r="KGZ1" s="122" t="s">
        <v>7642</v>
      </c>
      <c r="KHA1" s="122" t="s">
        <v>7643</v>
      </c>
      <c r="KHB1" s="122" t="s">
        <v>7644</v>
      </c>
      <c r="KHC1" s="122" t="s">
        <v>7645</v>
      </c>
      <c r="KHD1" s="122" t="s">
        <v>7646</v>
      </c>
      <c r="KHE1" s="122" t="s">
        <v>7647</v>
      </c>
      <c r="KHF1" s="122" t="s">
        <v>7648</v>
      </c>
      <c r="KHG1" s="122" t="s">
        <v>7649</v>
      </c>
      <c r="KHH1" s="122" t="s">
        <v>7650</v>
      </c>
      <c r="KHI1" s="122" t="s">
        <v>7651</v>
      </c>
      <c r="KHJ1" s="122" t="s">
        <v>7652</v>
      </c>
      <c r="KHK1" s="122" t="s">
        <v>7653</v>
      </c>
      <c r="KHL1" s="122" t="s">
        <v>7654</v>
      </c>
      <c r="KHM1" s="122" t="s">
        <v>7655</v>
      </c>
      <c r="KHN1" s="122" t="s">
        <v>7656</v>
      </c>
      <c r="KHO1" s="122" t="s">
        <v>7657</v>
      </c>
      <c r="KHP1" s="122" t="s">
        <v>7658</v>
      </c>
      <c r="KHQ1" s="122" t="s">
        <v>7659</v>
      </c>
      <c r="KHR1" s="122" t="s">
        <v>7660</v>
      </c>
      <c r="KHS1" s="122" t="s">
        <v>7661</v>
      </c>
      <c r="KHT1" s="122" t="s">
        <v>7662</v>
      </c>
      <c r="KHU1" s="122" t="s">
        <v>7663</v>
      </c>
      <c r="KHV1" s="122" t="s">
        <v>7664</v>
      </c>
      <c r="KHW1" s="122" t="s">
        <v>7665</v>
      </c>
      <c r="KHX1" s="122" t="s">
        <v>7666</v>
      </c>
      <c r="KHY1" s="122" t="s">
        <v>7667</v>
      </c>
      <c r="KHZ1" s="122" t="s">
        <v>7668</v>
      </c>
      <c r="KIA1" s="122" t="s">
        <v>7669</v>
      </c>
      <c r="KIB1" s="122" t="s">
        <v>7670</v>
      </c>
      <c r="KIC1" s="122" t="s">
        <v>7671</v>
      </c>
      <c r="KID1" s="122" t="s">
        <v>7672</v>
      </c>
      <c r="KIE1" s="122" t="s">
        <v>7673</v>
      </c>
      <c r="KIF1" s="122" t="s">
        <v>7674</v>
      </c>
      <c r="KIG1" s="122" t="s">
        <v>7675</v>
      </c>
      <c r="KIH1" s="122" t="s">
        <v>7676</v>
      </c>
      <c r="KII1" s="122" t="s">
        <v>7677</v>
      </c>
      <c r="KIJ1" s="122" t="s">
        <v>7678</v>
      </c>
      <c r="KIK1" s="122" t="s">
        <v>7679</v>
      </c>
      <c r="KIL1" s="122" t="s">
        <v>7680</v>
      </c>
      <c r="KIM1" s="122" t="s">
        <v>7681</v>
      </c>
      <c r="KIN1" s="122" t="s">
        <v>7682</v>
      </c>
      <c r="KIO1" s="122" t="s">
        <v>7683</v>
      </c>
      <c r="KIP1" s="122" t="s">
        <v>7684</v>
      </c>
      <c r="KIQ1" s="122" t="s">
        <v>7685</v>
      </c>
      <c r="KIR1" s="122" t="s">
        <v>7686</v>
      </c>
      <c r="KIS1" s="122" t="s">
        <v>7687</v>
      </c>
      <c r="KIT1" s="122" t="s">
        <v>7688</v>
      </c>
      <c r="KIU1" s="122" t="s">
        <v>7689</v>
      </c>
      <c r="KIV1" s="122" t="s">
        <v>7690</v>
      </c>
      <c r="KIW1" s="122" t="s">
        <v>7691</v>
      </c>
      <c r="KIX1" s="122" t="s">
        <v>7692</v>
      </c>
      <c r="KIY1" s="122" t="s">
        <v>7693</v>
      </c>
      <c r="KIZ1" s="122" t="s">
        <v>7694</v>
      </c>
      <c r="KJA1" s="122" t="s">
        <v>7695</v>
      </c>
      <c r="KJB1" s="122" t="s">
        <v>7696</v>
      </c>
      <c r="KJC1" s="122" t="s">
        <v>7697</v>
      </c>
      <c r="KJD1" s="122" t="s">
        <v>7698</v>
      </c>
      <c r="KJE1" s="122" t="s">
        <v>7699</v>
      </c>
      <c r="KJF1" s="122" t="s">
        <v>7700</v>
      </c>
      <c r="KJG1" s="122" t="s">
        <v>7701</v>
      </c>
      <c r="KJH1" s="122" t="s">
        <v>7702</v>
      </c>
      <c r="KJI1" s="122" t="s">
        <v>7703</v>
      </c>
      <c r="KJJ1" s="122" t="s">
        <v>7704</v>
      </c>
      <c r="KJK1" s="122" t="s">
        <v>7705</v>
      </c>
      <c r="KJL1" s="122" t="s">
        <v>7706</v>
      </c>
      <c r="KJM1" s="122" t="s">
        <v>7707</v>
      </c>
      <c r="KJN1" s="122" t="s">
        <v>7708</v>
      </c>
      <c r="KJO1" s="122" t="s">
        <v>7709</v>
      </c>
      <c r="KJP1" s="122" t="s">
        <v>7710</v>
      </c>
      <c r="KJQ1" s="122" t="s">
        <v>7711</v>
      </c>
      <c r="KJR1" s="122" t="s">
        <v>7712</v>
      </c>
      <c r="KJS1" s="122" t="s">
        <v>7713</v>
      </c>
      <c r="KJT1" s="122" t="s">
        <v>7714</v>
      </c>
      <c r="KJU1" s="122" t="s">
        <v>7715</v>
      </c>
      <c r="KJV1" s="122" t="s">
        <v>7716</v>
      </c>
      <c r="KJW1" s="122" t="s">
        <v>7717</v>
      </c>
      <c r="KJX1" s="122" t="s">
        <v>7718</v>
      </c>
      <c r="KJY1" s="122" t="s">
        <v>7719</v>
      </c>
      <c r="KJZ1" s="122" t="s">
        <v>7720</v>
      </c>
      <c r="KKA1" s="122" t="s">
        <v>7721</v>
      </c>
      <c r="KKB1" s="122" t="s">
        <v>7722</v>
      </c>
      <c r="KKC1" s="122" t="s">
        <v>7723</v>
      </c>
      <c r="KKD1" s="122" t="s">
        <v>7724</v>
      </c>
      <c r="KKE1" s="122" t="s">
        <v>7725</v>
      </c>
      <c r="KKF1" s="122" t="s">
        <v>7726</v>
      </c>
      <c r="KKG1" s="122" t="s">
        <v>7727</v>
      </c>
      <c r="KKH1" s="122" t="s">
        <v>7728</v>
      </c>
      <c r="KKI1" s="122" t="s">
        <v>7729</v>
      </c>
      <c r="KKJ1" s="122" t="s">
        <v>7730</v>
      </c>
      <c r="KKK1" s="122" t="s">
        <v>7731</v>
      </c>
      <c r="KKL1" s="122" t="s">
        <v>7732</v>
      </c>
      <c r="KKM1" s="122" t="s">
        <v>7733</v>
      </c>
      <c r="KKN1" s="122" t="s">
        <v>7734</v>
      </c>
      <c r="KKO1" s="122" t="s">
        <v>7735</v>
      </c>
      <c r="KKP1" s="122" t="s">
        <v>7736</v>
      </c>
      <c r="KKQ1" s="122" t="s">
        <v>7737</v>
      </c>
      <c r="KKR1" s="122" t="s">
        <v>7738</v>
      </c>
      <c r="KKS1" s="122" t="s">
        <v>7739</v>
      </c>
      <c r="KKT1" s="122" t="s">
        <v>7740</v>
      </c>
      <c r="KKU1" s="122" t="s">
        <v>7741</v>
      </c>
      <c r="KKV1" s="122" t="s">
        <v>7742</v>
      </c>
      <c r="KKW1" s="122" t="s">
        <v>7743</v>
      </c>
      <c r="KKX1" s="122" t="s">
        <v>7744</v>
      </c>
      <c r="KKY1" s="122" t="s">
        <v>7745</v>
      </c>
      <c r="KKZ1" s="122" t="s">
        <v>7746</v>
      </c>
      <c r="KLA1" s="122" t="s">
        <v>7747</v>
      </c>
      <c r="KLB1" s="122" t="s">
        <v>7748</v>
      </c>
      <c r="KLC1" s="122" t="s">
        <v>7749</v>
      </c>
      <c r="KLD1" s="122" t="s">
        <v>7750</v>
      </c>
      <c r="KLE1" s="122" t="s">
        <v>7751</v>
      </c>
      <c r="KLF1" s="122" t="s">
        <v>7752</v>
      </c>
      <c r="KLG1" s="122" t="s">
        <v>7753</v>
      </c>
      <c r="KLH1" s="122" t="s">
        <v>7754</v>
      </c>
      <c r="KLI1" s="122" t="s">
        <v>7755</v>
      </c>
      <c r="KLJ1" s="122" t="s">
        <v>7756</v>
      </c>
      <c r="KLK1" s="122" t="s">
        <v>7757</v>
      </c>
      <c r="KLL1" s="122" t="s">
        <v>7758</v>
      </c>
      <c r="KLM1" s="122" t="s">
        <v>7759</v>
      </c>
      <c r="KLN1" s="122" t="s">
        <v>7760</v>
      </c>
      <c r="KLO1" s="122" t="s">
        <v>7761</v>
      </c>
      <c r="KLP1" s="122" t="s">
        <v>7762</v>
      </c>
      <c r="KLQ1" s="122" t="s">
        <v>7763</v>
      </c>
      <c r="KLR1" s="122" t="s">
        <v>7764</v>
      </c>
      <c r="KLS1" s="122" t="s">
        <v>7765</v>
      </c>
      <c r="KLT1" s="122" t="s">
        <v>7766</v>
      </c>
      <c r="KLU1" s="122" t="s">
        <v>7767</v>
      </c>
      <c r="KLV1" s="122" t="s">
        <v>7768</v>
      </c>
      <c r="KLW1" s="122" t="s">
        <v>7769</v>
      </c>
      <c r="KLX1" s="122" t="s">
        <v>7770</v>
      </c>
      <c r="KLY1" s="122" t="s">
        <v>7771</v>
      </c>
      <c r="KLZ1" s="122" t="s">
        <v>7772</v>
      </c>
      <c r="KMA1" s="122" t="s">
        <v>7773</v>
      </c>
      <c r="KMB1" s="122" t="s">
        <v>7774</v>
      </c>
      <c r="KMC1" s="122" t="s">
        <v>7775</v>
      </c>
      <c r="KMD1" s="122" t="s">
        <v>7776</v>
      </c>
      <c r="KME1" s="122" t="s">
        <v>7777</v>
      </c>
      <c r="KMF1" s="122" t="s">
        <v>7778</v>
      </c>
      <c r="KMG1" s="122" t="s">
        <v>7779</v>
      </c>
      <c r="KMH1" s="122" t="s">
        <v>7780</v>
      </c>
      <c r="KMI1" s="122" t="s">
        <v>7781</v>
      </c>
      <c r="KMJ1" s="122" t="s">
        <v>7782</v>
      </c>
      <c r="KMK1" s="122" t="s">
        <v>7783</v>
      </c>
      <c r="KML1" s="122" t="s">
        <v>7784</v>
      </c>
      <c r="KMM1" s="122" t="s">
        <v>7785</v>
      </c>
      <c r="KMN1" s="122" t="s">
        <v>7786</v>
      </c>
      <c r="KMO1" s="122" t="s">
        <v>7787</v>
      </c>
      <c r="KMP1" s="122" t="s">
        <v>7788</v>
      </c>
      <c r="KMQ1" s="122" t="s">
        <v>7789</v>
      </c>
      <c r="KMR1" s="122" t="s">
        <v>7790</v>
      </c>
      <c r="KMS1" s="122" t="s">
        <v>7791</v>
      </c>
      <c r="KMT1" s="122" t="s">
        <v>7792</v>
      </c>
      <c r="KMU1" s="122" t="s">
        <v>7793</v>
      </c>
      <c r="KMV1" s="122" t="s">
        <v>7794</v>
      </c>
      <c r="KMW1" s="122" t="s">
        <v>7795</v>
      </c>
      <c r="KMX1" s="122" t="s">
        <v>7796</v>
      </c>
      <c r="KMY1" s="122" t="s">
        <v>7797</v>
      </c>
      <c r="KMZ1" s="122" t="s">
        <v>7798</v>
      </c>
      <c r="KNA1" s="122" t="s">
        <v>7799</v>
      </c>
      <c r="KNB1" s="122" t="s">
        <v>7800</v>
      </c>
      <c r="KNC1" s="122" t="s">
        <v>7801</v>
      </c>
      <c r="KND1" s="122" t="s">
        <v>7802</v>
      </c>
      <c r="KNE1" s="122" t="s">
        <v>7803</v>
      </c>
      <c r="KNF1" s="122" t="s">
        <v>7804</v>
      </c>
      <c r="KNG1" s="122" t="s">
        <v>7805</v>
      </c>
      <c r="KNH1" s="122" t="s">
        <v>7806</v>
      </c>
      <c r="KNI1" s="122" t="s">
        <v>7807</v>
      </c>
      <c r="KNJ1" s="122" t="s">
        <v>7808</v>
      </c>
      <c r="KNK1" s="122" t="s">
        <v>7809</v>
      </c>
      <c r="KNL1" s="122" t="s">
        <v>7810</v>
      </c>
      <c r="KNM1" s="122" t="s">
        <v>7811</v>
      </c>
      <c r="KNN1" s="122" t="s">
        <v>7812</v>
      </c>
      <c r="KNO1" s="122" t="s">
        <v>7813</v>
      </c>
      <c r="KNP1" s="122" t="s">
        <v>7814</v>
      </c>
      <c r="KNQ1" s="122" t="s">
        <v>7815</v>
      </c>
      <c r="KNR1" s="122" t="s">
        <v>7816</v>
      </c>
      <c r="KNS1" s="122" t="s">
        <v>7817</v>
      </c>
      <c r="KNT1" s="122" t="s">
        <v>7818</v>
      </c>
      <c r="KNU1" s="122" t="s">
        <v>7819</v>
      </c>
      <c r="KNV1" s="122" t="s">
        <v>7820</v>
      </c>
      <c r="KNW1" s="122" t="s">
        <v>7821</v>
      </c>
      <c r="KNX1" s="122" t="s">
        <v>7822</v>
      </c>
      <c r="KNY1" s="122" t="s">
        <v>7823</v>
      </c>
      <c r="KNZ1" s="122" t="s">
        <v>7824</v>
      </c>
      <c r="KOA1" s="122" t="s">
        <v>7825</v>
      </c>
      <c r="KOB1" s="122" t="s">
        <v>7826</v>
      </c>
      <c r="KOC1" s="122" t="s">
        <v>7827</v>
      </c>
      <c r="KOD1" s="122" t="s">
        <v>7828</v>
      </c>
      <c r="KOE1" s="122" t="s">
        <v>7829</v>
      </c>
      <c r="KOF1" s="122" t="s">
        <v>7830</v>
      </c>
      <c r="KOG1" s="122" t="s">
        <v>7831</v>
      </c>
      <c r="KOH1" s="122" t="s">
        <v>7832</v>
      </c>
      <c r="KOI1" s="122" t="s">
        <v>7833</v>
      </c>
      <c r="KOJ1" s="122" t="s">
        <v>7834</v>
      </c>
      <c r="KOK1" s="122" t="s">
        <v>7835</v>
      </c>
      <c r="KOL1" s="122" t="s">
        <v>7836</v>
      </c>
      <c r="KOM1" s="122" t="s">
        <v>7837</v>
      </c>
      <c r="KON1" s="122" t="s">
        <v>7838</v>
      </c>
      <c r="KOO1" s="122" t="s">
        <v>7839</v>
      </c>
      <c r="KOP1" s="122" t="s">
        <v>7840</v>
      </c>
      <c r="KOQ1" s="122" t="s">
        <v>7841</v>
      </c>
      <c r="KOR1" s="122" t="s">
        <v>7842</v>
      </c>
      <c r="KOS1" s="122" t="s">
        <v>7843</v>
      </c>
      <c r="KOT1" s="122" t="s">
        <v>7844</v>
      </c>
      <c r="KOU1" s="122" t="s">
        <v>7845</v>
      </c>
      <c r="KOV1" s="122" t="s">
        <v>7846</v>
      </c>
      <c r="KOW1" s="122" t="s">
        <v>7847</v>
      </c>
      <c r="KOX1" s="122" t="s">
        <v>7848</v>
      </c>
      <c r="KOY1" s="122" t="s">
        <v>7849</v>
      </c>
      <c r="KOZ1" s="122" t="s">
        <v>7850</v>
      </c>
      <c r="KPA1" s="122" t="s">
        <v>7851</v>
      </c>
      <c r="KPB1" s="122" t="s">
        <v>7852</v>
      </c>
      <c r="KPC1" s="122" t="s">
        <v>7853</v>
      </c>
      <c r="KPD1" s="122" t="s">
        <v>7854</v>
      </c>
      <c r="KPE1" s="122" t="s">
        <v>7855</v>
      </c>
      <c r="KPF1" s="122" t="s">
        <v>7856</v>
      </c>
      <c r="KPG1" s="122" t="s">
        <v>7857</v>
      </c>
      <c r="KPH1" s="122" t="s">
        <v>7858</v>
      </c>
      <c r="KPI1" s="122" t="s">
        <v>7859</v>
      </c>
      <c r="KPJ1" s="122" t="s">
        <v>7860</v>
      </c>
      <c r="KPK1" s="122" t="s">
        <v>7861</v>
      </c>
      <c r="KPL1" s="122" t="s">
        <v>7862</v>
      </c>
      <c r="KPM1" s="122" t="s">
        <v>7863</v>
      </c>
      <c r="KPN1" s="122" t="s">
        <v>7864</v>
      </c>
      <c r="KPO1" s="122" t="s">
        <v>7865</v>
      </c>
      <c r="KPP1" s="122" t="s">
        <v>7866</v>
      </c>
      <c r="KPQ1" s="122" t="s">
        <v>7867</v>
      </c>
      <c r="KPR1" s="122" t="s">
        <v>7868</v>
      </c>
      <c r="KPS1" s="122" t="s">
        <v>7869</v>
      </c>
      <c r="KPT1" s="122" t="s">
        <v>7870</v>
      </c>
      <c r="KPU1" s="122" t="s">
        <v>7871</v>
      </c>
      <c r="KPV1" s="122" t="s">
        <v>7872</v>
      </c>
      <c r="KPW1" s="122" t="s">
        <v>7873</v>
      </c>
      <c r="KPX1" s="122" t="s">
        <v>7874</v>
      </c>
      <c r="KPY1" s="122" t="s">
        <v>7875</v>
      </c>
      <c r="KPZ1" s="122" t="s">
        <v>7876</v>
      </c>
      <c r="KQA1" s="122" t="s">
        <v>7877</v>
      </c>
      <c r="KQB1" s="122" t="s">
        <v>7878</v>
      </c>
      <c r="KQC1" s="122" t="s">
        <v>7879</v>
      </c>
      <c r="KQD1" s="122" t="s">
        <v>7880</v>
      </c>
      <c r="KQE1" s="122" t="s">
        <v>7881</v>
      </c>
      <c r="KQF1" s="122" t="s">
        <v>7882</v>
      </c>
      <c r="KQG1" s="122" t="s">
        <v>7883</v>
      </c>
      <c r="KQH1" s="122" t="s">
        <v>7884</v>
      </c>
      <c r="KQI1" s="122" t="s">
        <v>7885</v>
      </c>
      <c r="KQJ1" s="122" t="s">
        <v>7886</v>
      </c>
      <c r="KQK1" s="122" t="s">
        <v>7887</v>
      </c>
      <c r="KQL1" s="122" t="s">
        <v>7888</v>
      </c>
      <c r="KQM1" s="122" t="s">
        <v>7889</v>
      </c>
      <c r="KQN1" s="122" t="s">
        <v>7890</v>
      </c>
      <c r="KQO1" s="122" t="s">
        <v>7891</v>
      </c>
      <c r="KQP1" s="122" t="s">
        <v>7892</v>
      </c>
      <c r="KQQ1" s="122" t="s">
        <v>7893</v>
      </c>
      <c r="KQR1" s="122" t="s">
        <v>7894</v>
      </c>
      <c r="KQS1" s="122" t="s">
        <v>7895</v>
      </c>
      <c r="KQT1" s="122" t="s">
        <v>7896</v>
      </c>
      <c r="KQU1" s="122" t="s">
        <v>7897</v>
      </c>
      <c r="KQV1" s="122" t="s">
        <v>7898</v>
      </c>
      <c r="KQW1" s="122" t="s">
        <v>7899</v>
      </c>
      <c r="KQX1" s="122" t="s">
        <v>7900</v>
      </c>
      <c r="KQY1" s="122" t="s">
        <v>7901</v>
      </c>
      <c r="KQZ1" s="122" t="s">
        <v>7902</v>
      </c>
      <c r="KRA1" s="122" t="s">
        <v>7903</v>
      </c>
      <c r="KRB1" s="122" t="s">
        <v>7904</v>
      </c>
      <c r="KRC1" s="122" t="s">
        <v>7905</v>
      </c>
      <c r="KRD1" s="122" t="s">
        <v>7906</v>
      </c>
      <c r="KRE1" s="122" t="s">
        <v>7907</v>
      </c>
      <c r="KRF1" s="122" t="s">
        <v>7908</v>
      </c>
      <c r="KRG1" s="122" t="s">
        <v>7909</v>
      </c>
      <c r="KRH1" s="122" t="s">
        <v>7910</v>
      </c>
      <c r="KRI1" s="122" t="s">
        <v>7911</v>
      </c>
      <c r="KRJ1" s="122" t="s">
        <v>7912</v>
      </c>
      <c r="KRK1" s="122" t="s">
        <v>7913</v>
      </c>
      <c r="KRL1" s="122" t="s">
        <v>7914</v>
      </c>
      <c r="KRM1" s="122" t="s">
        <v>7915</v>
      </c>
      <c r="KRN1" s="122" t="s">
        <v>7916</v>
      </c>
      <c r="KRO1" s="122" t="s">
        <v>7917</v>
      </c>
      <c r="KRP1" s="122" t="s">
        <v>7918</v>
      </c>
      <c r="KRQ1" s="122" t="s">
        <v>7919</v>
      </c>
      <c r="KRR1" s="122" t="s">
        <v>7920</v>
      </c>
      <c r="KRS1" s="122" t="s">
        <v>7921</v>
      </c>
      <c r="KRT1" s="122" t="s">
        <v>7922</v>
      </c>
      <c r="KRU1" s="122" t="s">
        <v>7923</v>
      </c>
      <c r="KRV1" s="122" t="s">
        <v>7924</v>
      </c>
      <c r="KRW1" s="122" t="s">
        <v>7925</v>
      </c>
      <c r="KRX1" s="122" t="s">
        <v>7926</v>
      </c>
      <c r="KRY1" s="122" t="s">
        <v>7927</v>
      </c>
      <c r="KRZ1" s="122" t="s">
        <v>7928</v>
      </c>
      <c r="KSA1" s="122" t="s">
        <v>7929</v>
      </c>
      <c r="KSB1" s="122" t="s">
        <v>7930</v>
      </c>
      <c r="KSC1" s="122" t="s">
        <v>7931</v>
      </c>
      <c r="KSD1" s="122" t="s">
        <v>7932</v>
      </c>
      <c r="KSE1" s="122" t="s">
        <v>7933</v>
      </c>
      <c r="KSF1" s="122" t="s">
        <v>7934</v>
      </c>
      <c r="KSG1" s="122" t="s">
        <v>7935</v>
      </c>
      <c r="KSH1" s="122" t="s">
        <v>7936</v>
      </c>
      <c r="KSI1" s="122" t="s">
        <v>7937</v>
      </c>
      <c r="KSJ1" s="122" t="s">
        <v>7938</v>
      </c>
      <c r="KSK1" s="122" t="s">
        <v>7939</v>
      </c>
      <c r="KSL1" s="122" t="s">
        <v>7940</v>
      </c>
      <c r="KSM1" s="122" t="s">
        <v>7941</v>
      </c>
      <c r="KSN1" s="122" t="s">
        <v>7942</v>
      </c>
      <c r="KSO1" s="122" t="s">
        <v>7943</v>
      </c>
      <c r="KSP1" s="122" t="s">
        <v>7944</v>
      </c>
      <c r="KSQ1" s="122" t="s">
        <v>7945</v>
      </c>
      <c r="KSR1" s="122" t="s">
        <v>7946</v>
      </c>
      <c r="KSS1" s="122" t="s">
        <v>7947</v>
      </c>
      <c r="KST1" s="122" t="s">
        <v>7948</v>
      </c>
      <c r="KSU1" s="122" t="s">
        <v>7949</v>
      </c>
      <c r="KSV1" s="122" t="s">
        <v>7950</v>
      </c>
      <c r="KSW1" s="122" t="s">
        <v>7951</v>
      </c>
      <c r="KSX1" s="122" t="s">
        <v>7952</v>
      </c>
      <c r="KSY1" s="122" t="s">
        <v>7953</v>
      </c>
      <c r="KSZ1" s="122" t="s">
        <v>7954</v>
      </c>
      <c r="KTA1" s="122" t="s">
        <v>7955</v>
      </c>
      <c r="KTB1" s="122" t="s">
        <v>7956</v>
      </c>
      <c r="KTC1" s="122" t="s">
        <v>7957</v>
      </c>
      <c r="KTD1" s="122" t="s">
        <v>7958</v>
      </c>
      <c r="KTE1" s="122" t="s">
        <v>7959</v>
      </c>
      <c r="KTF1" s="122" t="s">
        <v>7960</v>
      </c>
      <c r="KTG1" s="122" t="s">
        <v>7961</v>
      </c>
      <c r="KTH1" s="122" t="s">
        <v>7962</v>
      </c>
      <c r="KTI1" s="122" t="s">
        <v>7963</v>
      </c>
      <c r="KTJ1" s="122" t="s">
        <v>7964</v>
      </c>
      <c r="KTK1" s="122" t="s">
        <v>7965</v>
      </c>
      <c r="KTL1" s="122" t="s">
        <v>7966</v>
      </c>
      <c r="KTM1" s="122" t="s">
        <v>7967</v>
      </c>
      <c r="KTN1" s="122" t="s">
        <v>7968</v>
      </c>
      <c r="KTO1" s="122" t="s">
        <v>7969</v>
      </c>
      <c r="KTP1" s="122" t="s">
        <v>7970</v>
      </c>
      <c r="KTQ1" s="122" t="s">
        <v>7971</v>
      </c>
      <c r="KTR1" s="122" t="s">
        <v>7972</v>
      </c>
      <c r="KTS1" s="122" t="s">
        <v>7973</v>
      </c>
      <c r="KTT1" s="122" t="s">
        <v>7974</v>
      </c>
      <c r="KTU1" s="122" t="s">
        <v>7975</v>
      </c>
      <c r="KTV1" s="122" t="s">
        <v>7976</v>
      </c>
      <c r="KTW1" s="122" t="s">
        <v>7977</v>
      </c>
      <c r="KTX1" s="122" t="s">
        <v>7978</v>
      </c>
      <c r="KTY1" s="122" t="s">
        <v>7979</v>
      </c>
      <c r="KTZ1" s="122" t="s">
        <v>7980</v>
      </c>
      <c r="KUA1" s="122" t="s">
        <v>7981</v>
      </c>
      <c r="KUB1" s="122" t="s">
        <v>7982</v>
      </c>
      <c r="KUC1" s="122" t="s">
        <v>7983</v>
      </c>
      <c r="KUD1" s="122" t="s">
        <v>7984</v>
      </c>
      <c r="KUE1" s="122" t="s">
        <v>7985</v>
      </c>
      <c r="KUF1" s="122" t="s">
        <v>7986</v>
      </c>
      <c r="KUG1" s="122" t="s">
        <v>7987</v>
      </c>
      <c r="KUH1" s="122" t="s">
        <v>7988</v>
      </c>
      <c r="KUI1" s="122" t="s">
        <v>7989</v>
      </c>
      <c r="KUJ1" s="122" t="s">
        <v>7990</v>
      </c>
      <c r="KUK1" s="122" t="s">
        <v>7991</v>
      </c>
      <c r="KUL1" s="122" t="s">
        <v>7992</v>
      </c>
      <c r="KUM1" s="122" t="s">
        <v>7993</v>
      </c>
      <c r="KUN1" s="122" t="s">
        <v>7994</v>
      </c>
      <c r="KUO1" s="122" t="s">
        <v>7995</v>
      </c>
      <c r="KUP1" s="122" t="s">
        <v>7996</v>
      </c>
      <c r="KUQ1" s="122" t="s">
        <v>7997</v>
      </c>
      <c r="KUR1" s="122" t="s">
        <v>7998</v>
      </c>
      <c r="KUS1" s="122" t="s">
        <v>7999</v>
      </c>
      <c r="KUT1" s="122" t="s">
        <v>8000</v>
      </c>
      <c r="KUU1" s="122" t="s">
        <v>8001</v>
      </c>
      <c r="KUV1" s="122" t="s">
        <v>8002</v>
      </c>
      <c r="KUW1" s="122" t="s">
        <v>8003</v>
      </c>
      <c r="KUX1" s="122" t="s">
        <v>8004</v>
      </c>
      <c r="KUY1" s="122" t="s">
        <v>8005</v>
      </c>
      <c r="KUZ1" s="122" t="s">
        <v>8006</v>
      </c>
      <c r="KVA1" s="122" t="s">
        <v>8007</v>
      </c>
      <c r="KVB1" s="122" t="s">
        <v>8008</v>
      </c>
      <c r="KVC1" s="122" t="s">
        <v>8009</v>
      </c>
      <c r="KVD1" s="122" t="s">
        <v>8010</v>
      </c>
      <c r="KVE1" s="122" t="s">
        <v>8011</v>
      </c>
      <c r="KVF1" s="122" t="s">
        <v>8012</v>
      </c>
      <c r="KVG1" s="122" t="s">
        <v>8013</v>
      </c>
      <c r="KVH1" s="122" t="s">
        <v>8014</v>
      </c>
      <c r="KVI1" s="122" t="s">
        <v>8015</v>
      </c>
      <c r="KVJ1" s="122" t="s">
        <v>8016</v>
      </c>
      <c r="KVK1" s="122" t="s">
        <v>8017</v>
      </c>
      <c r="KVL1" s="122" t="s">
        <v>8018</v>
      </c>
      <c r="KVM1" s="122" t="s">
        <v>8019</v>
      </c>
      <c r="KVN1" s="122" t="s">
        <v>8020</v>
      </c>
      <c r="KVO1" s="122" t="s">
        <v>8021</v>
      </c>
      <c r="KVP1" s="122" t="s">
        <v>8022</v>
      </c>
      <c r="KVQ1" s="122" t="s">
        <v>8023</v>
      </c>
      <c r="KVR1" s="122" t="s">
        <v>8024</v>
      </c>
      <c r="KVS1" s="122" t="s">
        <v>8025</v>
      </c>
      <c r="KVT1" s="122" t="s">
        <v>8026</v>
      </c>
      <c r="KVU1" s="122" t="s">
        <v>8027</v>
      </c>
      <c r="KVV1" s="122" t="s">
        <v>8028</v>
      </c>
      <c r="KVW1" s="122" t="s">
        <v>8029</v>
      </c>
      <c r="KVX1" s="122" t="s">
        <v>8030</v>
      </c>
      <c r="KVY1" s="122" t="s">
        <v>8031</v>
      </c>
      <c r="KVZ1" s="122" t="s">
        <v>8032</v>
      </c>
      <c r="KWA1" s="122" t="s">
        <v>8033</v>
      </c>
      <c r="KWB1" s="122" t="s">
        <v>8034</v>
      </c>
      <c r="KWC1" s="122" t="s">
        <v>8035</v>
      </c>
      <c r="KWD1" s="122" t="s">
        <v>8036</v>
      </c>
      <c r="KWE1" s="122" t="s">
        <v>8037</v>
      </c>
      <c r="KWF1" s="122" t="s">
        <v>8038</v>
      </c>
      <c r="KWG1" s="122" t="s">
        <v>8039</v>
      </c>
      <c r="KWH1" s="122" t="s">
        <v>8040</v>
      </c>
      <c r="KWI1" s="122" t="s">
        <v>8041</v>
      </c>
      <c r="KWJ1" s="122" t="s">
        <v>8042</v>
      </c>
      <c r="KWK1" s="122" t="s">
        <v>8043</v>
      </c>
      <c r="KWL1" s="122" t="s">
        <v>8044</v>
      </c>
      <c r="KWM1" s="122" t="s">
        <v>8045</v>
      </c>
      <c r="KWN1" s="122" t="s">
        <v>8046</v>
      </c>
      <c r="KWO1" s="122" t="s">
        <v>8047</v>
      </c>
      <c r="KWP1" s="122" t="s">
        <v>8048</v>
      </c>
      <c r="KWQ1" s="122" t="s">
        <v>8049</v>
      </c>
      <c r="KWR1" s="122" t="s">
        <v>8050</v>
      </c>
      <c r="KWS1" s="122" t="s">
        <v>8051</v>
      </c>
      <c r="KWT1" s="122" t="s">
        <v>8052</v>
      </c>
      <c r="KWU1" s="122" t="s">
        <v>8053</v>
      </c>
      <c r="KWV1" s="122" t="s">
        <v>8054</v>
      </c>
      <c r="KWW1" s="122" t="s">
        <v>8055</v>
      </c>
      <c r="KWX1" s="122" t="s">
        <v>8056</v>
      </c>
      <c r="KWY1" s="122" t="s">
        <v>8057</v>
      </c>
      <c r="KWZ1" s="122" t="s">
        <v>8058</v>
      </c>
      <c r="KXA1" s="122" t="s">
        <v>8059</v>
      </c>
      <c r="KXB1" s="122" t="s">
        <v>8060</v>
      </c>
      <c r="KXC1" s="122" t="s">
        <v>8061</v>
      </c>
      <c r="KXD1" s="122" t="s">
        <v>8062</v>
      </c>
      <c r="KXE1" s="122" t="s">
        <v>8063</v>
      </c>
      <c r="KXF1" s="122" t="s">
        <v>8064</v>
      </c>
      <c r="KXG1" s="122" t="s">
        <v>8065</v>
      </c>
      <c r="KXH1" s="122" t="s">
        <v>8066</v>
      </c>
      <c r="KXI1" s="122" t="s">
        <v>8067</v>
      </c>
      <c r="KXJ1" s="122" t="s">
        <v>8068</v>
      </c>
      <c r="KXK1" s="122" t="s">
        <v>8069</v>
      </c>
      <c r="KXL1" s="122" t="s">
        <v>8070</v>
      </c>
      <c r="KXM1" s="122" t="s">
        <v>8071</v>
      </c>
      <c r="KXN1" s="122" t="s">
        <v>8072</v>
      </c>
      <c r="KXO1" s="122" t="s">
        <v>8073</v>
      </c>
      <c r="KXP1" s="122" t="s">
        <v>8074</v>
      </c>
      <c r="KXQ1" s="122" t="s">
        <v>8075</v>
      </c>
      <c r="KXR1" s="122" t="s">
        <v>8076</v>
      </c>
      <c r="KXS1" s="122" t="s">
        <v>8077</v>
      </c>
      <c r="KXT1" s="122" t="s">
        <v>8078</v>
      </c>
      <c r="KXU1" s="122" t="s">
        <v>8079</v>
      </c>
      <c r="KXV1" s="122" t="s">
        <v>8080</v>
      </c>
      <c r="KXW1" s="122" t="s">
        <v>8081</v>
      </c>
      <c r="KXX1" s="122" t="s">
        <v>8082</v>
      </c>
      <c r="KXY1" s="122" t="s">
        <v>8083</v>
      </c>
      <c r="KXZ1" s="122" t="s">
        <v>8084</v>
      </c>
      <c r="KYA1" s="122" t="s">
        <v>8085</v>
      </c>
      <c r="KYB1" s="122" t="s">
        <v>8086</v>
      </c>
      <c r="KYC1" s="122" t="s">
        <v>8087</v>
      </c>
      <c r="KYD1" s="122" t="s">
        <v>8088</v>
      </c>
      <c r="KYE1" s="122" t="s">
        <v>8089</v>
      </c>
      <c r="KYF1" s="122" t="s">
        <v>8090</v>
      </c>
      <c r="KYG1" s="122" t="s">
        <v>8091</v>
      </c>
      <c r="KYH1" s="122" t="s">
        <v>8092</v>
      </c>
      <c r="KYI1" s="122" t="s">
        <v>8093</v>
      </c>
      <c r="KYJ1" s="122" t="s">
        <v>8094</v>
      </c>
      <c r="KYK1" s="122" t="s">
        <v>8095</v>
      </c>
      <c r="KYL1" s="122" t="s">
        <v>8096</v>
      </c>
      <c r="KYM1" s="122" t="s">
        <v>8097</v>
      </c>
      <c r="KYN1" s="122" t="s">
        <v>8098</v>
      </c>
      <c r="KYO1" s="122" t="s">
        <v>8099</v>
      </c>
      <c r="KYP1" s="122" t="s">
        <v>8100</v>
      </c>
      <c r="KYQ1" s="122" t="s">
        <v>8101</v>
      </c>
      <c r="KYR1" s="122" t="s">
        <v>8102</v>
      </c>
      <c r="KYS1" s="122" t="s">
        <v>8103</v>
      </c>
      <c r="KYT1" s="122" t="s">
        <v>8104</v>
      </c>
      <c r="KYU1" s="122" t="s">
        <v>8105</v>
      </c>
      <c r="KYV1" s="122" t="s">
        <v>8106</v>
      </c>
      <c r="KYW1" s="122" t="s">
        <v>8107</v>
      </c>
      <c r="KYX1" s="122" t="s">
        <v>8108</v>
      </c>
      <c r="KYY1" s="122" t="s">
        <v>8109</v>
      </c>
      <c r="KYZ1" s="122" t="s">
        <v>8110</v>
      </c>
      <c r="KZA1" s="122" t="s">
        <v>8111</v>
      </c>
      <c r="KZB1" s="122" t="s">
        <v>8112</v>
      </c>
      <c r="KZC1" s="122" t="s">
        <v>8113</v>
      </c>
      <c r="KZD1" s="122" t="s">
        <v>8114</v>
      </c>
      <c r="KZE1" s="122" t="s">
        <v>8115</v>
      </c>
      <c r="KZF1" s="122" t="s">
        <v>8116</v>
      </c>
      <c r="KZG1" s="122" t="s">
        <v>8117</v>
      </c>
      <c r="KZH1" s="122" t="s">
        <v>8118</v>
      </c>
      <c r="KZI1" s="122" t="s">
        <v>8119</v>
      </c>
      <c r="KZJ1" s="122" t="s">
        <v>8120</v>
      </c>
      <c r="KZK1" s="122" t="s">
        <v>8121</v>
      </c>
      <c r="KZL1" s="122" t="s">
        <v>8122</v>
      </c>
      <c r="KZM1" s="122" t="s">
        <v>8123</v>
      </c>
      <c r="KZN1" s="122" t="s">
        <v>8124</v>
      </c>
      <c r="KZO1" s="122" t="s">
        <v>8125</v>
      </c>
      <c r="KZP1" s="122" t="s">
        <v>8126</v>
      </c>
      <c r="KZQ1" s="122" t="s">
        <v>8127</v>
      </c>
      <c r="KZR1" s="122" t="s">
        <v>8128</v>
      </c>
      <c r="KZS1" s="122" t="s">
        <v>8129</v>
      </c>
      <c r="KZT1" s="122" t="s">
        <v>8130</v>
      </c>
      <c r="KZU1" s="122" t="s">
        <v>8131</v>
      </c>
      <c r="KZV1" s="122" t="s">
        <v>8132</v>
      </c>
      <c r="KZW1" s="122" t="s">
        <v>8133</v>
      </c>
      <c r="KZX1" s="122" t="s">
        <v>8134</v>
      </c>
      <c r="KZY1" s="122" t="s">
        <v>8135</v>
      </c>
      <c r="KZZ1" s="122" t="s">
        <v>8136</v>
      </c>
      <c r="LAA1" s="122" t="s">
        <v>8137</v>
      </c>
      <c r="LAB1" s="122" t="s">
        <v>8138</v>
      </c>
      <c r="LAC1" s="122" t="s">
        <v>8139</v>
      </c>
      <c r="LAD1" s="122" t="s">
        <v>8140</v>
      </c>
      <c r="LAE1" s="122" t="s">
        <v>8141</v>
      </c>
      <c r="LAF1" s="122" t="s">
        <v>8142</v>
      </c>
      <c r="LAG1" s="122" t="s">
        <v>8143</v>
      </c>
      <c r="LAH1" s="122" t="s">
        <v>8144</v>
      </c>
      <c r="LAI1" s="122" t="s">
        <v>8145</v>
      </c>
      <c r="LAJ1" s="122" t="s">
        <v>8146</v>
      </c>
      <c r="LAK1" s="122" t="s">
        <v>8147</v>
      </c>
      <c r="LAL1" s="122" t="s">
        <v>8148</v>
      </c>
      <c r="LAM1" s="122" t="s">
        <v>8149</v>
      </c>
      <c r="LAN1" s="122" t="s">
        <v>8150</v>
      </c>
      <c r="LAO1" s="122" t="s">
        <v>8151</v>
      </c>
      <c r="LAP1" s="122" t="s">
        <v>8152</v>
      </c>
      <c r="LAQ1" s="122" t="s">
        <v>8153</v>
      </c>
      <c r="LAR1" s="122" t="s">
        <v>8154</v>
      </c>
      <c r="LAS1" s="122" t="s">
        <v>8155</v>
      </c>
      <c r="LAT1" s="122" t="s">
        <v>8156</v>
      </c>
      <c r="LAU1" s="122" t="s">
        <v>8157</v>
      </c>
      <c r="LAV1" s="122" t="s">
        <v>8158</v>
      </c>
      <c r="LAW1" s="122" t="s">
        <v>8159</v>
      </c>
      <c r="LAX1" s="122" t="s">
        <v>8160</v>
      </c>
      <c r="LAY1" s="122" t="s">
        <v>8161</v>
      </c>
      <c r="LAZ1" s="122" t="s">
        <v>8162</v>
      </c>
      <c r="LBA1" s="122" t="s">
        <v>8163</v>
      </c>
      <c r="LBB1" s="122" t="s">
        <v>8164</v>
      </c>
      <c r="LBC1" s="122" t="s">
        <v>8165</v>
      </c>
      <c r="LBD1" s="122" t="s">
        <v>8166</v>
      </c>
      <c r="LBE1" s="122" t="s">
        <v>8167</v>
      </c>
      <c r="LBF1" s="122" t="s">
        <v>8168</v>
      </c>
      <c r="LBG1" s="122" t="s">
        <v>8169</v>
      </c>
      <c r="LBH1" s="122" t="s">
        <v>8170</v>
      </c>
      <c r="LBI1" s="122" t="s">
        <v>8171</v>
      </c>
      <c r="LBJ1" s="122" t="s">
        <v>8172</v>
      </c>
      <c r="LBK1" s="122" t="s">
        <v>8173</v>
      </c>
      <c r="LBL1" s="122" t="s">
        <v>8174</v>
      </c>
      <c r="LBM1" s="122" t="s">
        <v>8175</v>
      </c>
      <c r="LBN1" s="122" t="s">
        <v>8176</v>
      </c>
      <c r="LBO1" s="122" t="s">
        <v>8177</v>
      </c>
      <c r="LBP1" s="122" t="s">
        <v>8178</v>
      </c>
      <c r="LBQ1" s="122" t="s">
        <v>8179</v>
      </c>
      <c r="LBR1" s="122" t="s">
        <v>8180</v>
      </c>
      <c r="LBS1" s="122" t="s">
        <v>8181</v>
      </c>
      <c r="LBT1" s="122" t="s">
        <v>8182</v>
      </c>
      <c r="LBU1" s="122" t="s">
        <v>8183</v>
      </c>
      <c r="LBV1" s="122" t="s">
        <v>8184</v>
      </c>
      <c r="LBW1" s="122" t="s">
        <v>8185</v>
      </c>
      <c r="LBX1" s="122" t="s">
        <v>8186</v>
      </c>
      <c r="LBY1" s="122" t="s">
        <v>8187</v>
      </c>
      <c r="LBZ1" s="122" t="s">
        <v>8188</v>
      </c>
      <c r="LCA1" s="122" t="s">
        <v>8189</v>
      </c>
      <c r="LCB1" s="122" t="s">
        <v>8190</v>
      </c>
      <c r="LCC1" s="122" t="s">
        <v>8191</v>
      </c>
      <c r="LCD1" s="122" t="s">
        <v>8192</v>
      </c>
      <c r="LCE1" s="122" t="s">
        <v>8193</v>
      </c>
      <c r="LCF1" s="122" t="s">
        <v>8194</v>
      </c>
      <c r="LCG1" s="122" t="s">
        <v>8195</v>
      </c>
      <c r="LCH1" s="122" t="s">
        <v>8196</v>
      </c>
      <c r="LCI1" s="122" t="s">
        <v>8197</v>
      </c>
      <c r="LCJ1" s="122" t="s">
        <v>8198</v>
      </c>
      <c r="LCK1" s="122" t="s">
        <v>8199</v>
      </c>
      <c r="LCL1" s="122" t="s">
        <v>8200</v>
      </c>
      <c r="LCM1" s="122" t="s">
        <v>8201</v>
      </c>
      <c r="LCN1" s="122" t="s">
        <v>8202</v>
      </c>
      <c r="LCO1" s="122" t="s">
        <v>8203</v>
      </c>
      <c r="LCP1" s="122" t="s">
        <v>8204</v>
      </c>
      <c r="LCQ1" s="122" t="s">
        <v>8205</v>
      </c>
      <c r="LCR1" s="122" t="s">
        <v>8206</v>
      </c>
      <c r="LCS1" s="122" t="s">
        <v>8207</v>
      </c>
      <c r="LCT1" s="122" t="s">
        <v>8208</v>
      </c>
      <c r="LCU1" s="122" t="s">
        <v>8209</v>
      </c>
      <c r="LCV1" s="122" t="s">
        <v>8210</v>
      </c>
      <c r="LCW1" s="122" t="s">
        <v>8211</v>
      </c>
      <c r="LCX1" s="122" t="s">
        <v>8212</v>
      </c>
      <c r="LCY1" s="122" t="s">
        <v>8213</v>
      </c>
      <c r="LCZ1" s="122" t="s">
        <v>8214</v>
      </c>
      <c r="LDA1" s="122" t="s">
        <v>8215</v>
      </c>
      <c r="LDB1" s="122" t="s">
        <v>8216</v>
      </c>
      <c r="LDC1" s="122" t="s">
        <v>8217</v>
      </c>
      <c r="LDD1" s="122" t="s">
        <v>8218</v>
      </c>
      <c r="LDE1" s="122" t="s">
        <v>8219</v>
      </c>
      <c r="LDF1" s="122" t="s">
        <v>8220</v>
      </c>
      <c r="LDG1" s="122" t="s">
        <v>8221</v>
      </c>
      <c r="LDH1" s="122" t="s">
        <v>8222</v>
      </c>
      <c r="LDI1" s="122" t="s">
        <v>8223</v>
      </c>
      <c r="LDJ1" s="122" t="s">
        <v>8224</v>
      </c>
      <c r="LDK1" s="122" t="s">
        <v>8225</v>
      </c>
      <c r="LDL1" s="122" t="s">
        <v>8226</v>
      </c>
      <c r="LDM1" s="122" t="s">
        <v>8227</v>
      </c>
      <c r="LDN1" s="122" t="s">
        <v>8228</v>
      </c>
      <c r="LDO1" s="122" t="s">
        <v>8229</v>
      </c>
      <c r="LDP1" s="122" t="s">
        <v>8230</v>
      </c>
      <c r="LDQ1" s="122" t="s">
        <v>8231</v>
      </c>
      <c r="LDR1" s="122" t="s">
        <v>8232</v>
      </c>
      <c r="LDS1" s="122" t="s">
        <v>8233</v>
      </c>
      <c r="LDT1" s="122" t="s">
        <v>8234</v>
      </c>
      <c r="LDU1" s="122" t="s">
        <v>8235</v>
      </c>
      <c r="LDV1" s="122" t="s">
        <v>8236</v>
      </c>
      <c r="LDW1" s="122" t="s">
        <v>8237</v>
      </c>
      <c r="LDX1" s="122" t="s">
        <v>8238</v>
      </c>
      <c r="LDY1" s="122" t="s">
        <v>8239</v>
      </c>
      <c r="LDZ1" s="122" t="s">
        <v>8240</v>
      </c>
      <c r="LEA1" s="122" t="s">
        <v>8241</v>
      </c>
      <c r="LEB1" s="122" t="s">
        <v>8242</v>
      </c>
      <c r="LEC1" s="122" t="s">
        <v>8243</v>
      </c>
      <c r="LED1" s="122" t="s">
        <v>8244</v>
      </c>
      <c r="LEE1" s="122" t="s">
        <v>8245</v>
      </c>
      <c r="LEF1" s="122" t="s">
        <v>8246</v>
      </c>
      <c r="LEG1" s="122" t="s">
        <v>8247</v>
      </c>
      <c r="LEH1" s="122" t="s">
        <v>8248</v>
      </c>
      <c r="LEI1" s="122" t="s">
        <v>8249</v>
      </c>
      <c r="LEJ1" s="122" t="s">
        <v>8250</v>
      </c>
      <c r="LEK1" s="122" t="s">
        <v>8251</v>
      </c>
      <c r="LEL1" s="122" t="s">
        <v>8252</v>
      </c>
      <c r="LEM1" s="122" t="s">
        <v>8253</v>
      </c>
      <c r="LEN1" s="122" t="s">
        <v>8254</v>
      </c>
      <c r="LEO1" s="122" t="s">
        <v>8255</v>
      </c>
      <c r="LEP1" s="122" t="s">
        <v>8256</v>
      </c>
      <c r="LEQ1" s="122" t="s">
        <v>8257</v>
      </c>
      <c r="LER1" s="122" t="s">
        <v>8258</v>
      </c>
      <c r="LES1" s="122" t="s">
        <v>8259</v>
      </c>
      <c r="LET1" s="122" t="s">
        <v>8260</v>
      </c>
      <c r="LEU1" s="122" t="s">
        <v>8261</v>
      </c>
      <c r="LEV1" s="122" t="s">
        <v>8262</v>
      </c>
      <c r="LEW1" s="122" t="s">
        <v>8263</v>
      </c>
      <c r="LEX1" s="122" t="s">
        <v>8264</v>
      </c>
      <c r="LEY1" s="122" t="s">
        <v>8265</v>
      </c>
      <c r="LEZ1" s="122" t="s">
        <v>8266</v>
      </c>
      <c r="LFA1" s="122" t="s">
        <v>8267</v>
      </c>
      <c r="LFB1" s="122" t="s">
        <v>8268</v>
      </c>
      <c r="LFC1" s="122" t="s">
        <v>8269</v>
      </c>
      <c r="LFD1" s="122" t="s">
        <v>8270</v>
      </c>
      <c r="LFE1" s="122" t="s">
        <v>8271</v>
      </c>
      <c r="LFF1" s="122" t="s">
        <v>8272</v>
      </c>
      <c r="LFG1" s="122" t="s">
        <v>8273</v>
      </c>
      <c r="LFH1" s="122" t="s">
        <v>8274</v>
      </c>
      <c r="LFI1" s="122" t="s">
        <v>8275</v>
      </c>
      <c r="LFJ1" s="122" t="s">
        <v>8276</v>
      </c>
      <c r="LFK1" s="122" t="s">
        <v>8277</v>
      </c>
      <c r="LFL1" s="122" t="s">
        <v>8278</v>
      </c>
      <c r="LFM1" s="122" t="s">
        <v>8279</v>
      </c>
      <c r="LFN1" s="122" t="s">
        <v>8280</v>
      </c>
      <c r="LFO1" s="122" t="s">
        <v>8281</v>
      </c>
      <c r="LFP1" s="122" t="s">
        <v>8282</v>
      </c>
      <c r="LFQ1" s="122" t="s">
        <v>8283</v>
      </c>
      <c r="LFR1" s="122" t="s">
        <v>8284</v>
      </c>
      <c r="LFS1" s="122" t="s">
        <v>8285</v>
      </c>
      <c r="LFT1" s="122" t="s">
        <v>8286</v>
      </c>
      <c r="LFU1" s="122" t="s">
        <v>8287</v>
      </c>
      <c r="LFV1" s="122" t="s">
        <v>8288</v>
      </c>
      <c r="LFW1" s="122" t="s">
        <v>8289</v>
      </c>
      <c r="LFX1" s="122" t="s">
        <v>8290</v>
      </c>
      <c r="LFY1" s="122" t="s">
        <v>8291</v>
      </c>
      <c r="LFZ1" s="122" t="s">
        <v>8292</v>
      </c>
      <c r="LGA1" s="122" t="s">
        <v>8293</v>
      </c>
      <c r="LGB1" s="122" t="s">
        <v>8294</v>
      </c>
      <c r="LGC1" s="122" t="s">
        <v>8295</v>
      </c>
      <c r="LGD1" s="122" t="s">
        <v>8296</v>
      </c>
      <c r="LGE1" s="122" t="s">
        <v>8297</v>
      </c>
      <c r="LGF1" s="122" t="s">
        <v>8298</v>
      </c>
      <c r="LGG1" s="122" t="s">
        <v>8299</v>
      </c>
      <c r="LGH1" s="122" t="s">
        <v>8300</v>
      </c>
      <c r="LGI1" s="122" t="s">
        <v>8301</v>
      </c>
      <c r="LGJ1" s="122" t="s">
        <v>8302</v>
      </c>
      <c r="LGK1" s="122" t="s">
        <v>8303</v>
      </c>
      <c r="LGL1" s="122" t="s">
        <v>8304</v>
      </c>
      <c r="LGM1" s="122" t="s">
        <v>8305</v>
      </c>
      <c r="LGN1" s="122" t="s">
        <v>8306</v>
      </c>
      <c r="LGO1" s="122" t="s">
        <v>8307</v>
      </c>
      <c r="LGP1" s="122" t="s">
        <v>8308</v>
      </c>
      <c r="LGQ1" s="122" t="s">
        <v>8309</v>
      </c>
      <c r="LGR1" s="122" t="s">
        <v>8310</v>
      </c>
      <c r="LGS1" s="122" t="s">
        <v>8311</v>
      </c>
      <c r="LGT1" s="122" t="s">
        <v>8312</v>
      </c>
      <c r="LGU1" s="122" t="s">
        <v>8313</v>
      </c>
      <c r="LGV1" s="122" t="s">
        <v>8314</v>
      </c>
      <c r="LGW1" s="122" t="s">
        <v>8315</v>
      </c>
      <c r="LGX1" s="122" t="s">
        <v>8316</v>
      </c>
      <c r="LGY1" s="122" t="s">
        <v>8317</v>
      </c>
      <c r="LGZ1" s="122" t="s">
        <v>8318</v>
      </c>
      <c r="LHA1" s="122" t="s">
        <v>8319</v>
      </c>
      <c r="LHB1" s="122" t="s">
        <v>8320</v>
      </c>
      <c r="LHC1" s="122" t="s">
        <v>8321</v>
      </c>
      <c r="LHD1" s="122" t="s">
        <v>8322</v>
      </c>
      <c r="LHE1" s="122" t="s">
        <v>8323</v>
      </c>
      <c r="LHF1" s="122" t="s">
        <v>8324</v>
      </c>
      <c r="LHG1" s="122" t="s">
        <v>8325</v>
      </c>
      <c r="LHH1" s="122" t="s">
        <v>8326</v>
      </c>
      <c r="LHI1" s="122" t="s">
        <v>8327</v>
      </c>
      <c r="LHJ1" s="122" t="s">
        <v>8328</v>
      </c>
      <c r="LHK1" s="122" t="s">
        <v>8329</v>
      </c>
      <c r="LHL1" s="122" t="s">
        <v>8330</v>
      </c>
      <c r="LHM1" s="122" t="s">
        <v>8331</v>
      </c>
      <c r="LHN1" s="122" t="s">
        <v>8332</v>
      </c>
      <c r="LHO1" s="122" t="s">
        <v>8333</v>
      </c>
      <c r="LHP1" s="122" t="s">
        <v>8334</v>
      </c>
      <c r="LHQ1" s="122" t="s">
        <v>8335</v>
      </c>
      <c r="LHR1" s="122" t="s">
        <v>8336</v>
      </c>
      <c r="LHS1" s="122" t="s">
        <v>8337</v>
      </c>
      <c r="LHT1" s="122" t="s">
        <v>8338</v>
      </c>
      <c r="LHU1" s="122" t="s">
        <v>8339</v>
      </c>
      <c r="LHV1" s="122" t="s">
        <v>8340</v>
      </c>
      <c r="LHW1" s="122" t="s">
        <v>8341</v>
      </c>
      <c r="LHX1" s="122" t="s">
        <v>8342</v>
      </c>
      <c r="LHY1" s="122" t="s">
        <v>8343</v>
      </c>
      <c r="LHZ1" s="122" t="s">
        <v>8344</v>
      </c>
      <c r="LIA1" s="122" t="s">
        <v>8345</v>
      </c>
      <c r="LIB1" s="122" t="s">
        <v>8346</v>
      </c>
      <c r="LIC1" s="122" t="s">
        <v>8347</v>
      </c>
      <c r="LID1" s="122" t="s">
        <v>8348</v>
      </c>
      <c r="LIE1" s="122" t="s">
        <v>8349</v>
      </c>
      <c r="LIF1" s="122" t="s">
        <v>8350</v>
      </c>
      <c r="LIG1" s="122" t="s">
        <v>8351</v>
      </c>
      <c r="LIH1" s="122" t="s">
        <v>8352</v>
      </c>
      <c r="LII1" s="122" t="s">
        <v>8353</v>
      </c>
      <c r="LIJ1" s="122" t="s">
        <v>8354</v>
      </c>
      <c r="LIK1" s="122" t="s">
        <v>8355</v>
      </c>
      <c r="LIL1" s="122" t="s">
        <v>8356</v>
      </c>
      <c r="LIM1" s="122" t="s">
        <v>8357</v>
      </c>
      <c r="LIN1" s="122" t="s">
        <v>8358</v>
      </c>
      <c r="LIO1" s="122" t="s">
        <v>8359</v>
      </c>
      <c r="LIP1" s="122" t="s">
        <v>8360</v>
      </c>
      <c r="LIQ1" s="122" t="s">
        <v>8361</v>
      </c>
      <c r="LIR1" s="122" t="s">
        <v>8362</v>
      </c>
      <c r="LIS1" s="122" t="s">
        <v>8363</v>
      </c>
      <c r="LIT1" s="122" t="s">
        <v>8364</v>
      </c>
      <c r="LIU1" s="122" t="s">
        <v>8365</v>
      </c>
      <c r="LIV1" s="122" t="s">
        <v>8366</v>
      </c>
      <c r="LIW1" s="122" t="s">
        <v>8367</v>
      </c>
      <c r="LIX1" s="122" t="s">
        <v>8368</v>
      </c>
      <c r="LIY1" s="122" t="s">
        <v>8369</v>
      </c>
      <c r="LIZ1" s="122" t="s">
        <v>8370</v>
      </c>
      <c r="LJA1" s="122" t="s">
        <v>8371</v>
      </c>
      <c r="LJB1" s="122" t="s">
        <v>8372</v>
      </c>
      <c r="LJC1" s="122" t="s">
        <v>8373</v>
      </c>
      <c r="LJD1" s="122" t="s">
        <v>8374</v>
      </c>
      <c r="LJE1" s="122" t="s">
        <v>8375</v>
      </c>
      <c r="LJF1" s="122" t="s">
        <v>8376</v>
      </c>
      <c r="LJG1" s="122" t="s">
        <v>8377</v>
      </c>
      <c r="LJH1" s="122" t="s">
        <v>8378</v>
      </c>
      <c r="LJI1" s="122" t="s">
        <v>8379</v>
      </c>
      <c r="LJJ1" s="122" t="s">
        <v>8380</v>
      </c>
      <c r="LJK1" s="122" t="s">
        <v>8381</v>
      </c>
      <c r="LJL1" s="122" t="s">
        <v>8382</v>
      </c>
      <c r="LJM1" s="122" t="s">
        <v>8383</v>
      </c>
      <c r="LJN1" s="122" t="s">
        <v>8384</v>
      </c>
      <c r="LJO1" s="122" t="s">
        <v>8385</v>
      </c>
      <c r="LJP1" s="122" t="s">
        <v>8386</v>
      </c>
      <c r="LJQ1" s="122" t="s">
        <v>8387</v>
      </c>
      <c r="LJR1" s="122" t="s">
        <v>8388</v>
      </c>
      <c r="LJS1" s="122" t="s">
        <v>8389</v>
      </c>
      <c r="LJT1" s="122" t="s">
        <v>8390</v>
      </c>
      <c r="LJU1" s="122" t="s">
        <v>8391</v>
      </c>
      <c r="LJV1" s="122" t="s">
        <v>8392</v>
      </c>
      <c r="LJW1" s="122" t="s">
        <v>8393</v>
      </c>
      <c r="LJX1" s="122" t="s">
        <v>8394</v>
      </c>
      <c r="LJY1" s="122" t="s">
        <v>8395</v>
      </c>
      <c r="LJZ1" s="122" t="s">
        <v>8396</v>
      </c>
      <c r="LKA1" s="122" t="s">
        <v>8397</v>
      </c>
      <c r="LKB1" s="122" t="s">
        <v>8398</v>
      </c>
      <c r="LKC1" s="122" t="s">
        <v>8399</v>
      </c>
      <c r="LKD1" s="122" t="s">
        <v>8400</v>
      </c>
      <c r="LKE1" s="122" t="s">
        <v>8401</v>
      </c>
      <c r="LKF1" s="122" t="s">
        <v>8402</v>
      </c>
      <c r="LKG1" s="122" t="s">
        <v>8403</v>
      </c>
      <c r="LKH1" s="122" t="s">
        <v>8404</v>
      </c>
      <c r="LKI1" s="122" t="s">
        <v>8405</v>
      </c>
      <c r="LKJ1" s="122" t="s">
        <v>8406</v>
      </c>
      <c r="LKK1" s="122" t="s">
        <v>8407</v>
      </c>
      <c r="LKL1" s="122" t="s">
        <v>8408</v>
      </c>
      <c r="LKM1" s="122" t="s">
        <v>8409</v>
      </c>
      <c r="LKN1" s="122" t="s">
        <v>8410</v>
      </c>
      <c r="LKO1" s="122" t="s">
        <v>8411</v>
      </c>
      <c r="LKP1" s="122" t="s">
        <v>8412</v>
      </c>
      <c r="LKQ1" s="122" t="s">
        <v>8413</v>
      </c>
      <c r="LKR1" s="122" t="s">
        <v>8414</v>
      </c>
      <c r="LKS1" s="122" t="s">
        <v>8415</v>
      </c>
      <c r="LKT1" s="122" t="s">
        <v>8416</v>
      </c>
      <c r="LKU1" s="122" t="s">
        <v>8417</v>
      </c>
      <c r="LKV1" s="122" t="s">
        <v>8418</v>
      </c>
      <c r="LKW1" s="122" t="s">
        <v>8419</v>
      </c>
      <c r="LKX1" s="122" t="s">
        <v>8420</v>
      </c>
      <c r="LKY1" s="122" t="s">
        <v>8421</v>
      </c>
      <c r="LKZ1" s="122" t="s">
        <v>8422</v>
      </c>
      <c r="LLA1" s="122" t="s">
        <v>8423</v>
      </c>
      <c r="LLB1" s="122" t="s">
        <v>8424</v>
      </c>
      <c r="LLC1" s="122" t="s">
        <v>8425</v>
      </c>
      <c r="LLD1" s="122" t="s">
        <v>8426</v>
      </c>
      <c r="LLE1" s="122" t="s">
        <v>8427</v>
      </c>
      <c r="LLF1" s="122" t="s">
        <v>8428</v>
      </c>
      <c r="LLG1" s="122" t="s">
        <v>8429</v>
      </c>
      <c r="LLH1" s="122" t="s">
        <v>8430</v>
      </c>
      <c r="LLI1" s="122" t="s">
        <v>8431</v>
      </c>
      <c r="LLJ1" s="122" t="s">
        <v>8432</v>
      </c>
      <c r="LLK1" s="122" t="s">
        <v>8433</v>
      </c>
      <c r="LLL1" s="122" t="s">
        <v>8434</v>
      </c>
      <c r="LLM1" s="122" t="s">
        <v>8435</v>
      </c>
      <c r="LLN1" s="122" t="s">
        <v>8436</v>
      </c>
      <c r="LLO1" s="122" t="s">
        <v>8437</v>
      </c>
      <c r="LLP1" s="122" t="s">
        <v>8438</v>
      </c>
      <c r="LLQ1" s="122" t="s">
        <v>8439</v>
      </c>
      <c r="LLR1" s="122" t="s">
        <v>8440</v>
      </c>
      <c r="LLS1" s="122" t="s">
        <v>8441</v>
      </c>
      <c r="LLT1" s="122" t="s">
        <v>8442</v>
      </c>
      <c r="LLU1" s="122" t="s">
        <v>8443</v>
      </c>
      <c r="LLV1" s="122" t="s">
        <v>8444</v>
      </c>
      <c r="LLW1" s="122" t="s">
        <v>8445</v>
      </c>
      <c r="LLX1" s="122" t="s">
        <v>8446</v>
      </c>
      <c r="LLY1" s="122" t="s">
        <v>8447</v>
      </c>
      <c r="LLZ1" s="122" t="s">
        <v>8448</v>
      </c>
      <c r="LMA1" s="122" t="s">
        <v>8449</v>
      </c>
      <c r="LMB1" s="122" t="s">
        <v>8450</v>
      </c>
      <c r="LMC1" s="122" t="s">
        <v>8451</v>
      </c>
      <c r="LMD1" s="122" t="s">
        <v>8452</v>
      </c>
      <c r="LME1" s="122" t="s">
        <v>8453</v>
      </c>
      <c r="LMF1" s="122" t="s">
        <v>8454</v>
      </c>
      <c r="LMG1" s="122" t="s">
        <v>8455</v>
      </c>
      <c r="LMH1" s="122" t="s">
        <v>8456</v>
      </c>
      <c r="LMI1" s="122" t="s">
        <v>8457</v>
      </c>
      <c r="LMJ1" s="122" t="s">
        <v>8458</v>
      </c>
      <c r="LMK1" s="122" t="s">
        <v>8459</v>
      </c>
      <c r="LML1" s="122" t="s">
        <v>8460</v>
      </c>
      <c r="LMM1" s="122" t="s">
        <v>8461</v>
      </c>
      <c r="LMN1" s="122" t="s">
        <v>8462</v>
      </c>
      <c r="LMO1" s="122" t="s">
        <v>8463</v>
      </c>
      <c r="LMP1" s="122" t="s">
        <v>8464</v>
      </c>
      <c r="LMQ1" s="122" t="s">
        <v>8465</v>
      </c>
      <c r="LMR1" s="122" t="s">
        <v>8466</v>
      </c>
      <c r="LMS1" s="122" t="s">
        <v>8467</v>
      </c>
      <c r="LMT1" s="122" t="s">
        <v>8468</v>
      </c>
      <c r="LMU1" s="122" t="s">
        <v>8469</v>
      </c>
      <c r="LMV1" s="122" t="s">
        <v>8470</v>
      </c>
      <c r="LMW1" s="122" t="s">
        <v>8471</v>
      </c>
      <c r="LMX1" s="122" t="s">
        <v>8472</v>
      </c>
      <c r="LMY1" s="122" t="s">
        <v>8473</v>
      </c>
      <c r="LMZ1" s="122" t="s">
        <v>8474</v>
      </c>
      <c r="LNA1" s="122" t="s">
        <v>8475</v>
      </c>
      <c r="LNB1" s="122" t="s">
        <v>8476</v>
      </c>
      <c r="LNC1" s="122" t="s">
        <v>8477</v>
      </c>
      <c r="LND1" s="122" t="s">
        <v>8478</v>
      </c>
      <c r="LNE1" s="122" t="s">
        <v>8479</v>
      </c>
      <c r="LNF1" s="122" t="s">
        <v>8480</v>
      </c>
      <c r="LNG1" s="122" t="s">
        <v>8481</v>
      </c>
      <c r="LNH1" s="122" t="s">
        <v>8482</v>
      </c>
      <c r="LNI1" s="122" t="s">
        <v>8483</v>
      </c>
      <c r="LNJ1" s="122" t="s">
        <v>8484</v>
      </c>
      <c r="LNK1" s="122" t="s">
        <v>8485</v>
      </c>
      <c r="LNL1" s="122" t="s">
        <v>8486</v>
      </c>
      <c r="LNM1" s="122" t="s">
        <v>8487</v>
      </c>
      <c r="LNN1" s="122" t="s">
        <v>8488</v>
      </c>
      <c r="LNO1" s="122" t="s">
        <v>8489</v>
      </c>
      <c r="LNP1" s="122" t="s">
        <v>8490</v>
      </c>
      <c r="LNQ1" s="122" t="s">
        <v>8491</v>
      </c>
      <c r="LNR1" s="122" t="s">
        <v>8492</v>
      </c>
      <c r="LNS1" s="122" t="s">
        <v>8493</v>
      </c>
      <c r="LNT1" s="122" t="s">
        <v>8494</v>
      </c>
      <c r="LNU1" s="122" t="s">
        <v>8495</v>
      </c>
      <c r="LNV1" s="122" t="s">
        <v>8496</v>
      </c>
      <c r="LNW1" s="122" t="s">
        <v>8497</v>
      </c>
      <c r="LNX1" s="122" t="s">
        <v>8498</v>
      </c>
      <c r="LNY1" s="122" t="s">
        <v>8499</v>
      </c>
      <c r="LNZ1" s="122" t="s">
        <v>8500</v>
      </c>
      <c r="LOA1" s="122" t="s">
        <v>8501</v>
      </c>
      <c r="LOB1" s="122" t="s">
        <v>8502</v>
      </c>
      <c r="LOC1" s="122" t="s">
        <v>8503</v>
      </c>
      <c r="LOD1" s="122" t="s">
        <v>8504</v>
      </c>
      <c r="LOE1" s="122" t="s">
        <v>8505</v>
      </c>
      <c r="LOF1" s="122" t="s">
        <v>8506</v>
      </c>
      <c r="LOG1" s="122" t="s">
        <v>8507</v>
      </c>
      <c r="LOH1" s="122" t="s">
        <v>8508</v>
      </c>
      <c r="LOI1" s="122" t="s">
        <v>8509</v>
      </c>
      <c r="LOJ1" s="122" t="s">
        <v>8510</v>
      </c>
      <c r="LOK1" s="122" t="s">
        <v>8511</v>
      </c>
      <c r="LOL1" s="122" t="s">
        <v>8512</v>
      </c>
      <c r="LOM1" s="122" t="s">
        <v>8513</v>
      </c>
      <c r="LON1" s="122" t="s">
        <v>8514</v>
      </c>
      <c r="LOO1" s="122" t="s">
        <v>8515</v>
      </c>
      <c r="LOP1" s="122" t="s">
        <v>8516</v>
      </c>
      <c r="LOQ1" s="122" t="s">
        <v>8517</v>
      </c>
      <c r="LOR1" s="122" t="s">
        <v>8518</v>
      </c>
      <c r="LOS1" s="122" t="s">
        <v>8519</v>
      </c>
      <c r="LOT1" s="122" t="s">
        <v>8520</v>
      </c>
      <c r="LOU1" s="122" t="s">
        <v>8521</v>
      </c>
      <c r="LOV1" s="122" t="s">
        <v>8522</v>
      </c>
      <c r="LOW1" s="122" t="s">
        <v>8523</v>
      </c>
      <c r="LOX1" s="122" t="s">
        <v>8524</v>
      </c>
      <c r="LOY1" s="122" t="s">
        <v>8525</v>
      </c>
      <c r="LOZ1" s="122" t="s">
        <v>8526</v>
      </c>
      <c r="LPA1" s="122" t="s">
        <v>8527</v>
      </c>
      <c r="LPB1" s="122" t="s">
        <v>8528</v>
      </c>
      <c r="LPC1" s="122" t="s">
        <v>8529</v>
      </c>
      <c r="LPD1" s="122" t="s">
        <v>8530</v>
      </c>
      <c r="LPE1" s="122" t="s">
        <v>8531</v>
      </c>
      <c r="LPF1" s="122" t="s">
        <v>8532</v>
      </c>
      <c r="LPG1" s="122" t="s">
        <v>8533</v>
      </c>
      <c r="LPH1" s="122" t="s">
        <v>8534</v>
      </c>
      <c r="LPI1" s="122" t="s">
        <v>8535</v>
      </c>
      <c r="LPJ1" s="122" t="s">
        <v>8536</v>
      </c>
      <c r="LPK1" s="122" t="s">
        <v>8537</v>
      </c>
      <c r="LPL1" s="122" t="s">
        <v>8538</v>
      </c>
      <c r="LPM1" s="122" t="s">
        <v>8539</v>
      </c>
      <c r="LPN1" s="122" t="s">
        <v>8540</v>
      </c>
      <c r="LPO1" s="122" t="s">
        <v>8541</v>
      </c>
      <c r="LPP1" s="122" t="s">
        <v>8542</v>
      </c>
      <c r="LPQ1" s="122" t="s">
        <v>8543</v>
      </c>
      <c r="LPR1" s="122" t="s">
        <v>8544</v>
      </c>
      <c r="LPS1" s="122" t="s">
        <v>8545</v>
      </c>
      <c r="LPT1" s="122" t="s">
        <v>8546</v>
      </c>
      <c r="LPU1" s="122" t="s">
        <v>8547</v>
      </c>
      <c r="LPV1" s="122" t="s">
        <v>8548</v>
      </c>
      <c r="LPW1" s="122" t="s">
        <v>8549</v>
      </c>
      <c r="LPX1" s="122" t="s">
        <v>8550</v>
      </c>
      <c r="LPY1" s="122" t="s">
        <v>8551</v>
      </c>
      <c r="LPZ1" s="122" t="s">
        <v>8552</v>
      </c>
      <c r="LQA1" s="122" t="s">
        <v>8553</v>
      </c>
      <c r="LQB1" s="122" t="s">
        <v>8554</v>
      </c>
      <c r="LQC1" s="122" t="s">
        <v>8555</v>
      </c>
      <c r="LQD1" s="122" t="s">
        <v>8556</v>
      </c>
      <c r="LQE1" s="122" t="s">
        <v>8557</v>
      </c>
      <c r="LQF1" s="122" t="s">
        <v>8558</v>
      </c>
      <c r="LQG1" s="122" t="s">
        <v>8559</v>
      </c>
      <c r="LQH1" s="122" t="s">
        <v>8560</v>
      </c>
      <c r="LQI1" s="122" t="s">
        <v>8561</v>
      </c>
      <c r="LQJ1" s="122" t="s">
        <v>8562</v>
      </c>
      <c r="LQK1" s="122" t="s">
        <v>8563</v>
      </c>
      <c r="LQL1" s="122" t="s">
        <v>8564</v>
      </c>
      <c r="LQM1" s="122" t="s">
        <v>8565</v>
      </c>
      <c r="LQN1" s="122" t="s">
        <v>8566</v>
      </c>
      <c r="LQO1" s="122" t="s">
        <v>8567</v>
      </c>
      <c r="LQP1" s="122" t="s">
        <v>8568</v>
      </c>
      <c r="LQQ1" s="122" t="s">
        <v>8569</v>
      </c>
      <c r="LQR1" s="122" t="s">
        <v>8570</v>
      </c>
      <c r="LQS1" s="122" t="s">
        <v>8571</v>
      </c>
      <c r="LQT1" s="122" t="s">
        <v>8572</v>
      </c>
      <c r="LQU1" s="122" t="s">
        <v>8573</v>
      </c>
      <c r="LQV1" s="122" t="s">
        <v>8574</v>
      </c>
      <c r="LQW1" s="122" t="s">
        <v>8575</v>
      </c>
      <c r="LQX1" s="122" t="s">
        <v>8576</v>
      </c>
      <c r="LQY1" s="122" t="s">
        <v>8577</v>
      </c>
      <c r="LQZ1" s="122" t="s">
        <v>8578</v>
      </c>
      <c r="LRA1" s="122" t="s">
        <v>8579</v>
      </c>
      <c r="LRB1" s="122" t="s">
        <v>8580</v>
      </c>
      <c r="LRC1" s="122" t="s">
        <v>8581</v>
      </c>
      <c r="LRD1" s="122" t="s">
        <v>8582</v>
      </c>
      <c r="LRE1" s="122" t="s">
        <v>8583</v>
      </c>
      <c r="LRF1" s="122" t="s">
        <v>8584</v>
      </c>
      <c r="LRG1" s="122" t="s">
        <v>8585</v>
      </c>
      <c r="LRH1" s="122" t="s">
        <v>8586</v>
      </c>
      <c r="LRI1" s="122" t="s">
        <v>8587</v>
      </c>
      <c r="LRJ1" s="122" t="s">
        <v>8588</v>
      </c>
      <c r="LRK1" s="122" t="s">
        <v>8589</v>
      </c>
      <c r="LRL1" s="122" t="s">
        <v>8590</v>
      </c>
      <c r="LRM1" s="122" t="s">
        <v>8591</v>
      </c>
      <c r="LRN1" s="122" t="s">
        <v>8592</v>
      </c>
      <c r="LRO1" s="122" t="s">
        <v>8593</v>
      </c>
      <c r="LRP1" s="122" t="s">
        <v>8594</v>
      </c>
      <c r="LRQ1" s="122" t="s">
        <v>8595</v>
      </c>
      <c r="LRR1" s="122" t="s">
        <v>8596</v>
      </c>
      <c r="LRS1" s="122" t="s">
        <v>8597</v>
      </c>
      <c r="LRT1" s="122" t="s">
        <v>8598</v>
      </c>
      <c r="LRU1" s="122" t="s">
        <v>8599</v>
      </c>
      <c r="LRV1" s="122" t="s">
        <v>8600</v>
      </c>
      <c r="LRW1" s="122" t="s">
        <v>8601</v>
      </c>
      <c r="LRX1" s="122" t="s">
        <v>8602</v>
      </c>
      <c r="LRY1" s="122" t="s">
        <v>8603</v>
      </c>
      <c r="LRZ1" s="122" t="s">
        <v>8604</v>
      </c>
      <c r="LSA1" s="122" t="s">
        <v>8605</v>
      </c>
      <c r="LSB1" s="122" t="s">
        <v>8606</v>
      </c>
      <c r="LSC1" s="122" t="s">
        <v>8607</v>
      </c>
      <c r="LSD1" s="122" t="s">
        <v>8608</v>
      </c>
      <c r="LSE1" s="122" t="s">
        <v>8609</v>
      </c>
      <c r="LSF1" s="122" t="s">
        <v>8610</v>
      </c>
      <c r="LSG1" s="122" t="s">
        <v>8611</v>
      </c>
      <c r="LSH1" s="122" t="s">
        <v>8612</v>
      </c>
      <c r="LSI1" s="122" t="s">
        <v>8613</v>
      </c>
      <c r="LSJ1" s="122" t="s">
        <v>8614</v>
      </c>
      <c r="LSK1" s="122" t="s">
        <v>8615</v>
      </c>
      <c r="LSL1" s="122" t="s">
        <v>8616</v>
      </c>
      <c r="LSM1" s="122" t="s">
        <v>8617</v>
      </c>
      <c r="LSN1" s="122" t="s">
        <v>8618</v>
      </c>
      <c r="LSO1" s="122" t="s">
        <v>8619</v>
      </c>
      <c r="LSP1" s="122" t="s">
        <v>8620</v>
      </c>
      <c r="LSQ1" s="122" t="s">
        <v>8621</v>
      </c>
      <c r="LSR1" s="122" t="s">
        <v>8622</v>
      </c>
      <c r="LSS1" s="122" t="s">
        <v>8623</v>
      </c>
      <c r="LST1" s="122" t="s">
        <v>8624</v>
      </c>
      <c r="LSU1" s="122" t="s">
        <v>8625</v>
      </c>
      <c r="LSV1" s="122" t="s">
        <v>8626</v>
      </c>
      <c r="LSW1" s="122" t="s">
        <v>8627</v>
      </c>
      <c r="LSX1" s="122" t="s">
        <v>8628</v>
      </c>
      <c r="LSY1" s="122" t="s">
        <v>8629</v>
      </c>
      <c r="LSZ1" s="122" t="s">
        <v>8630</v>
      </c>
      <c r="LTA1" s="122" t="s">
        <v>8631</v>
      </c>
      <c r="LTB1" s="122" t="s">
        <v>8632</v>
      </c>
      <c r="LTC1" s="122" t="s">
        <v>8633</v>
      </c>
      <c r="LTD1" s="122" t="s">
        <v>8634</v>
      </c>
      <c r="LTE1" s="122" t="s">
        <v>8635</v>
      </c>
      <c r="LTF1" s="122" t="s">
        <v>8636</v>
      </c>
      <c r="LTG1" s="122" t="s">
        <v>8637</v>
      </c>
      <c r="LTH1" s="122" t="s">
        <v>8638</v>
      </c>
      <c r="LTI1" s="122" t="s">
        <v>8639</v>
      </c>
      <c r="LTJ1" s="122" t="s">
        <v>8640</v>
      </c>
      <c r="LTK1" s="122" t="s">
        <v>8641</v>
      </c>
      <c r="LTL1" s="122" t="s">
        <v>8642</v>
      </c>
      <c r="LTM1" s="122" t="s">
        <v>8643</v>
      </c>
      <c r="LTN1" s="122" t="s">
        <v>8644</v>
      </c>
      <c r="LTO1" s="122" t="s">
        <v>8645</v>
      </c>
      <c r="LTP1" s="122" t="s">
        <v>8646</v>
      </c>
      <c r="LTQ1" s="122" t="s">
        <v>8647</v>
      </c>
      <c r="LTR1" s="122" t="s">
        <v>8648</v>
      </c>
      <c r="LTS1" s="122" t="s">
        <v>8649</v>
      </c>
      <c r="LTT1" s="122" t="s">
        <v>8650</v>
      </c>
      <c r="LTU1" s="122" t="s">
        <v>8651</v>
      </c>
      <c r="LTV1" s="122" t="s">
        <v>8652</v>
      </c>
      <c r="LTW1" s="122" t="s">
        <v>8653</v>
      </c>
      <c r="LTX1" s="122" t="s">
        <v>8654</v>
      </c>
      <c r="LTY1" s="122" t="s">
        <v>8655</v>
      </c>
      <c r="LTZ1" s="122" t="s">
        <v>8656</v>
      </c>
      <c r="LUA1" s="122" t="s">
        <v>8657</v>
      </c>
      <c r="LUB1" s="122" t="s">
        <v>8658</v>
      </c>
      <c r="LUC1" s="122" t="s">
        <v>8659</v>
      </c>
      <c r="LUD1" s="122" t="s">
        <v>8660</v>
      </c>
      <c r="LUE1" s="122" t="s">
        <v>8661</v>
      </c>
      <c r="LUF1" s="122" t="s">
        <v>8662</v>
      </c>
      <c r="LUG1" s="122" t="s">
        <v>8663</v>
      </c>
      <c r="LUH1" s="122" t="s">
        <v>8664</v>
      </c>
      <c r="LUI1" s="122" t="s">
        <v>8665</v>
      </c>
      <c r="LUJ1" s="122" t="s">
        <v>8666</v>
      </c>
      <c r="LUK1" s="122" t="s">
        <v>8667</v>
      </c>
      <c r="LUL1" s="122" t="s">
        <v>8668</v>
      </c>
      <c r="LUM1" s="122" t="s">
        <v>8669</v>
      </c>
      <c r="LUN1" s="122" t="s">
        <v>8670</v>
      </c>
      <c r="LUO1" s="122" t="s">
        <v>8671</v>
      </c>
      <c r="LUP1" s="122" t="s">
        <v>8672</v>
      </c>
      <c r="LUQ1" s="122" t="s">
        <v>8673</v>
      </c>
      <c r="LUR1" s="122" t="s">
        <v>8674</v>
      </c>
      <c r="LUS1" s="122" t="s">
        <v>8675</v>
      </c>
      <c r="LUT1" s="122" t="s">
        <v>8676</v>
      </c>
      <c r="LUU1" s="122" t="s">
        <v>8677</v>
      </c>
      <c r="LUV1" s="122" t="s">
        <v>8678</v>
      </c>
      <c r="LUW1" s="122" t="s">
        <v>8679</v>
      </c>
      <c r="LUX1" s="122" t="s">
        <v>8680</v>
      </c>
      <c r="LUY1" s="122" t="s">
        <v>8681</v>
      </c>
      <c r="LUZ1" s="122" t="s">
        <v>8682</v>
      </c>
      <c r="LVA1" s="122" t="s">
        <v>8683</v>
      </c>
      <c r="LVB1" s="122" t="s">
        <v>8684</v>
      </c>
      <c r="LVC1" s="122" t="s">
        <v>8685</v>
      </c>
      <c r="LVD1" s="122" t="s">
        <v>8686</v>
      </c>
      <c r="LVE1" s="122" t="s">
        <v>8687</v>
      </c>
      <c r="LVF1" s="122" t="s">
        <v>8688</v>
      </c>
      <c r="LVG1" s="122" t="s">
        <v>8689</v>
      </c>
      <c r="LVH1" s="122" t="s">
        <v>8690</v>
      </c>
      <c r="LVI1" s="122" t="s">
        <v>8691</v>
      </c>
      <c r="LVJ1" s="122" t="s">
        <v>8692</v>
      </c>
      <c r="LVK1" s="122" t="s">
        <v>8693</v>
      </c>
      <c r="LVL1" s="122" t="s">
        <v>8694</v>
      </c>
      <c r="LVM1" s="122" t="s">
        <v>8695</v>
      </c>
      <c r="LVN1" s="122" t="s">
        <v>8696</v>
      </c>
      <c r="LVO1" s="122" t="s">
        <v>8697</v>
      </c>
      <c r="LVP1" s="122" t="s">
        <v>8698</v>
      </c>
      <c r="LVQ1" s="122" t="s">
        <v>8699</v>
      </c>
      <c r="LVR1" s="122" t="s">
        <v>8700</v>
      </c>
      <c r="LVS1" s="122" t="s">
        <v>8701</v>
      </c>
      <c r="LVT1" s="122" t="s">
        <v>8702</v>
      </c>
      <c r="LVU1" s="122" t="s">
        <v>8703</v>
      </c>
      <c r="LVV1" s="122" t="s">
        <v>8704</v>
      </c>
      <c r="LVW1" s="122" t="s">
        <v>8705</v>
      </c>
      <c r="LVX1" s="122" t="s">
        <v>8706</v>
      </c>
      <c r="LVY1" s="122" t="s">
        <v>8707</v>
      </c>
      <c r="LVZ1" s="122" t="s">
        <v>8708</v>
      </c>
      <c r="LWA1" s="122" t="s">
        <v>8709</v>
      </c>
      <c r="LWB1" s="122" t="s">
        <v>8710</v>
      </c>
      <c r="LWC1" s="122" t="s">
        <v>8711</v>
      </c>
      <c r="LWD1" s="122" t="s">
        <v>8712</v>
      </c>
      <c r="LWE1" s="122" t="s">
        <v>8713</v>
      </c>
      <c r="LWF1" s="122" t="s">
        <v>8714</v>
      </c>
      <c r="LWG1" s="122" t="s">
        <v>8715</v>
      </c>
      <c r="LWH1" s="122" t="s">
        <v>8716</v>
      </c>
      <c r="LWI1" s="122" t="s">
        <v>8717</v>
      </c>
      <c r="LWJ1" s="122" t="s">
        <v>8718</v>
      </c>
      <c r="LWK1" s="122" t="s">
        <v>8719</v>
      </c>
      <c r="LWL1" s="122" t="s">
        <v>8720</v>
      </c>
      <c r="LWM1" s="122" t="s">
        <v>8721</v>
      </c>
      <c r="LWN1" s="122" t="s">
        <v>8722</v>
      </c>
      <c r="LWO1" s="122" t="s">
        <v>8723</v>
      </c>
      <c r="LWP1" s="122" t="s">
        <v>8724</v>
      </c>
      <c r="LWQ1" s="122" t="s">
        <v>8725</v>
      </c>
      <c r="LWR1" s="122" t="s">
        <v>8726</v>
      </c>
      <c r="LWS1" s="122" t="s">
        <v>8727</v>
      </c>
      <c r="LWT1" s="122" t="s">
        <v>8728</v>
      </c>
      <c r="LWU1" s="122" t="s">
        <v>8729</v>
      </c>
      <c r="LWV1" s="122" t="s">
        <v>8730</v>
      </c>
      <c r="LWW1" s="122" t="s">
        <v>8731</v>
      </c>
      <c r="LWX1" s="122" t="s">
        <v>8732</v>
      </c>
      <c r="LWY1" s="122" t="s">
        <v>8733</v>
      </c>
      <c r="LWZ1" s="122" t="s">
        <v>8734</v>
      </c>
      <c r="LXA1" s="122" t="s">
        <v>8735</v>
      </c>
      <c r="LXB1" s="122" t="s">
        <v>8736</v>
      </c>
      <c r="LXC1" s="122" t="s">
        <v>8737</v>
      </c>
      <c r="LXD1" s="122" t="s">
        <v>8738</v>
      </c>
      <c r="LXE1" s="122" t="s">
        <v>8739</v>
      </c>
      <c r="LXF1" s="122" t="s">
        <v>8740</v>
      </c>
      <c r="LXG1" s="122" t="s">
        <v>8741</v>
      </c>
      <c r="LXH1" s="122" t="s">
        <v>8742</v>
      </c>
      <c r="LXI1" s="122" t="s">
        <v>8743</v>
      </c>
      <c r="LXJ1" s="122" t="s">
        <v>8744</v>
      </c>
      <c r="LXK1" s="122" t="s">
        <v>8745</v>
      </c>
      <c r="LXL1" s="122" t="s">
        <v>8746</v>
      </c>
      <c r="LXM1" s="122" t="s">
        <v>8747</v>
      </c>
      <c r="LXN1" s="122" t="s">
        <v>8748</v>
      </c>
      <c r="LXO1" s="122" t="s">
        <v>8749</v>
      </c>
      <c r="LXP1" s="122" t="s">
        <v>8750</v>
      </c>
      <c r="LXQ1" s="122" t="s">
        <v>8751</v>
      </c>
      <c r="LXR1" s="122" t="s">
        <v>8752</v>
      </c>
      <c r="LXS1" s="122" t="s">
        <v>8753</v>
      </c>
      <c r="LXT1" s="122" t="s">
        <v>8754</v>
      </c>
      <c r="LXU1" s="122" t="s">
        <v>8755</v>
      </c>
      <c r="LXV1" s="122" t="s">
        <v>8756</v>
      </c>
      <c r="LXW1" s="122" t="s">
        <v>8757</v>
      </c>
      <c r="LXX1" s="122" t="s">
        <v>8758</v>
      </c>
      <c r="LXY1" s="122" t="s">
        <v>8759</v>
      </c>
      <c r="LXZ1" s="122" t="s">
        <v>8760</v>
      </c>
      <c r="LYA1" s="122" t="s">
        <v>8761</v>
      </c>
      <c r="LYB1" s="122" t="s">
        <v>8762</v>
      </c>
      <c r="LYC1" s="122" t="s">
        <v>8763</v>
      </c>
      <c r="LYD1" s="122" t="s">
        <v>8764</v>
      </c>
      <c r="LYE1" s="122" t="s">
        <v>8765</v>
      </c>
      <c r="LYF1" s="122" t="s">
        <v>8766</v>
      </c>
      <c r="LYG1" s="122" t="s">
        <v>8767</v>
      </c>
      <c r="LYH1" s="122" t="s">
        <v>8768</v>
      </c>
      <c r="LYI1" s="122" t="s">
        <v>8769</v>
      </c>
      <c r="LYJ1" s="122" t="s">
        <v>8770</v>
      </c>
      <c r="LYK1" s="122" t="s">
        <v>8771</v>
      </c>
      <c r="LYL1" s="122" t="s">
        <v>8772</v>
      </c>
      <c r="LYM1" s="122" t="s">
        <v>8773</v>
      </c>
      <c r="LYN1" s="122" t="s">
        <v>8774</v>
      </c>
      <c r="LYO1" s="122" t="s">
        <v>8775</v>
      </c>
      <c r="LYP1" s="122" t="s">
        <v>8776</v>
      </c>
      <c r="LYQ1" s="122" t="s">
        <v>8777</v>
      </c>
      <c r="LYR1" s="122" t="s">
        <v>8778</v>
      </c>
      <c r="LYS1" s="122" t="s">
        <v>8779</v>
      </c>
      <c r="LYT1" s="122" t="s">
        <v>8780</v>
      </c>
      <c r="LYU1" s="122" t="s">
        <v>8781</v>
      </c>
      <c r="LYV1" s="122" t="s">
        <v>8782</v>
      </c>
      <c r="LYW1" s="122" t="s">
        <v>8783</v>
      </c>
      <c r="LYX1" s="122" t="s">
        <v>8784</v>
      </c>
      <c r="LYY1" s="122" t="s">
        <v>8785</v>
      </c>
      <c r="LYZ1" s="122" t="s">
        <v>8786</v>
      </c>
      <c r="LZA1" s="122" t="s">
        <v>8787</v>
      </c>
      <c r="LZB1" s="122" t="s">
        <v>8788</v>
      </c>
      <c r="LZC1" s="122" t="s">
        <v>8789</v>
      </c>
      <c r="LZD1" s="122" t="s">
        <v>8790</v>
      </c>
      <c r="LZE1" s="122" t="s">
        <v>8791</v>
      </c>
      <c r="LZF1" s="122" t="s">
        <v>8792</v>
      </c>
      <c r="LZG1" s="122" t="s">
        <v>8793</v>
      </c>
      <c r="LZH1" s="122" t="s">
        <v>8794</v>
      </c>
      <c r="LZI1" s="122" t="s">
        <v>8795</v>
      </c>
      <c r="LZJ1" s="122" t="s">
        <v>8796</v>
      </c>
      <c r="LZK1" s="122" t="s">
        <v>8797</v>
      </c>
      <c r="LZL1" s="122" t="s">
        <v>8798</v>
      </c>
      <c r="LZM1" s="122" t="s">
        <v>8799</v>
      </c>
      <c r="LZN1" s="122" t="s">
        <v>8800</v>
      </c>
      <c r="LZO1" s="122" t="s">
        <v>8801</v>
      </c>
      <c r="LZP1" s="122" t="s">
        <v>8802</v>
      </c>
      <c r="LZQ1" s="122" t="s">
        <v>8803</v>
      </c>
      <c r="LZR1" s="122" t="s">
        <v>8804</v>
      </c>
      <c r="LZS1" s="122" t="s">
        <v>8805</v>
      </c>
      <c r="LZT1" s="122" t="s">
        <v>8806</v>
      </c>
      <c r="LZU1" s="122" t="s">
        <v>8807</v>
      </c>
      <c r="LZV1" s="122" t="s">
        <v>8808</v>
      </c>
      <c r="LZW1" s="122" t="s">
        <v>8809</v>
      </c>
      <c r="LZX1" s="122" t="s">
        <v>8810</v>
      </c>
      <c r="LZY1" s="122" t="s">
        <v>8811</v>
      </c>
      <c r="LZZ1" s="122" t="s">
        <v>8812</v>
      </c>
      <c r="MAA1" s="122" t="s">
        <v>8813</v>
      </c>
      <c r="MAB1" s="122" t="s">
        <v>8814</v>
      </c>
      <c r="MAC1" s="122" t="s">
        <v>8815</v>
      </c>
      <c r="MAD1" s="122" t="s">
        <v>8816</v>
      </c>
      <c r="MAE1" s="122" t="s">
        <v>8817</v>
      </c>
      <c r="MAF1" s="122" t="s">
        <v>8818</v>
      </c>
      <c r="MAG1" s="122" t="s">
        <v>8819</v>
      </c>
      <c r="MAH1" s="122" t="s">
        <v>8820</v>
      </c>
      <c r="MAI1" s="122" t="s">
        <v>8821</v>
      </c>
      <c r="MAJ1" s="122" t="s">
        <v>8822</v>
      </c>
      <c r="MAK1" s="122" t="s">
        <v>8823</v>
      </c>
      <c r="MAL1" s="122" t="s">
        <v>8824</v>
      </c>
      <c r="MAM1" s="122" t="s">
        <v>8825</v>
      </c>
      <c r="MAN1" s="122" t="s">
        <v>8826</v>
      </c>
      <c r="MAO1" s="122" t="s">
        <v>8827</v>
      </c>
      <c r="MAP1" s="122" t="s">
        <v>8828</v>
      </c>
      <c r="MAQ1" s="122" t="s">
        <v>8829</v>
      </c>
      <c r="MAR1" s="122" t="s">
        <v>8830</v>
      </c>
      <c r="MAS1" s="122" t="s">
        <v>8831</v>
      </c>
      <c r="MAT1" s="122" t="s">
        <v>8832</v>
      </c>
      <c r="MAU1" s="122" t="s">
        <v>8833</v>
      </c>
      <c r="MAV1" s="122" t="s">
        <v>8834</v>
      </c>
      <c r="MAW1" s="122" t="s">
        <v>8835</v>
      </c>
      <c r="MAX1" s="122" t="s">
        <v>8836</v>
      </c>
      <c r="MAY1" s="122" t="s">
        <v>8837</v>
      </c>
      <c r="MAZ1" s="122" t="s">
        <v>8838</v>
      </c>
      <c r="MBA1" s="122" t="s">
        <v>8839</v>
      </c>
      <c r="MBB1" s="122" t="s">
        <v>8840</v>
      </c>
      <c r="MBC1" s="122" t="s">
        <v>8841</v>
      </c>
      <c r="MBD1" s="122" t="s">
        <v>8842</v>
      </c>
      <c r="MBE1" s="122" t="s">
        <v>8843</v>
      </c>
      <c r="MBF1" s="122" t="s">
        <v>8844</v>
      </c>
      <c r="MBG1" s="122" t="s">
        <v>8845</v>
      </c>
      <c r="MBH1" s="122" t="s">
        <v>8846</v>
      </c>
      <c r="MBI1" s="122" t="s">
        <v>8847</v>
      </c>
      <c r="MBJ1" s="122" t="s">
        <v>8848</v>
      </c>
      <c r="MBK1" s="122" t="s">
        <v>8849</v>
      </c>
      <c r="MBL1" s="122" t="s">
        <v>8850</v>
      </c>
      <c r="MBM1" s="122" t="s">
        <v>8851</v>
      </c>
      <c r="MBN1" s="122" t="s">
        <v>8852</v>
      </c>
      <c r="MBO1" s="122" t="s">
        <v>8853</v>
      </c>
      <c r="MBP1" s="122" t="s">
        <v>8854</v>
      </c>
      <c r="MBQ1" s="122" t="s">
        <v>8855</v>
      </c>
      <c r="MBR1" s="122" t="s">
        <v>8856</v>
      </c>
      <c r="MBS1" s="122" t="s">
        <v>8857</v>
      </c>
      <c r="MBT1" s="122" t="s">
        <v>8858</v>
      </c>
      <c r="MBU1" s="122" t="s">
        <v>8859</v>
      </c>
      <c r="MBV1" s="122" t="s">
        <v>8860</v>
      </c>
      <c r="MBW1" s="122" t="s">
        <v>8861</v>
      </c>
      <c r="MBX1" s="122" t="s">
        <v>8862</v>
      </c>
      <c r="MBY1" s="122" t="s">
        <v>8863</v>
      </c>
      <c r="MBZ1" s="122" t="s">
        <v>8864</v>
      </c>
      <c r="MCA1" s="122" t="s">
        <v>8865</v>
      </c>
      <c r="MCB1" s="122" t="s">
        <v>8866</v>
      </c>
      <c r="MCC1" s="122" t="s">
        <v>8867</v>
      </c>
      <c r="MCD1" s="122" t="s">
        <v>8868</v>
      </c>
      <c r="MCE1" s="122" t="s">
        <v>8869</v>
      </c>
      <c r="MCF1" s="122" t="s">
        <v>8870</v>
      </c>
      <c r="MCG1" s="122" t="s">
        <v>8871</v>
      </c>
      <c r="MCH1" s="122" t="s">
        <v>8872</v>
      </c>
      <c r="MCI1" s="122" t="s">
        <v>8873</v>
      </c>
      <c r="MCJ1" s="122" t="s">
        <v>8874</v>
      </c>
      <c r="MCK1" s="122" t="s">
        <v>8875</v>
      </c>
      <c r="MCL1" s="122" t="s">
        <v>8876</v>
      </c>
      <c r="MCM1" s="122" t="s">
        <v>8877</v>
      </c>
      <c r="MCN1" s="122" t="s">
        <v>8878</v>
      </c>
      <c r="MCO1" s="122" t="s">
        <v>8879</v>
      </c>
      <c r="MCP1" s="122" t="s">
        <v>8880</v>
      </c>
      <c r="MCQ1" s="122" t="s">
        <v>8881</v>
      </c>
      <c r="MCR1" s="122" t="s">
        <v>8882</v>
      </c>
      <c r="MCS1" s="122" t="s">
        <v>8883</v>
      </c>
      <c r="MCT1" s="122" t="s">
        <v>8884</v>
      </c>
      <c r="MCU1" s="122" t="s">
        <v>8885</v>
      </c>
      <c r="MCV1" s="122" t="s">
        <v>8886</v>
      </c>
      <c r="MCW1" s="122" t="s">
        <v>8887</v>
      </c>
      <c r="MCX1" s="122" t="s">
        <v>8888</v>
      </c>
      <c r="MCY1" s="122" t="s">
        <v>8889</v>
      </c>
      <c r="MCZ1" s="122" t="s">
        <v>8890</v>
      </c>
      <c r="MDA1" s="122" t="s">
        <v>8891</v>
      </c>
      <c r="MDB1" s="122" t="s">
        <v>8892</v>
      </c>
      <c r="MDC1" s="122" t="s">
        <v>8893</v>
      </c>
      <c r="MDD1" s="122" t="s">
        <v>8894</v>
      </c>
      <c r="MDE1" s="122" t="s">
        <v>8895</v>
      </c>
      <c r="MDF1" s="122" t="s">
        <v>8896</v>
      </c>
      <c r="MDG1" s="122" t="s">
        <v>8897</v>
      </c>
      <c r="MDH1" s="122" t="s">
        <v>8898</v>
      </c>
      <c r="MDI1" s="122" t="s">
        <v>8899</v>
      </c>
      <c r="MDJ1" s="122" t="s">
        <v>8900</v>
      </c>
      <c r="MDK1" s="122" t="s">
        <v>8901</v>
      </c>
      <c r="MDL1" s="122" t="s">
        <v>8902</v>
      </c>
      <c r="MDM1" s="122" t="s">
        <v>8903</v>
      </c>
      <c r="MDN1" s="122" t="s">
        <v>8904</v>
      </c>
      <c r="MDO1" s="122" t="s">
        <v>8905</v>
      </c>
      <c r="MDP1" s="122" t="s">
        <v>8906</v>
      </c>
      <c r="MDQ1" s="122" t="s">
        <v>8907</v>
      </c>
      <c r="MDR1" s="122" t="s">
        <v>8908</v>
      </c>
      <c r="MDS1" s="122" t="s">
        <v>8909</v>
      </c>
      <c r="MDT1" s="122" t="s">
        <v>8910</v>
      </c>
      <c r="MDU1" s="122" t="s">
        <v>8911</v>
      </c>
      <c r="MDV1" s="122" t="s">
        <v>8912</v>
      </c>
      <c r="MDW1" s="122" t="s">
        <v>8913</v>
      </c>
      <c r="MDX1" s="122" t="s">
        <v>8914</v>
      </c>
      <c r="MDY1" s="122" t="s">
        <v>8915</v>
      </c>
      <c r="MDZ1" s="122" t="s">
        <v>8916</v>
      </c>
      <c r="MEA1" s="122" t="s">
        <v>8917</v>
      </c>
      <c r="MEB1" s="122" t="s">
        <v>8918</v>
      </c>
      <c r="MEC1" s="122" t="s">
        <v>8919</v>
      </c>
      <c r="MED1" s="122" t="s">
        <v>8920</v>
      </c>
      <c r="MEE1" s="122" t="s">
        <v>8921</v>
      </c>
      <c r="MEF1" s="122" t="s">
        <v>8922</v>
      </c>
      <c r="MEG1" s="122" t="s">
        <v>8923</v>
      </c>
      <c r="MEH1" s="122" t="s">
        <v>8924</v>
      </c>
      <c r="MEI1" s="122" t="s">
        <v>8925</v>
      </c>
      <c r="MEJ1" s="122" t="s">
        <v>8926</v>
      </c>
      <c r="MEK1" s="122" t="s">
        <v>8927</v>
      </c>
      <c r="MEL1" s="122" t="s">
        <v>8928</v>
      </c>
      <c r="MEM1" s="122" t="s">
        <v>8929</v>
      </c>
      <c r="MEN1" s="122" t="s">
        <v>8930</v>
      </c>
      <c r="MEO1" s="122" t="s">
        <v>8931</v>
      </c>
      <c r="MEP1" s="122" t="s">
        <v>8932</v>
      </c>
      <c r="MEQ1" s="122" t="s">
        <v>8933</v>
      </c>
      <c r="MER1" s="122" t="s">
        <v>8934</v>
      </c>
      <c r="MES1" s="122" t="s">
        <v>8935</v>
      </c>
      <c r="MET1" s="122" t="s">
        <v>8936</v>
      </c>
      <c r="MEU1" s="122" t="s">
        <v>8937</v>
      </c>
      <c r="MEV1" s="122" t="s">
        <v>8938</v>
      </c>
      <c r="MEW1" s="122" t="s">
        <v>8939</v>
      </c>
      <c r="MEX1" s="122" t="s">
        <v>8940</v>
      </c>
      <c r="MEY1" s="122" t="s">
        <v>8941</v>
      </c>
      <c r="MEZ1" s="122" t="s">
        <v>8942</v>
      </c>
      <c r="MFA1" s="122" t="s">
        <v>8943</v>
      </c>
      <c r="MFB1" s="122" t="s">
        <v>8944</v>
      </c>
      <c r="MFC1" s="122" t="s">
        <v>8945</v>
      </c>
      <c r="MFD1" s="122" t="s">
        <v>8946</v>
      </c>
      <c r="MFE1" s="122" t="s">
        <v>8947</v>
      </c>
      <c r="MFF1" s="122" t="s">
        <v>8948</v>
      </c>
      <c r="MFG1" s="122" t="s">
        <v>8949</v>
      </c>
      <c r="MFH1" s="122" t="s">
        <v>8950</v>
      </c>
      <c r="MFI1" s="122" t="s">
        <v>8951</v>
      </c>
      <c r="MFJ1" s="122" t="s">
        <v>8952</v>
      </c>
      <c r="MFK1" s="122" t="s">
        <v>8953</v>
      </c>
      <c r="MFL1" s="122" t="s">
        <v>8954</v>
      </c>
      <c r="MFM1" s="122" t="s">
        <v>8955</v>
      </c>
      <c r="MFN1" s="122" t="s">
        <v>8956</v>
      </c>
      <c r="MFO1" s="122" t="s">
        <v>8957</v>
      </c>
      <c r="MFP1" s="122" t="s">
        <v>8958</v>
      </c>
      <c r="MFQ1" s="122" t="s">
        <v>8959</v>
      </c>
      <c r="MFR1" s="122" t="s">
        <v>8960</v>
      </c>
      <c r="MFS1" s="122" t="s">
        <v>8961</v>
      </c>
      <c r="MFT1" s="122" t="s">
        <v>8962</v>
      </c>
      <c r="MFU1" s="122" t="s">
        <v>8963</v>
      </c>
      <c r="MFV1" s="122" t="s">
        <v>8964</v>
      </c>
      <c r="MFW1" s="122" t="s">
        <v>8965</v>
      </c>
      <c r="MFX1" s="122" t="s">
        <v>8966</v>
      </c>
      <c r="MFY1" s="122" t="s">
        <v>8967</v>
      </c>
      <c r="MFZ1" s="122" t="s">
        <v>8968</v>
      </c>
      <c r="MGA1" s="122" t="s">
        <v>8969</v>
      </c>
      <c r="MGB1" s="122" t="s">
        <v>8970</v>
      </c>
      <c r="MGC1" s="122" t="s">
        <v>8971</v>
      </c>
      <c r="MGD1" s="122" t="s">
        <v>8972</v>
      </c>
      <c r="MGE1" s="122" t="s">
        <v>8973</v>
      </c>
      <c r="MGF1" s="122" t="s">
        <v>8974</v>
      </c>
      <c r="MGG1" s="122" t="s">
        <v>8975</v>
      </c>
      <c r="MGH1" s="122" t="s">
        <v>8976</v>
      </c>
      <c r="MGI1" s="122" t="s">
        <v>8977</v>
      </c>
      <c r="MGJ1" s="122" t="s">
        <v>8978</v>
      </c>
      <c r="MGK1" s="122" t="s">
        <v>8979</v>
      </c>
      <c r="MGL1" s="122" t="s">
        <v>8980</v>
      </c>
      <c r="MGM1" s="122" t="s">
        <v>8981</v>
      </c>
      <c r="MGN1" s="122" t="s">
        <v>8982</v>
      </c>
      <c r="MGO1" s="122" t="s">
        <v>8983</v>
      </c>
      <c r="MGP1" s="122" t="s">
        <v>8984</v>
      </c>
      <c r="MGQ1" s="122" t="s">
        <v>8985</v>
      </c>
      <c r="MGR1" s="122" t="s">
        <v>8986</v>
      </c>
      <c r="MGS1" s="122" t="s">
        <v>8987</v>
      </c>
      <c r="MGT1" s="122" t="s">
        <v>8988</v>
      </c>
      <c r="MGU1" s="122" t="s">
        <v>8989</v>
      </c>
      <c r="MGV1" s="122" t="s">
        <v>8990</v>
      </c>
      <c r="MGW1" s="122" t="s">
        <v>8991</v>
      </c>
      <c r="MGX1" s="122" t="s">
        <v>8992</v>
      </c>
      <c r="MGY1" s="122" t="s">
        <v>8993</v>
      </c>
      <c r="MGZ1" s="122" t="s">
        <v>8994</v>
      </c>
      <c r="MHA1" s="122" t="s">
        <v>8995</v>
      </c>
      <c r="MHB1" s="122" t="s">
        <v>8996</v>
      </c>
      <c r="MHC1" s="122" t="s">
        <v>8997</v>
      </c>
      <c r="MHD1" s="122" t="s">
        <v>8998</v>
      </c>
      <c r="MHE1" s="122" t="s">
        <v>8999</v>
      </c>
      <c r="MHF1" s="122" t="s">
        <v>9000</v>
      </c>
      <c r="MHG1" s="122" t="s">
        <v>9001</v>
      </c>
      <c r="MHH1" s="122" t="s">
        <v>9002</v>
      </c>
      <c r="MHI1" s="122" t="s">
        <v>9003</v>
      </c>
      <c r="MHJ1" s="122" t="s">
        <v>9004</v>
      </c>
      <c r="MHK1" s="122" t="s">
        <v>9005</v>
      </c>
      <c r="MHL1" s="122" t="s">
        <v>9006</v>
      </c>
      <c r="MHM1" s="122" t="s">
        <v>9007</v>
      </c>
      <c r="MHN1" s="122" t="s">
        <v>9008</v>
      </c>
      <c r="MHO1" s="122" t="s">
        <v>9009</v>
      </c>
      <c r="MHP1" s="122" t="s">
        <v>9010</v>
      </c>
      <c r="MHQ1" s="122" t="s">
        <v>9011</v>
      </c>
      <c r="MHR1" s="122" t="s">
        <v>9012</v>
      </c>
      <c r="MHS1" s="122" t="s">
        <v>9013</v>
      </c>
      <c r="MHT1" s="122" t="s">
        <v>9014</v>
      </c>
      <c r="MHU1" s="122" t="s">
        <v>9015</v>
      </c>
      <c r="MHV1" s="122" t="s">
        <v>9016</v>
      </c>
      <c r="MHW1" s="122" t="s">
        <v>9017</v>
      </c>
      <c r="MHX1" s="122" t="s">
        <v>9018</v>
      </c>
      <c r="MHY1" s="122" t="s">
        <v>9019</v>
      </c>
      <c r="MHZ1" s="122" t="s">
        <v>9020</v>
      </c>
      <c r="MIA1" s="122" t="s">
        <v>9021</v>
      </c>
      <c r="MIB1" s="122" t="s">
        <v>9022</v>
      </c>
      <c r="MIC1" s="122" t="s">
        <v>9023</v>
      </c>
      <c r="MID1" s="122" t="s">
        <v>9024</v>
      </c>
      <c r="MIE1" s="122" t="s">
        <v>9025</v>
      </c>
      <c r="MIF1" s="122" t="s">
        <v>9026</v>
      </c>
      <c r="MIG1" s="122" t="s">
        <v>9027</v>
      </c>
      <c r="MIH1" s="122" t="s">
        <v>9028</v>
      </c>
      <c r="MII1" s="122" t="s">
        <v>9029</v>
      </c>
      <c r="MIJ1" s="122" t="s">
        <v>9030</v>
      </c>
      <c r="MIK1" s="122" t="s">
        <v>9031</v>
      </c>
      <c r="MIL1" s="122" t="s">
        <v>9032</v>
      </c>
      <c r="MIM1" s="122" t="s">
        <v>9033</v>
      </c>
      <c r="MIN1" s="122" t="s">
        <v>9034</v>
      </c>
      <c r="MIO1" s="122" t="s">
        <v>9035</v>
      </c>
      <c r="MIP1" s="122" t="s">
        <v>9036</v>
      </c>
      <c r="MIQ1" s="122" t="s">
        <v>9037</v>
      </c>
      <c r="MIR1" s="122" t="s">
        <v>9038</v>
      </c>
      <c r="MIS1" s="122" t="s">
        <v>9039</v>
      </c>
      <c r="MIT1" s="122" t="s">
        <v>9040</v>
      </c>
      <c r="MIU1" s="122" t="s">
        <v>9041</v>
      </c>
      <c r="MIV1" s="122" t="s">
        <v>9042</v>
      </c>
      <c r="MIW1" s="122" t="s">
        <v>9043</v>
      </c>
      <c r="MIX1" s="122" t="s">
        <v>9044</v>
      </c>
      <c r="MIY1" s="122" t="s">
        <v>9045</v>
      </c>
      <c r="MIZ1" s="122" t="s">
        <v>9046</v>
      </c>
      <c r="MJA1" s="122" t="s">
        <v>9047</v>
      </c>
      <c r="MJB1" s="122" t="s">
        <v>9048</v>
      </c>
      <c r="MJC1" s="122" t="s">
        <v>9049</v>
      </c>
      <c r="MJD1" s="122" t="s">
        <v>9050</v>
      </c>
      <c r="MJE1" s="122" t="s">
        <v>9051</v>
      </c>
      <c r="MJF1" s="122" t="s">
        <v>9052</v>
      </c>
      <c r="MJG1" s="122" t="s">
        <v>9053</v>
      </c>
      <c r="MJH1" s="122" t="s">
        <v>9054</v>
      </c>
      <c r="MJI1" s="122" t="s">
        <v>9055</v>
      </c>
      <c r="MJJ1" s="122" t="s">
        <v>9056</v>
      </c>
      <c r="MJK1" s="122" t="s">
        <v>9057</v>
      </c>
      <c r="MJL1" s="122" t="s">
        <v>9058</v>
      </c>
      <c r="MJM1" s="122" t="s">
        <v>9059</v>
      </c>
      <c r="MJN1" s="122" t="s">
        <v>9060</v>
      </c>
      <c r="MJO1" s="122" t="s">
        <v>9061</v>
      </c>
      <c r="MJP1" s="122" t="s">
        <v>9062</v>
      </c>
      <c r="MJQ1" s="122" t="s">
        <v>9063</v>
      </c>
      <c r="MJR1" s="122" t="s">
        <v>9064</v>
      </c>
      <c r="MJS1" s="122" t="s">
        <v>9065</v>
      </c>
      <c r="MJT1" s="122" t="s">
        <v>9066</v>
      </c>
      <c r="MJU1" s="122" t="s">
        <v>9067</v>
      </c>
      <c r="MJV1" s="122" t="s">
        <v>9068</v>
      </c>
      <c r="MJW1" s="122" t="s">
        <v>9069</v>
      </c>
      <c r="MJX1" s="122" t="s">
        <v>9070</v>
      </c>
      <c r="MJY1" s="122" t="s">
        <v>9071</v>
      </c>
      <c r="MJZ1" s="122" t="s">
        <v>9072</v>
      </c>
      <c r="MKA1" s="122" t="s">
        <v>9073</v>
      </c>
      <c r="MKB1" s="122" t="s">
        <v>9074</v>
      </c>
      <c r="MKC1" s="122" t="s">
        <v>9075</v>
      </c>
      <c r="MKD1" s="122" t="s">
        <v>9076</v>
      </c>
      <c r="MKE1" s="122" t="s">
        <v>9077</v>
      </c>
      <c r="MKF1" s="122" t="s">
        <v>9078</v>
      </c>
      <c r="MKG1" s="122" t="s">
        <v>9079</v>
      </c>
      <c r="MKH1" s="122" t="s">
        <v>9080</v>
      </c>
      <c r="MKI1" s="122" t="s">
        <v>9081</v>
      </c>
      <c r="MKJ1" s="122" t="s">
        <v>9082</v>
      </c>
      <c r="MKK1" s="122" t="s">
        <v>9083</v>
      </c>
      <c r="MKL1" s="122" t="s">
        <v>9084</v>
      </c>
      <c r="MKM1" s="122" t="s">
        <v>9085</v>
      </c>
      <c r="MKN1" s="122" t="s">
        <v>9086</v>
      </c>
      <c r="MKO1" s="122" t="s">
        <v>9087</v>
      </c>
      <c r="MKP1" s="122" t="s">
        <v>9088</v>
      </c>
      <c r="MKQ1" s="122" t="s">
        <v>9089</v>
      </c>
      <c r="MKR1" s="122" t="s">
        <v>9090</v>
      </c>
      <c r="MKS1" s="122" t="s">
        <v>9091</v>
      </c>
      <c r="MKT1" s="122" t="s">
        <v>9092</v>
      </c>
      <c r="MKU1" s="122" t="s">
        <v>9093</v>
      </c>
      <c r="MKV1" s="122" t="s">
        <v>9094</v>
      </c>
      <c r="MKW1" s="122" t="s">
        <v>9095</v>
      </c>
      <c r="MKX1" s="122" t="s">
        <v>9096</v>
      </c>
      <c r="MKY1" s="122" t="s">
        <v>9097</v>
      </c>
      <c r="MKZ1" s="122" t="s">
        <v>9098</v>
      </c>
      <c r="MLA1" s="122" t="s">
        <v>9099</v>
      </c>
      <c r="MLB1" s="122" t="s">
        <v>9100</v>
      </c>
      <c r="MLC1" s="122" t="s">
        <v>9101</v>
      </c>
      <c r="MLD1" s="122" t="s">
        <v>9102</v>
      </c>
      <c r="MLE1" s="122" t="s">
        <v>9103</v>
      </c>
      <c r="MLF1" s="122" t="s">
        <v>9104</v>
      </c>
      <c r="MLG1" s="122" t="s">
        <v>9105</v>
      </c>
      <c r="MLH1" s="122" t="s">
        <v>9106</v>
      </c>
      <c r="MLI1" s="122" t="s">
        <v>9107</v>
      </c>
      <c r="MLJ1" s="122" t="s">
        <v>9108</v>
      </c>
      <c r="MLK1" s="122" t="s">
        <v>9109</v>
      </c>
      <c r="MLL1" s="122" t="s">
        <v>9110</v>
      </c>
      <c r="MLM1" s="122" t="s">
        <v>9111</v>
      </c>
      <c r="MLN1" s="122" t="s">
        <v>9112</v>
      </c>
      <c r="MLO1" s="122" t="s">
        <v>9113</v>
      </c>
      <c r="MLP1" s="122" t="s">
        <v>9114</v>
      </c>
      <c r="MLQ1" s="122" t="s">
        <v>9115</v>
      </c>
      <c r="MLR1" s="122" t="s">
        <v>9116</v>
      </c>
      <c r="MLS1" s="122" t="s">
        <v>9117</v>
      </c>
      <c r="MLT1" s="122" t="s">
        <v>9118</v>
      </c>
      <c r="MLU1" s="122" t="s">
        <v>9119</v>
      </c>
      <c r="MLV1" s="122" t="s">
        <v>9120</v>
      </c>
      <c r="MLW1" s="122" t="s">
        <v>9121</v>
      </c>
      <c r="MLX1" s="122" t="s">
        <v>9122</v>
      </c>
      <c r="MLY1" s="122" t="s">
        <v>9123</v>
      </c>
      <c r="MLZ1" s="122" t="s">
        <v>9124</v>
      </c>
      <c r="MMA1" s="122" t="s">
        <v>9125</v>
      </c>
      <c r="MMB1" s="122" t="s">
        <v>9126</v>
      </c>
      <c r="MMC1" s="122" t="s">
        <v>9127</v>
      </c>
      <c r="MMD1" s="122" t="s">
        <v>9128</v>
      </c>
      <c r="MME1" s="122" t="s">
        <v>9129</v>
      </c>
      <c r="MMF1" s="122" t="s">
        <v>9130</v>
      </c>
      <c r="MMG1" s="122" t="s">
        <v>9131</v>
      </c>
      <c r="MMH1" s="122" t="s">
        <v>9132</v>
      </c>
      <c r="MMI1" s="122" t="s">
        <v>9133</v>
      </c>
      <c r="MMJ1" s="122" t="s">
        <v>9134</v>
      </c>
      <c r="MMK1" s="122" t="s">
        <v>9135</v>
      </c>
      <c r="MML1" s="122" t="s">
        <v>9136</v>
      </c>
      <c r="MMM1" s="122" t="s">
        <v>9137</v>
      </c>
      <c r="MMN1" s="122" t="s">
        <v>9138</v>
      </c>
      <c r="MMO1" s="122" t="s">
        <v>9139</v>
      </c>
      <c r="MMP1" s="122" t="s">
        <v>9140</v>
      </c>
      <c r="MMQ1" s="122" t="s">
        <v>9141</v>
      </c>
      <c r="MMR1" s="122" t="s">
        <v>9142</v>
      </c>
      <c r="MMS1" s="122" t="s">
        <v>9143</v>
      </c>
      <c r="MMT1" s="122" t="s">
        <v>9144</v>
      </c>
      <c r="MMU1" s="122" t="s">
        <v>9145</v>
      </c>
      <c r="MMV1" s="122" t="s">
        <v>9146</v>
      </c>
      <c r="MMW1" s="122" t="s">
        <v>9147</v>
      </c>
      <c r="MMX1" s="122" t="s">
        <v>9148</v>
      </c>
      <c r="MMY1" s="122" t="s">
        <v>9149</v>
      </c>
      <c r="MMZ1" s="122" t="s">
        <v>9150</v>
      </c>
      <c r="MNA1" s="122" t="s">
        <v>9151</v>
      </c>
      <c r="MNB1" s="122" t="s">
        <v>9152</v>
      </c>
      <c r="MNC1" s="122" t="s">
        <v>9153</v>
      </c>
      <c r="MND1" s="122" t="s">
        <v>9154</v>
      </c>
      <c r="MNE1" s="122" t="s">
        <v>9155</v>
      </c>
      <c r="MNF1" s="122" t="s">
        <v>9156</v>
      </c>
      <c r="MNG1" s="122" t="s">
        <v>9157</v>
      </c>
      <c r="MNH1" s="122" t="s">
        <v>9158</v>
      </c>
      <c r="MNI1" s="122" t="s">
        <v>9159</v>
      </c>
      <c r="MNJ1" s="122" t="s">
        <v>9160</v>
      </c>
      <c r="MNK1" s="122" t="s">
        <v>9161</v>
      </c>
      <c r="MNL1" s="122" t="s">
        <v>9162</v>
      </c>
      <c r="MNM1" s="122" t="s">
        <v>9163</v>
      </c>
      <c r="MNN1" s="122" t="s">
        <v>9164</v>
      </c>
      <c r="MNO1" s="122" t="s">
        <v>9165</v>
      </c>
      <c r="MNP1" s="122" t="s">
        <v>9166</v>
      </c>
      <c r="MNQ1" s="122" t="s">
        <v>9167</v>
      </c>
      <c r="MNR1" s="122" t="s">
        <v>9168</v>
      </c>
      <c r="MNS1" s="122" t="s">
        <v>9169</v>
      </c>
      <c r="MNT1" s="122" t="s">
        <v>9170</v>
      </c>
      <c r="MNU1" s="122" t="s">
        <v>9171</v>
      </c>
      <c r="MNV1" s="122" t="s">
        <v>9172</v>
      </c>
      <c r="MNW1" s="122" t="s">
        <v>9173</v>
      </c>
      <c r="MNX1" s="122" t="s">
        <v>9174</v>
      </c>
      <c r="MNY1" s="122" t="s">
        <v>9175</v>
      </c>
      <c r="MNZ1" s="122" t="s">
        <v>9176</v>
      </c>
      <c r="MOA1" s="122" t="s">
        <v>9177</v>
      </c>
      <c r="MOB1" s="122" t="s">
        <v>9178</v>
      </c>
      <c r="MOC1" s="122" t="s">
        <v>9179</v>
      </c>
      <c r="MOD1" s="122" t="s">
        <v>9180</v>
      </c>
      <c r="MOE1" s="122" t="s">
        <v>9181</v>
      </c>
      <c r="MOF1" s="122" t="s">
        <v>9182</v>
      </c>
      <c r="MOG1" s="122" t="s">
        <v>9183</v>
      </c>
      <c r="MOH1" s="122" t="s">
        <v>9184</v>
      </c>
      <c r="MOI1" s="122" t="s">
        <v>9185</v>
      </c>
      <c r="MOJ1" s="122" t="s">
        <v>9186</v>
      </c>
      <c r="MOK1" s="122" t="s">
        <v>9187</v>
      </c>
      <c r="MOL1" s="122" t="s">
        <v>9188</v>
      </c>
      <c r="MOM1" s="122" t="s">
        <v>9189</v>
      </c>
      <c r="MON1" s="122" t="s">
        <v>9190</v>
      </c>
      <c r="MOO1" s="122" t="s">
        <v>9191</v>
      </c>
      <c r="MOP1" s="122" t="s">
        <v>9192</v>
      </c>
      <c r="MOQ1" s="122" t="s">
        <v>9193</v>
      </c>
      <c r="MOR1" s="122" t="s">
        <v>9194</v>
      </c>
      <c r="MOS1" s="122" t="s">
        <v>9195</v>
      </c>
      <c r="MOT1" s="122" t="s">
        <v>9196</v>
      </c>
      <c r="MOU1" s="122" t="s">
        <v>9197</v>
      </c>
      <c r="MOV1" s="122" t="s">
        <v>9198</v>
      </c>
      <c r="MOW1" s="122" t="s">
        <v>9199</v>
      </c>
      <c r="MOX1" s="122" t="s">
        <v>9200</v>
      </c>
      <c r="MOY1" s="122" t="s">
        <v>9201</v>
      </c>
      <c r="MOZ1" s="122" t="s">
        <v>9202</v>
      </c>
      <c r="MPA1" s="122" t="s">
        <v>9203</v>
      </c>
      <c r="MPB1" s="122" t="s">
        <v>9204</v>
      </c>
      <c r="MPC1" s="122" t="s">
        <v>9205</v>
      </c>
      <c r="MPD1" s="122" t="s">
        <v>9206</v>
      </c>
      <c r="MPE1" s="122" t="s">
        <v>9207</v>
      </c>
      <c r="MPF1" s="122" t="s">
        <v>9208</v>
      </c>
      <c r="MPG1" s="122" t="s">
        <v>9209</v>
      </c>
      <c r="MPH1" s="122" t="s">
        <v>9210</v>
      </c>
      <c r="MPI1" s="122" t="s">
        <v>9211</v>
      </c>
      <c r="MPJ1" s="122" t="s">
        <v>9212</v>
      </c>
      <c r="MPK1" s="122" t="s">
        <v>9213</v>
      </c>
      <c r="MPL1" s="122" t="s">
        <v>9214</v>
      </c>
      <c r="MPM1" s="122" t="s">
        <v>9215</v>
      </c>
      <c r="MPN1" s="122" t="s">
        <v>9216</v>
      </c>
      <c r="MPO1" s="122" t="s">
        <v>9217</v>
      </c>
      <c r="MPP1" s="122" t="s">
        <v>9218</v>
      </c>
      <c r="MPQ1" s="122" t="s">
        <v>9219</v>
      </c>
      <c r="MPR1" s="122" t="s">
        <v>9220</v>
      </c>
      <c r="MPS1" s="122" t="s">
        <v>9221</v>
      </c>
      <c r="MPT1" s="122" t="s">
        <v>9222</v>
      </c>
      <c r="MPU1" s="122" t="s">
        <v>9223</v>
      </c>
      <c r="MPV1" s="122" t="s">
        <v>9224</v>
      </c>
      <c r="MPW1" s="122" t="s">
        <v>9225</v>
      </c>
      <c r="MPX1" s="122" t="s">
        <v>9226</v>
      </c>
      <c r="MPY1" s="122" t="s">
        <v>9227</v>
      </c>
      <c r="MPZ1" s="122" t="s">
        <v>9228</v>
      </c>
      <c r="MQA1" s="122" t="s">
        <v>9229</v>
      </c>
      <c r="MQB1" s="122" t="s">
        <v>9230</v>
      </c>
      <c r="MQC1" s="122" t="s">
        <v>9231</v>
      </c>
      <c r="MQD1" s="122" t="s">
        <v>9232</v>
      </c>
      <c r="MQE1" s="122" t="s">
        <v>9233</v>
      </c>
      <c r="MQF1" s="122" t="s">
        <v>9234</v>
      </c>
      <c r="MQG1" s="122" t="s">
        <v>9235</v>
      </c>
      <c r="MQH1" s="122" t="s">
        <v>9236</v>
      </c>
      <c r="MQI1" s="122" t="s">
        <v>9237</v>
      </c>
      <c r="MQJ1" s="122" t="s">
        <v>9238</v>
      </c>
      <c r="MQK1" s="122" t="s">
        <v>9239</v>
      </c>
      <c r="MQL1" s="122" t="s">
        <v>9240</v>
      </c>
      <c r="MQM1" s="122" t="s">
        <v>9241</v>
      </c>
      <c r="MQN1" s="122" t="s">
        <v>9242</v>
      </c>
      <c r="MQO1" s="122" t="s">
        <v>9243</v>
      </c>
      <c r="MQP1" s="122" t="s">
        <v>9244</v>
      </c>
      <c r="MQQ1" s="122" t="s">
        <v>9245</v>
      </c>
      <c r="MQR1" s="122" t="s">
        <v>9246</v>
      </c>
      <c r="MQS1" s="122" t="s">
        <v>9247</v>
      </c>
      <c r="MQT1" s="122" t="s">
        <v>9248</v>
      </c>
      <c r="MQU1" s="122" t="s">
        <v>9249</v>
      </c>
      <c r="MQV1" s="122" t="s">
        <v>9250</v>
      </c>
      <c r="MQW1" s="122" t="s">
        <v>9251</v>
      </c>
      <c r="MQX1" s="122" t="s">
        <v>9252</v>
      </c>
      <c r="MQY1" s="122" t="s">
        <v>9253</v>
      </c>
      <c r="MQZ1" s="122" t="s">
        <v>9254</v>
      </c>
      <c r="MRA1" s="122" t="s">
        <v>9255</v>
      </c>
      <c r="MRB1" s="122" t="s">
        <v>9256</v>
      </c>
      <c r="MRC1" s="122" t="s">
        <v>9257</v>
      </c>
      <c r="MRD1" s="122" t="s">
        <v>9258</v>
      </c>
      <c r="MRE1" s="122" t="s">
        <v>9259</v>
      </c>
      <c r="MRF1" s="122" t="s">
        <v>9260</v>
      </c>
      <c r="MRG1" s="122" t="s">
        <v>9261</v>
      </c>
      <c r="MRH1" s="122" t="s">
        <v>9262</v>
      </c>
      <c r="MRI1" s="122" t="s">
        <v>9263</v>
      </c>
      <c r="MRJ1" s="122" t="s">
        <v>9264</v>
      </c>
      <c r="MRK1" s="122" t="s">
        <v>9265</v>
      </c>
      <c r="MRL1" s="122" t="s">
        <v>9266</v>
      </c>
      <c r="MRM1" s="122" t="s">
        <v>9267</v>
      </c>
      <c r="MRN1" s="122" t="s">
        <v>9268</v>
      </c>
      <c r="MRO1" s="122" t="s">
        <v>9269</v>
      </c>
      <c r="MRP1" s="122" t="s">
        <v>9270</v>
      </c>
      <c r="MRQ1" s="122" t="s">
        <v>9271</v>
      </c>
      <c r="MRR1" s="122" t="s">
        <v>9272</v>
      </c>
      <c r="MRS1" s="122" t="s">
        <v>9273</v>
      </c>
      <c r="MRT1" s="122" t="s">
        <v>9274</v>
      </c>
      <c r="MRU1" s="122" t="s">
        <v>9275</v>
      </c>
      <c r="MRV1" s="122" t="s">
        <v>9276</v>
      </c>
      <c r="MRW1" s="122" t="s">
        <v>9277</v>
      </c>
      <c r="MRX1" s="122" t="s">
        <v>9278</v>
      </c>
      <c r="MRY1" s="122" t="s">
        <v>9279</v>
      </c>
      <c r="MRZ1" s="122" t="s">
        <v>9280</v>
      </c>
      <c r="MSA1" s="122" t="s">
        <v>9281</v>
      </c>
      <c r="MSB1" s="122" t="s">
        <v>9282</v>
      </c>
      <c r="MSC1" s="122" t="s">
        <v>9283</v>
      </c>
      <c r="MSD1" s="122" t="s">
        <v>9284</v>
      </c>
      <c r="MSE1" s="122" t="s">
        <v>9285</v>
      </c>
      <c r="MSF1" s="122" t="s">
        <v>9286</v>
      </c>
      <c r="MSG1" s="122" t="s">
        <v>9287</v>
      </c>
      <c r="MSH1" s="122" t="s">
        <v>9288</v>
      </c>
      <c r="MSI1" s="122" t="s">
        <v>9289</v>
      </c>
      <c r="MSJ1" s="122" t="s">
        <v>9290</v>
      </c>
      <c r="MSK1" s="122" t="s">
        <v>9291</v>
      </c>
      <c r="MSL1" s="122" t="s">
        <v>9292</v>
      </c>
      <c r="MSM1" s="122" t="s">
        <v>9293</v>
      </c>
      <c r="MSN1" s="122" t="s">
        <v>9294</v>
      </c>
      <c r="MSO1" s="122" t="s">
        <v>9295</v>
      </c>
      <c r="MSP1" s="122" t="s">
        <v>9296</v>
      </c>
      <c r="MSQ1" s="122" t="s">
        <v>9297</v>
      </c>
      <c r="MSR1" s="122" t="s">
        <v>9298</v>
      </c>
      <c r="MSS1" s="122" t="s">
        <v>9299</v>
      </c>
      <c r="MST1" s="122" t="s">
        <v>9300</v>
      </c>
      <c r="MSU1" s="122" t="s">
        <v>9301</v>
      </c>
      <c r="MSV1" s="122" t="s">
        <v>9302</v>
      </c>
      <c r="MSW1" s="122" t="s">
        <v>9303</v>
      </c>
      <c r="MSX1" s="122" t="s">
        <v>9304</v>
      </c>
      <c r="MSY1" s="122" t="s">
        <v>9305</v>
      </c>
      <c r="MSZ1" s="122" t="s">
        <v>9306</v>
      </c>
      <c r="MTA1" s="122" t="s">
        <v>9307</v>
      </c>
      <c r="MTB1" s="122" t="s">
        <v>9308</v>
      </c>
      <c r="MTC1" s="122" t="s">
        <v>9309</v>
      </c>
      <c r="MTD1" s="122" t="s">
        <v>9310</v>
      </c>
      <c r="MTE1" s="122" t="s">
        <v>9311</v>
      </c>
      <c r="MTF1" s="122" t="s">
        <v>9312</v>
      </c>
      <c r="MTG1" s="122" t="s">
        <v>9313</v>
      </c>
      <c r="MTH1" s="122" t="s">
        <v>9314</v>
      </c>
      <c r="MTI1" s="122" t="s">
        <v>9315</v>
      </c>
      <c r="MTJ1" s="122" t="s">
        <v>9316</v>
      </c>
      <c r="MTK1" s="122" t="s">
        <v>9317</v>
      </c>
      <c r="MTL1" s="122" t="s">
        <v>9318</v>
      </c>
      <c r="MTM1" s="122" t="s">
        <v>9319</v>
      </c>
      <c r="MTN1" s="122" t="s">
        <v>9320</v>
      </c>
      <c r="MTO1" s="122" t="s">
        <v>9321</v>
      </c>
      <c r="MTP1" s="122" t="s">
        <v>9322</v>
      </c>
      <c r="MTQ1" s="122" t="s">
        <v>9323</v>
      </c>
      <c r="MTR1" s="122" t="s">
        <v>9324</v>
      </c>
      <c r="MTS1" s="122" t="s">
        <v>9325</v>
      </c>
      <c r="MTT1" s="122" t="s">
        <v>9326</v>
      </c>
      <c r="MTU1" s="122" t="s">
        <v>9327</v>
      </c>
      <c r="MTV1" s="122" t="s">
        <v>9328</v>
      </c>
      <c r="MTW1" s="122" t="s">
        <v>9329</v>
      </c>
      <c r="MTX1" s="122" t="s">
        <v>9330</v>
      </c>
      <c r="MTY1" s="122" t="s">
        <v>9331</v>
      </c>
      <c r="MTZ1" s="122" t="s">
        <v>9332</v>
      </c>
      <c r="MUA1" s="122" t="s">
        <v>9333</v>
      </c>
      <c r="MUB1" s="122" t="s">
        <v>9334</v>
      </c>
      <c r="MUC1" s="122" t="s">
        <v>9335</v>
      </c>
      <c r="MUD1" s="122" t="s">
        <v>9336</v>
      </c>
      <c r="MUE1" s="122" t="s">
        <v>9337</v>
      </c>
      <c r="MUF1" s="122" t="s">
        <v>9338</v>
      </c>
      <c r="MUG1" s="122" t="s">
        <v>9339</v>
      </c>
      <c r="MUH1" s="122" t="s">
        <v>9340</v>
      </c>
      <c r="MUI1" s="122" t="s">
        <v>9341</v>
      </c>
      <c r="MUJ1" s="122" t="s">
        <v>9342</v>
      </c>
      <c r="MUK1" s="122" t="s">
        <v>9343</v>
      </c>
      <c r="MUL1" s="122" t="s">
        <v>9344</v>
      </c>
      <c r="MUM1" s="122" t="s">
        <v>9345</v>
      </c>
      <c r="MUN1" s="122" t="s">
        <v>9346</v>
      </c>
      <c r="MUO1" s="122" t="s">
        <v>9347</v>
      </c>
      <c r="MUP1" s="122" t="s">
        <v>9348</v>
      </c>
      <c r="MUQ1" s="122" t="s">
        <v>9349</v>
      </c>
      <c r="MUR1" s="122" t="s">
        <v>9350</v>
      </c>
      <c r="MUS1" s="122" t="s">
        <v>9351</v>
      </c>
      <c r="MUT1" s="122" t="s">
        <v>9352</v>
      </c>
      <c r="MUU1" s="122" t="s">
        <v>9353</v>
      </c>
      <c r="MUV1" s="122" t="s">
        <v>9354</v>
      </c>
      <c r="MUW1" s="122" t="s">
        <v>9355</v>
      </c>
      <c r="MUX1" s="122" t="s">
        <v>9356</v>
      </c>
      <c r="MUY1" s="122" t="s">
        <v>9357</v>
      </c>
      <c r="MUZ1" s="122" t="s">
        <v>9358</v>
      </c>
      <c r="MVA1" s="122" t="s">
        <v>9359</v>
      </c>
      <c r="MVB1" s="122" t="s">
        <v>9360</v>
      </c>
      <c r="MVC1" s="122" t="s">
        <v>9361</v>
      </c>
      <c r="MVD1" s="122" t="s">
        <v>9362</v>
      </c>
      <c r="MVE1" s="122" t="s">
        <v>9363</v>
      </c>
      <c r="MVF1" s="122" t="s">
        <v>9364</v>
      </c>
      <c r="MVG1" s="122" t="s">
        <v>9365</v>
      </c>
      <c r="MVH1" s="122" t="s">
        <v>9366</v>
      </c>
      <c r="MVI1" s="122" t="s">
        <v>9367</v>
      </c>
      <c r="MVJ1" s="122" t="s">
        <v>9368</v>
      </c>
      <c r="MVK1" s="122" t="s">
        <v>9369</v>
      </c>
      <c r="MVL1" s="122" t="s">
        <v>9370</v>
      </c>
      <c r="MVM1" s="122" t="s">
        <v>9371</v>
      </c>
      <c r="MVN1" s="122" t="s">
        <v>9372</v>
      </c>
      <c r="MVO1" s="122" t="s">
        <v>9373</v>
      </c>
      <c r="MVP1" s="122" t="s">
        <v>9374</v>
      </c>
      <c r="MVQ1" s="122" t="s">
        <v>9375</v>
      </c>
      <c r="MVR1" s="122" t="s">
        <v>9376</v>
      </c>
      <c r="MVS1" s="122" t="s">
        <v>9377</v>
      </c>
      <c r="MVT1" s="122" t="s">
        <v>9378</v>
      </c>
      <c r="MVU1" s="122" t="s">
        <v>9379</v>
      </c>
      <c r="MVV1" s="122" t="s">
        <v>9380</v>
      </c>
      <c r="MVW1" s="122" t="s">
        <v>9381</v>
      </c>
      <c r="MVX1" s="122" t="s">
        <v>9382</v>
      </c>
      <c r="MVY1" s="122" t="s">
        <v>9383</v>
      </c>
      <c r="MVZ1" s="122" t="s">
        <v>9384</v>
      </c>
      <c r="MWA1" s="122" t="s">
        <v>9385</v>
      </c>
      <c r="MWB1" s="122" t="s">
        <v>9386</v>
      </c>
      <c r="MWC1" s="122" t="s">
        <v>9387</v>
      </c>
      <c r="MWD1" s="122" t="s">
        <v>9388</v>
      </c>
      <c r="MWE1" s="122" t="s">
        <v>9389</v>
      </c>
      <c r="MWF1" s="122" t="s">
        <v>9390</v>
      </c>
      <c r="MWG1" s="122" t="s">
        <v>9391</v>
      </c>
      <c r="MWH1" s="122" t="s">
        <v>9392</v>
      </c>
      <c r="MWI1" s="122" t="s">
        <v>9393</v>
      </c>
      <c r="MWJ1" s="122" t="s">
        <v>9394</v>
      </c>
      <c r="MWK1" s="122" t="s">
        <v>9395</v>
      </c>
      <c r="MWL1" s="122" t="s">
        <v>9396</v>
      </c>
      <c r="MWM1" s="122" t="s">
        <v>9397</v>
      </c>
      <c r="MWN1" s="122" t="s">
        <v>9398</v>
      </c>
      <c r="MWO1" s="122" t="s">
        <v>9399</v>
      </c>
      <c r="MWP1" s="122" t="s">
        <v>9400</v>
      </c>
      <c r="MWQ1" s="122" t="s">
        <v>9401</v>
      </c>
      <c r="MWR1" s="122" t="s">
        <v>9402</v>
      </c>
      <c r="MWS1" s="122" t="s">
        <v>9403</v>
      </c>
      <c r="MWT1" s="122" t="s">
        <v>9404</v>
      </c>
      <c r="MWU1" s="122" t="s">
        <v>9405</v>
      </c>
      <c r="MWV1" s="122" t="s">
        <v>9406</v>
      </c>
      <c r="MWW1" s="122" t="s">
        <v>9407</v>
      </c>
      <c r="MWX1" s="122" t="s">
        <v>9408</v>
      </c>
      <c r="MWY1" s="122" t="s">
        <v>9409</v>
      </c>
      <c r="MWZ1" s="122" t="s">
        <v>9410</v>
      </c>
      <c r="MXA1" s="122" t="s">
        <v>9411</v>
      </c>
      <c r="MXB1" s="122" t="s">
        <v>9412</v>
      </c>
      <c r="MXC1" s="122" t="s">
        <v>9413</v>
      </c>
      <c r="MXD1" s="122" t="s">
        <v>9414</v>
      </c>
      <c r="MXE1" s="122" t="s">
        <v>9415</v>
      </c>
      <c r="MXF1" s="122" t="s">
        <v>9416</v>
      </c>
      <c r="MXG1" s="122" t="s">
        <v>9417</v>
      </c>
      <c r="MXH1" s="122" t="s">
        <v>9418</v>
      </c>
      <c r="MXI1" s="122" t="s">
        <v>9419</v>
      </c>
      <c r="MXJ1" s="122" t="s">
        <v>9420</v>
      </c>
      <c r="MXK1" s="122" t="s">
        <v>9421</v>
      </c>
      <c r="MXL1" s="122" t="s">
        <v>9422</v>
      </c>
      <c r="MXM1" s="122" t="s">
        <v>9423</v>
      </c>
      <c r="MXN1" s="122" t="s">
        <v>9424</v>
      </c>
      <c r="MXO1" s="122" t="s">
        <v>9425</v>
      </c>
      <c r="MXP1" s="122" t="s">
        <v>9426</v>
      </c>
      <c r="MXQ1" s="122" t="s">
        <v>9427</v>
      </c>
      <c r="MXR1" s="122" t="s">
        <v>9428</v>
      </c>
      <c r="MXS1" s="122" t="s">
        <v>9429</v>
      </c>
      <c r="MXT1" s="122" t="s">
        <v>9430</v>
      </c>
      <c r="MXU1" s="122" t="s">
        <v>9431</v>
      </c>
      <c r="MXV1" s="122" t="s">
        <v>9432</v>
      </c>
      <c r="MXW1" s="122" t="s">
        <v>9433</v>
      </c>
      <c r="MXX1" s="122" t="s">
        <v>9434</v>
      </c>
      <c r="MXY1" s="122" t="s">
        <v>9435</v>
      </c>
      <c r="MXZ1" s="122" t="s">
        <v>9436</v>
      </c>
      <c r="MYA1" s="122" t="s">
        <v>9437</v>
      </c>
      <c r="MYB1" s="122" t="s">
        <v>9438</v>
      </c>
      <c r="MYC1" s="122" t="s">
        <v>9439</v>
      </c>
      <c r="MYD1" s="122" t="s">
        <v>9440</v>
      </c>
      <c r="MYE1" s="122" t="s">
        <v>9441</v>
      </c>
      <c r="MYF1" s="122" t="s">
        <v>9442</v>
      </c>
      <c r="MYG1" s="122" t="s">
        <v>9443</v>
      </c>
      <c r="MYH1" s="122" t="s">
        <v>9444</v>
      </c>
      <c r="MYI1" s="122" t="s">
        <v>9445</v>
      </c>
      <c r="MYJ1" s="122" t="s">
        <v>9446</v>
      </c>
      <c r="MYK1" s="122" t="s">
        <v>9447</v>
      </c>
      <c r="MYL1" s="122" t="s">
        <v>9448</v>
      </c>
      <c r="MYM1" s="122" t="s">
        <v>9449</v>
      </c>
      <c r="MYN1" s="122" t="s">
        <v>9450</v>
      </c>
      <c r="MYO1" s="122" t="s">
        <v>9451</v>
      </c>
      <c r="MYP1" s="122" t="s">
        <v>9452</v>
      </c>
      <c r="MYQ1" s="122" t="s">
        <v>9453</v>
      </c>
      <c r="MYR1" s="122" t="s">
        <v>9454</v>
      </c>
      <c r="MYS1" s="122" t="s">
        <v>9455</v>
      </c>
      <c r="MYT1" s="122" t="s">
        <v>9456</v>
      </c>
      <c r="MYU1" s="122" t="s">
        <v>9457</v>
      </c>
      <c r="MYV1" s="122" t="s">
        <v>9458</v>
      </c>
      <c r="MYW1" s="122" t="s">
        <v>9459</v>
      </c>
      <c r="MYX1" s="122" t="s">
        <v>9460</v>
      </c>
      <c r="MYY1" s="122" t="s">
        <v>9461</v>
      </c>
      <c r="MYZ1" s="122" t="s">
        <v>9462</v>
      </c>
      <c r="MZA1" s="122" t="s">
        <v>9463</v>
      </c>
      <c r="MZB1" s="122" t="s">
        <v>9464</v>
      </c>
      <c r="MZC1" s="122" t="s">
        <v>9465</v>
      </c>
      <c r="MZD1" s="122" t="s">
        <v>9466</v>
      </c>
      <c r="MZE1" s="122" t="s">
        <v>9467</v>
      </c>
      <c r="MZF1" s="122" t="s">
        <v>9468</v>
      </c>
      <c r="MZG1" s="122" t="s">
        <v>9469</v>
      </c>
      <c r="MZH1" s="122" t="s">
        <v>9470</v>
      </c>
      <c r="MZI1" s="122" t="s">
        <v>9471</v>
      </c>
      <c r="MZJ1" s="122" t="s">
        <v>9472</v>
      </c>
      <c r="MZK1" s="122" t="s">
        <v>9473</v>
      </c>
      <c r="MZL1" s="122" t="s">
        <v>9474</v>
      </c>
      <c r="MZM1" s="122" t="s">
        <v>9475</v>
      </c>
      <c r="MZN1" s="122" t="s">
        <v>9476</v>
      </c>
      <c r="MZO1" s="122" t="s">
        <v>9477</v>
      </c>
      <c r="MZP1" s="122" t="s">
        <v>9478</v>
      </c>
      <c r="MZQ1" s="122" t="s">
        <v>9479</v>
      </c>
      <c r="MZR1" s="122" t="s">
        <v>9480</v>
      </c>
      <c r="MZS1" s="122" t="s">
        <v>9481</v>
      </c>
      <c r="MZT1" s="122" t="s">
        <v>9482</v>
      </c>
      <c r="MZU1" s="122" t="s">
        <v>9483</v>
      </c>
      <c r="MZV1" s="122" t="s">
        <v>9484</v>
      </c>
      <c r="MZW1" s="122" t="s">
        <v>9485</v>
      </c>
      <c r="MZX1" s="122" t="s">
        <v>9486</v>
      </c>
      <c r="MZY1" s="122" t="s">
        <v>9487</v>
      </c>
      <c r="MZZ1" s="122" t="s">
        <v>9488</v>
      </c>
      <c r="NAA1" s="122" t="s">
        <v>9489</v>
      </c>
      <c r="NAB1" s="122" t="s">
        <v>9490</v>
      </c>
      <c r="NAC1" s="122" t="s">
        <v>9491</v>
      </c>
      <c r="NAD1" s="122" t="s">
        <v>9492</v>
      </c>
      <c r="NAE1" s="122" t="s">
        <v>9493</v>
      </c>
      <c r="NAF1" s="122" t="s">
        <v>9494</v>
      </c>
      <c r="NAG1" s="122" t="s">
        <v>9495</v>
      </c>
      <c r="NAH1" s="122" t="s">
        <v>9496</v>
      </c>
      <c r="NAI1" s="122" t="s">
        <v>9497</v>
      </c>
      <c r="NAJ1" s="122" t="s">
        <v>9498</v>
      </c>
      <c r="NAK1" s="122" t="s">
        <v>9499</v>
      </c>
      <c r="NAL1" s="122" t="s">
        <v>9500</v>
      </c>
      <c r="NAM1" s="122" t="s">
        <v>9501</v>
      </c>
      <c r="NAN1" s="122" t="s">
        <v>9502</v>
      </c>
      <c r="NAO1" s="122" t="s">
        <v>9503</v>
      </c>
      <c r="NAP1" s="122" t="s">
        <v>9504</v>
      </c>
      <c r="NAQ1" s="122" t="s">
        <v>9505</v>
      </c>
      <c r="NAR1" s="122" t="s">
        <v>9506</v>
      </c>
      <c r="NAS1" s="122" t="s">
        <v>9507</v>
      </c>
      <c r="NAT1" s="122" t="s">
        <v>9508</v>
      </c>
      <c r="NAU1" s="122" t="s">
        <v>9509</v>
      </c>
      <c r="NAV1" s="122" t="s">
        <v>9510</v>
      </c>
      <c r="NAW1" s="122" t="s">
        <v>9511</v>
      </c>
      <c r="NAX1" s="122" t="s">
        <v>9512</v>
      </c>
      <c r="NAY1" s="122" t="s">
        <v>9513</v>
      </c>
      <c r="NAZ1" s="122" t="s">
        <v>9514</v>
      </c>
      <c r="NBA1" s="122" t="s">
        <v>9515</v>
      </c>
      <c r="NBB1" s="122" t="s">
        <v>9516</v>
      </c>
      <c r="NBC1" s="122" t="s">
        <v>9517</v>
      </c>
      <c r="NBD1" s="122" t="s">
        <v>9518</v>
      </c>
      <c r="NBE1" s="122" t="s">
        <v>9519</v>
      </c>
      <c r="NBF1" s="122" t="s">
        <v>9520</v>
      </c>
      <c r="NBG1" s="122" t="s">
        <v>9521</v>
      </c>
      <c r="NBH1" s="122" t="s">
        <v>9522</v>
      </c>
      <c r="NBI1" s="122" t="s">
        <v>9523</v>
      </c>
      <c r="NBJ1" s="122" t="s">
        <v>9524</v>
      </c>
      <c r="NBK1" s="122" t="s">
        <v>9525</v>
      </c>
      <c r="NBL1" s="122" t="s">
        <v>9526</v>
      </c>
      <c r="NBM1" s="122" t="s">
        <v>9527</v>
      </c>
      <c r="NBN1" s="122" t="s">
        <v>9528</v>
      </c>
      <c r="NBO1" s="122" t="s">
        <v>9529</v>
      </c>
      <c r="NBP1" s="122" t="s">
        <v>9530</v>
      </c>
      <c r="NBQ1" s="122" t="s">
        <v>9531</v>
      </c>
      <c r="NBR1" s="122" t="s">
        <v>9532</v>
      </c>
      <c r="NBS1" s="122" t="s">
        <v>9533</v>
      </c>
      <c r="NBT1" s="122" t="s">
        <v>9534</v>
      </c>
      <c r="NBU1" s="122" t="s">
        <v>9535</v>
      </c>
      <c r="NBV1" s="122" t="s">
        <v>9536</v>
      </c>
      <c r="NBW1" s="122" t="s">
        <v>9537</v>
      </c>
      <c r="NBX1" s="122" t="s">
        <v>9538</v>
      </c>
      <c r="NBY1" s="122" t="s">
        <v>9539</v>
      </c>
      <c r="NBZ1" s="122" t="s">
        <v>9540</v>
      </c>
      <c r="NCA1" s="122" t="s">
        <v>9541</v>
      </c>
      <c r="NCB1" s="122" t="s">
        <v>9542</v>
      </c>
      <c r="NCC1" s="122" t="s">
        <v>9543</v>
      </c>
      <c r="NCD1" s="122" t="s">
        <v>9544</v>
      </c>
      <c r="NCE1" s="122" t="s">
        <v>9545</v>
      </c>
      <c r="NCF1" s="122" t="s">
        <v>9546</v>
      </c>
      <c r="NCG1" s="122" t="s">
        <v>9547</v>
      </c>
      <c r="NCH1" s="122" t="s">
        <v>9548</v>
      </c>
      <c r="NCI1" s="122" t="s">
        <v>9549</v>
      </c>
      <c r="NCJ1" s="122" t="s">
        <v>9550</v>
      </c>
      <c r="NCK1" s="122" t="s">
        <v>9551</v>
      </c>
      <c r="NCL1" s="122" t="s">
        <v>9552</v>
      </c>
      <c r="NCM1" s="122" t="s">
        <v>9553</v>
      </c>
      <c r="NCN1" s="122" t="s">
        <v>9554</v>
      </c>
      <c r="NCO1" s="122" t="s">
        <v>9555</v>
      </c>
      <c r="NCP1" s="122" t="s">
        <v>9556</v>
      </c>
      <c r="NCQ1" s="122" t="s">
        <v>9557</v>
      </c>
      <c r="NCR1" s="122" t="s">
        <v>9558</v>
      </c>
      <c r="NCS1" s="122" t="s">
        <v>9559</v>
      </c>
      <c r="NCT1" s="122" t="s">
        <v>9560</v>
      </c>
      <c r="NCU1" s="122" t="s">
        <v>9561</v>
      </c>
      <c r="NCV1" s="122" t="s">
        <v>9562</v>
      </c>
      <c r="NCW1" s="122" t="s">
        <v>9563</v>
      </c>
      <c r="NCX1" s="122" t="s">
        <v>9564</v>
      </c>
      <c r="NCY1" s="122" t="s">
        <v>9565</v>
      </c>
      <c r="NCZ1" s="122" t="s">
        <v>9566</v>
      </c>
      <c r="NDA1" s="122" t="s">
        <v>9567</v>
      </c>
      <c r="NDB1" s="122" t="s">
        <v>9568</v>
      </c>
      <c r="NDC1" s="122" t="s">
        <v>9569</v>
      </c>
      <c r="NDD1" s="122" t="s">
        <v>9570</v>
      </c>
      <c r="NDE1" s="122" t="s">
        <v>9571</v>
      </c>
      <c r="NDF1" s="122" t="s">
        <v>9572</v>
      </c>
      <c r="NDG1" s="122" t="s">
        <v>9573</v>
      </c>
      <c r="NDH1" s="122" t="s">
        <v>9574</v>
      </c>
      <c r="NDI1" s="122" t="s">
        <v>9575</v>
      </c>
      <c r="NDJ1" s="122" t="s">
        <v>9576</v>
      </c>
      <c r="NDK1" s="122" t="s">
        <v>9577</v>
      </c>
      <c r="NDL1" s="122" t="s">
        <v>9578</v>
      </c>
      <c r="NDM1" s="122" t="s">
        <v>9579</v>
      </c>
      <c r="NDN1" s="122" t="s">
        <v>9580</v>
      </c>
      <c r="NDO1" s="122" t="s">
        <v>9581</v>
      </c>
      <c r="NDP1" s="122" t="s">
        <v>9582</v>
      </c>
      <c r="NDQ1" s="122" t="s">
        <v>9583</v>
      </c>
      <c r="NDR1" s="122" t="s">
        <v>9584</v>
      </c>
      <c r="NDS1" s="122" t="s">
        <v>9585</v>
      </c>
      <c r="NDT1" s="122" t="s">
        <v>9586</v>
      </c>
      <c r="NDU1" s="122" t="s">
        <v>9587</v>
      </c>
      <c r="NDV1" s="122" t="s">
        <v>9588</v>
      </c>
      <c r="NDW1" s="122" t="s">
        <v>9589</v>
      </c>
      <c r="NDX1" s="122" t="s">
        <v>9590</v>
      </c>
      <c r="NDY1" s="122" t="s">
        <v>9591</v>
      </c>
      <c r="NDZ1" s="122" t="s">
        <v>9592</v>
      </c>
      <c r="NEA1" s="122" t="s">
        <v>9593</v>
      </c>
      <c r="NEB1" s="122" t="s">
        <v>9594</v>
      </c>
      <c r="NEC1" s="122" t="s">
        <v>9595</v>
      </c>
      <c r="NED1" s="122" t="s">
        <v>9596</v>
      </c>
      <c r="NEE1" s="122" t="s">
        <v>9597</v>
      </c>
      <c r="NEF1" s="122" t="s">
        <v>9598</v>
      </c>
      <c r="NEG1" s="122" t="s">
        <v>9599</v>
      </c>
      <c r="NEH1" s="122" t="s">
        <v>9600</v>
      </c>
      <c r="NEI1" s="122" t="s">
        <v>9601</v>
      </c>
      <c r="NEJ1" s="122" t="s">
        <v>9602</v>
      </c>
      <c r="NEK1" s="122" t="s">
        <v>9603</v>
      </c>
      <c r="NEL1" s="122" t="s">
        <v>9604</v>
      </c>
      <c r="NEM1" s="122" t="s">
        <v>9605</v>
      </c>
      <c r="NEN1" s="122" t="s">
        <v>9606</v>
      </c>
      <c r="NEO1" s="122" t="s">
        <v>9607</v>
      </c>
      <c r="NEP1" s="122" t="s">
        <v>9608</v>
      </c>
      <c r="NEQ1" s="122" t="s">
        <v>9609</v>
      </c>
      <c r="NER1" s="122" t="s">
        <v>9610</v>
      </c>
      <c r="NES1" s="122" t="s">
        <v>9611</v>
      </c>
      <c r="NET1" s="122" t="s">
        <v>9612</v>
      </c>
      <c r="NEU1" s="122" t="s">
        <v>9613</v>
      </c>
      <c r="NEV1" s="122" t="s">
        <v>9614</v>
      </c>
      <c r="NEW1" s="122" t="s">
        <v>9615</v>
      </c>
      <c r="NEX1" s="122" t="s">
        <v>9616</v>
      </c>
      <c r="NEY1" s="122" t="s">
        <v>9617</v>
      </c>
      <c r="NEZ1" s="122" t="s">
        <v>9618</v>
      </c>
      <c r="NFA1" s="122" t="s">
        <v>9619</v>
      </c>
      <c r="NFB1" s="122" t="s">
        <v>9620</v>
      </c>
      <c r="NFC1" s="122" t="s">
        <v>9621</v>
      </c>
      <c r="NFD1" s="122" t="s">
        <v>9622</v>
      </c>
      <c r="NFE1" s="122" t="s">
        <v>9623</v>
      </c>
      <c r="NFF1" s="122" t="s">
        <v>9624</v>
      </c>
      <c r="NFG1" s="122" t="s">
        <v>9625</v>
      </c>
      <c r="NFH1" s="122" t="s">
        <v>9626</v>
      </c>
      <c r="NFI1" s="122" t="s">
        <v>9627</v>
      </c>
      <c r="NFJ1" s="122" t="s">
        <v>9628</v>
      </c>
      <c r="NFK1" s="122" t="s">
        <v>9629</v>
      </c>
      <c r="NFL1" s="122" t="s">
        <v>9630</v>
      </c>
      <c r="NFM1" s="122" t="s">
        <v>9631</v>
      </c>
      <c r="NFN1" s="122" t="s">
        <v>9632</v>
      </c>
      <c r="NFO1" s="122" t="s">
        <v>9633</v>
      </c>
      <c r="NFP1" s="122" t="s">
        <v>9634</v>
      </c>
      <c r="NFQ1" s="122" t="s">
        <v>9635</v>
      </c>
      <c r="NFR1" s="122" t="s">
        <v>9636</v>
      </c>
      <c r="NFS1" s="122" t="s">
        <v>9637</v>
      </c>
      <c r="NFT1" s="122" t="s">
        <v>9638</v>
      </c>
      <c r="NFU1" s="122" t="s">
        <v>9639</v>
      </c>
      <c r="NFV1" s="122" t="s">
        <v>9640</v>
      </c>
      <c r="NFW1" s="122" t="s">
        <v>9641</v>
      </c>
      <c r="NFX1" s="122" t="s">
        <v>9642</v>
      </c>
      <c r="NFY1" s="122" t="s">
        <v>9643</v>
      </c>
      <c r="NFZ1" s="122" t="s">
        <v>9644</v>
      </c>
      <c r="NGA1" s="122" t="s">
        <v>9645</v>
      </c>
      <c r="NGB1" s="122" t="s">
        <v>9646</v>
      </c>
      <c r="NGC1" s="122" t="s">
        <v>9647</v>
      </c>
      <c r="NGD1" s="122" t="s">
        <v>9648</v>
      </c>
      <c r="NGE1" s="122" t="s">
        <v>9649</v>
      </c>
      <c r="NGF1" s="122" t="s">
        <v>9650</v>
      </c>
      <c r="NGG1" s="122" t="s">
        <v>9651</v>
      </c>
      <c r="NGH1" s="122" t="s">
        <v>9652</v>
      </c>
      <c r="NGI1" s="122" t="s">
        <v>9653</v>
      </c>
      <c r="NGJ1" s="122" t="s">
        <v>9654</v>
      </c>
      <c r="NGK1" s="122" t="s">
        <v>9655</v>
      </c>
      <c r="NGL1" s="122" t="s">
        <v>9656</v>
      </c>
      <c r="NGM1" s="122" t="s">
        <v>9657</v>
      </c>
      <c r="NGN1" s="122" t="s">
        <v>9658</v>
      </c>
      <c r="NGO1" s="122" t="s">
        <v>9659</v>
      </c>
      <c r="NGP1" s="122" t="s">
        <v>9660</v>
      </c>
      <c r="NGQ1" s="122" t="s">
        <v>9661</v>
      </c>
      <c r="NGR1" s="122" t="s">
        <v>9662</v>
      </c>
      <c r="NGS1" s="122" t="s">
        <v>9663</v>
      </c>
      <c r="NGT1" s="122" t="s">
        <v>9664</v>
      </c>
      <c r="NGU1" s="122" t="s">
        <v>9665</v>
      </c>
      <c r="NGV1" s="122" t="s">
        <v>9666</v>
      </c>
      <c r="NGW1" s="122" t="s">
        <v>9667</v>
      </c>
      <c r="NGX1" s="122" t="s">
        <v>9668</v>
      </c>
      <c r="NGY1" s="122" t="s">
        <v>9669</v>
      </c>
      <c r="NGZ1" s="122" t="s">
        <v>9670</v>
      </c>
      <c r="NHA1" s="122" t="s">
        <v>9671</v>
      </c>
      <c r="NHB1" s="122" t="s">
        <v>9672</v>
      </c>
      <c r="NHC1" s="122" t="s">
        <v>9673</v>
      </c>
      <c r="NHD1" s="122" t="s">
        <v>9674</v>
      </c>
      <c r="NHE1" s="122" t="s">
        <v>9675</v>
      </c>
      <c r="NHF1" s="122" t="s">
        <v>9676</v>
      </c>
      <c r="NHG1" s="122" t="s">
        <v>9677</v>
      </c>
      <c r="NHH1" s="122" t="s">
        <v>9678</v>
      </c>
      <c r="NHI1" s="122" t="s">
        <v>9679</v>
      </c>
      <c r="NHJ1" s="122" t="s">
        <v>9680</v>
      </c>
      <c r="NHK1" s="122" t="s">
        <v>9681</v>
      </c>
      <c r="NHL1" s="122" t="s">
        <v>9682</v>
      </c>
      <c r="NHM1" s="122" t="s">
        <v>9683</v>
      </c>
      <c r="NHN1" s="122" t="s">
        <v>9684</v>
      </c>
      <c r="NHO1" s="122" t="s">
        <v>9685</v>
      </c>
      <c r="NHP1" s="122" t="s">
        <v>9686</v>
      </c>
      <c r="NHQ1" s="122" t="s">
        <v>9687</v>
      </c>
      <c r="NHR1" s="122" t="s">
        <v>9688</v>
      </c>
      <c r="NHS1" s="122" t="s">
        <v>9689</v>
      </c>
      <c r="NHT1" s="122" t="s">
        <v>9690</v>
      </c>
      <c r="NHU1" s="122" t="s">
        <v>9691</v>
      </c>
      <c r="NHV1" s="122" t="s">
        <v>9692</v>
      </c>
      <c r="NHW1" s="122" t="s">
        <v>9693</v>
      </c>
      <c r="NHX1" s="122" t="s">
        <v>9694</v>
      </c>
      <c r="NHY1" s="122" t="s">
        <v>9695</v>
      </c>
      <c r="NHZ1" s="122" t="s">
        <v>9696</v>
      </c>
      <c r="NIA1" s="122" t="s">
        <v>9697</v>
      </c>
      <c r="NIB1" s="122" t="s">
        <v>9698</v>
      </c>
      <c r="NIC1" s="122" t="s">
        <v>9699</v>
      </c>
      <c r="NID1" s="122" t="s">
        <v>9700</v>
      </c>
      <c r="NIE1" s="122" t="s">
        <v>9701</v>
      </c>
      <c r="NIF1" s="122" t="s">
        <v>9702</v>
      </c>
      <c r="NIG1" s="122" t="s">
        <v>9703</v>
      </c>
      <c r="NIH1" s="122" t="s">
        <v>9704</v>
      </c>
      <c r="NII1" s="122" t="s">
        <v>9705</v>
      </c>
      <c r="NIJ1" s="122" t="s">
        <v>9706</v>
      </c>
      <c r="NIK1" s="122" t="s">
        <v>9707</v>
      </c>
      <c r="NIL1" s="122" t="s">
        <v>9708</v>
      </c>
      <c r="NIM1" s="122" t="s">
        <v>9709</v>
      </c>
      <c r="NIN1" s="122" t="s">
        <v>9710</v>
      </c>
      <c r="NIO1" s="122" t="s">
        <v>9711</v>
      </c>
      <c r="NIP1" s="122" t="s">
        <v>9712</v>
      </c>
      <c r="NIQ1" s="122" t="s">
        <v>9713</v>
      </c>
      <c r="NIR1" s="122" t="s">
        <v>9714</v>
      </c>
      <c r="NIS1" s="122" t="s">
        <v>9715</v>
      </c>
      <c r="NIT1" s="122" t="s">
        <v>9716</v>
      </c>
      <c r="NIU1" s="122" t="s">
        <v>9717</v>
      </c>
      <c r="NIV1" s="122" t="s">
        <v>9718</v>
      </c>
      <c r="NIW1" s="122" t="s">
        <v>9719</v>
      </c>
      <c r="NIX1" s="122" t="s">
        <v>9720</v>
      </c>
      <c r="NIY1" s="122" t="s">
        <v>9721</v>
      </c>
      <c r="NIZ1" s="122" t="s">
        <v>9722</v>
      </c>
      <c r="NJA1" s="122" t="s">
        <v>9723</v>
      </c>
      <c r="NJB1" s="122" t="s">
        <v>9724</v>
      </c>
      <c r="NJC1" s="122" t="s">
        <v>9725</v>
      </c>
      <c r="NJD1" s="122" t="s">
        <v>9726</v>
      </c>
      <c r="NJE1" s="122" t="s">
        <v>9727</v>
      </c>
      <c r="NJF1" s="122" t="s">
        <v>9728</v>
      </c>
      <c r="NJG1" s="122" t="s">
        <v>9729</v>
      </c>
      <c r="NJH1" s="122" t="s">
        <v>9730</v>
      </c>
      <c r="NJI1" s="122" t="s">
        <v>9731</v>
      </c>
      <c r="NJJ1" s="122" t="s">
        <v>9732</v>
      </c>
      <c r="NJK1" s="122" t="s">
        <v>9733</v>
      </c>
      <c r="NJL1" s="122" t="s">
        <v>9734</v>
      </c>
      <c r="NJM1" s="122" t="s">
        <v>9735</v>
      </c>
      <c r="NJN1" s="122" t="s">
        <v>9736</v>
      </c>
      <c r="NJO1" s="122" t="s">
        <v>9737</v>
      </c>
      <c r="NJP1" s="122" t="s">
        <v>9738</v>
      </c>
      <c r="NJQ1" s="122" t="s">
        <v>9739</v>
      </c>
      <c r="NJR1" s="122" t="s">
        <v>9740</v>
      </c>
      <c r="NJS1" s="122" t="s">
        <v>9741</v>
      </c>
      <c r="NJT1" s="122" t="s">
        <v>9742</v>
      </c>
      <c r="NJU1" s="122" t="s">
        <v>9743</v>
      </c>
      <c r="NJV1" s="122" t="s">
        <v>9744</v>
      </c>
      <c r="NJW1" s="122" t="s">
        <v>9745</v>
      </c>
      <c r="NJX1" s="122" t="s">
        <v>9746</v>
      </c>
      <c r="NJY1" s="122" t="s">
        <v>9747</v>
      </c>
      <c r="NJZ1" s="122" t="s">
        <v>9748</v>
      </c>
      <c r="NKA1" s="122" t="s">
        <v>9749</v>
      </c>
      <c r="NKB1" s="122" t="s">
        <v>9750</v>
      </c>
      <c r="NKC1" s="122" t="s">
        <v>9751</v>
      </c>
      <c r="NKD1" s="122" t="s">
        <v>9752</v>
      </c>
      <c r="NKE1" s="122" t="s">
        <v>9753</v>
      </c>
      <c r="NKF1" s="122" t="s">
        <v>9754</v>
      </c>
      <c r="NKG1" s="122" t="s">
        <v>9755</v>
      </c>
      <c r="NKH1" s="122" t="s">
        <v>9756</v>
      </c>
      <c r="NKI1" s="122" t="s">
        <v>9757</v>
      </c>
      <c r="NKJ1" s="122" t="s">
        <v>9758</v>
      </c>
      <c r="NKK1" s="122" t="s">
        <v>9759</v>
      </c>
      <c r="NKL1" s="122" t="s">
        <v>9760</v>
      </c>
      <c r="NKM1" s="122" t="s">
        <v>9761</v>
      </c>
      <c r="NKN1" s="122" t="s">
        <v>9762</v>
      </c>
      <c r="NKO1" s="122" t="s">
        <v>9763</v>
      </c>
      <c r="NKP1" s="122" t="s">
        <v>9764</v>
      </c>
      <c r="NKQ1" s="122" t="s">
        <v>9765</v>
      </c>
      <c r="NKR1" s="122" t="s">
        <v>9766</v>
      </c>
      <c r="NKS1" s="122" t="s">
        <v>9767</v>
      </c>
      <c r="NKT1" s="122" t="s">
        <v>9768</v>
      </c>
      <c r="NKU1" s="122" t="s">
        <v>9769</v>
      </c>
      <c r="NKV1" s="122" t="s">
        <v>9770</v>
      </c>
      <c r="NKW1" s="122" t="s">
        <v>9771</v>
      </c>
      <c r="NKX1" s="122" t="s">
        <v>9772</v>
      </c>
      <c r="NKY1" s="122" t="s">
        <v>9773</v>
      </c>
      <c r="NKZ1" s="122" t="s">
        <v>9774</v>
      </c>
      <c r="NLA1" s="122" t="s">
        <v>9775</v>
      </c>
      <c r="NLB1" s="122" t="s">
        <v>9776</v>
      </c>
      <c r="NLC1" s="122" t="s">
        <v>9777</v>
      </c>
      <c r="NLD1" s="122" t="s">
        <v>9778</v>
      </c>
      <c r="NLE1" s="122" t="s">
        <v>9779</v>
      </c>
      <c r="NLF1" s="122" t="s">
        <v>9780</v>
      </c>
      <c r="NLG1" s="122" t="s">
        <v>9781</v>
      </c>
      <c r="NLH1" s="122" t="s">
        <v>9782</v>
      </c>
      <c r="NLI1" s="122" t="s">
        <v>9783</v>
      </c>
      <c r="NLJ1" s="122" t="s">
        <v>9784</v>
      </c>
      <c r="NLK1" s="122" t="s">
        <v>9785</v>
      </c>
      <c r="NLL1" s="122" t="s">
        <v>9786</v>
      </c>
      <c r="NLM1" s="122" t="s">
        <v>9787</v>
      </c>
      <c r="NLN1" s="122" t="s">
        <v>9788</v>
      </c>
      <c r="NLO1" s="122" t="s">
        <v>9789</v>
      </c>
      <c r="NLP1" s="122" t="s">
        <v>9790</v>
      </c>
      <c r="NLQ1" s="122" t="s">
        <v>9791</v>
      </c>
      <c r="NLR1" s="122" t="s">
        <v>9792</v>
      </c>
      <c r="NLS1" s="122" t="s">
        <v>9793</v>
      </c>
      <c r="NLT1" s="122" t="s">
        <v>9794</v>
      </c>
      <c r="NLU1" s="122" t="s">
        <v>9795</v>
      </c>
      <c r="NLV1" s="122" t="s">
        <v>9796</v>
      </c>
      <c r="NLW1" s="122" t="s">
        <v>9797</v>
      </c>
      <c r="NLX1" s="122" t="s">
        <v>9798</v>
      </c>
      <c r="NLY1" s="122" t="s">
        <v>9799</v>
      </c>
      <c r="NLZ1" s="122" t="s">
        <v>9800</v>
      </c>
      <c r="NMA1" s="122" t="s">
        <v>9801</v>
      </c>
      <c r="NMB1" s="122" t="s">
        <v>9802</v>
      </c>
      <c r="NMC1" s="122" t="s">
        <v>9803</v>
      </c>
      <c r="NMD1" s="122" t="s">
        <v>9804</v>
      </c>
      <c r="NME1" s="122" t="s">
        <v>9805</v>
      </c>
      <c r="NMF1" s="122" t="s">
        <v>9806</v>
      </c>
      <c r="NMG1" s="122" t="s">
        <v>9807</v>
      </c>
      <c r="NMH1" s="122" t="s">
        <v>9808</v>
      </c>
      <c r="NMI1" s="122" t="s">
        <v>9809</v>
      </c>
      <c r="NMJ1" s="122" t="s">
        <v>9810</v>
      </c>
      <c r="NMK1" s="122" t="s">
        <v>9811</v>
      </c>
      <c r="NML1" s="122" t="s">
        <v>9812</v>
      </c>
      <c r="NMM1" s="122" t="s">
        <v>9813</v>
      </c>
      <c r="NMN1" s="122" t="s">
        <v>9814</v>
      </c>
      <c r="NMO1" s="122" t="s">
        <v>9815</v>
      </c>
      <c r="NMP1" s="122" t="s">
        <v>9816</v>
      </c>
      <c r="NMQ1" s="122" t="s">
        <v>9817</v>
      </c>
      <c r="NMR1" s="122" t="s">
        <v>9818</v>
      </c>
      <c r="NMS1" s="122" t="s">
        <v>9819</v>
      </c>
      <c r="NMT1" s="122" t="s">
        <v>9820</v>
      </c>
      <c r="NMU1" s="122" t="s">
        <v>9821</v>
      </c>
      <c r="NMV1" s="122" t="s">
        <v>9822</v>
      </c>
      <c r="NMW1" s="122" t="s">
        <v>9823</v>
      </c>
      <c r="NMX1" s="122" t="s">
        <v>9824</v>
      </c>
      <c r="NMY1" s="122" t="s">
        <v>9825</v>
      </c>
      <c r="NMZ1" s="122" t="s">
        <v>9826</v>
      </c>
      <c r="NNA1" s="122" t="s">
        <v>9827</v>
      </c>
      <c r="NNB1" s="122" t="s">
        <v>9828</v>
      </c>
      <c r="NNC1" s="122" t="s">
        <v>9829</v>
      </c>
      <c r="NND1" s="122" t="s">
        <v>9830</v>
      </c>
      <c r="NNE1" s="122" t="s">
        <v>9831</v>
      </c>
      <c r="NNF1" s="122" t="s">
        <v>9832</v>
      </c>
      <c r="NNG1" s="122" t="s">
        <v>9833</v>
      </c>
      <c r="NNH1" s="122" t="s">
        <v>9834</v>
      </c>
      <c r="NNI1" s="122" t="s">
        <v>9835</v>
      </c>
      <c r="NNJ1" s="122" t="s">
        <v>9836</v>
      </c>
      <c r="NNK1" s="122" t="s">
        <v>9837</v>
      </c>
      <c r="NNL1" s="122" t="s">
        <v>9838</v>
      </c>
      <c r="NNM1" s="122" t="s">
        <v>9839</v>
      </c>
      <c r="NNN1" s="122" t="s">
        <v>9840</v>
      </c>
      <c r="NNO1" s="122" t="s">
        <v>9841</v>
      </c>
      <c r="NNP1" s="122" t="s">
        <v>9842</v>
      </c>
      <c r="NNQ1" s="122" t="s">
        <v>9843</v>
      </c>
      <c r="NNR1" s="122" t="s">
        <v>9844</v>
      </c>
      <c r="NNS1" s="122" t="s">
        <v>9845</v>
      </c>
      <c r="NNT1" s="122" t="s">
        <v>9846</v>
      </c>
      <c r="NNU1" s="122" t="s">
        <v>9847</v>
      </c>
      <c r="NNV1" s="122" t="s">
        <v>9848</v>
      </c>
      <c r="NNW1" s="122" t="s">
        <v>9849</v>
      </c>
      <c r="NNX1" s="122" t="s">
        <v>9850</v>
      </c>
      <c r="NNY1" s="122" t="s">
        <v>9851</v>
      </c>
      <c r="NNZ1" s="122" t="s">
        <v>9852</v>
      </c>
      <c r="NOA1" s="122" t="s">
        <v>9853</v>
      </c>
      <c r="NOB1" s="122" t="s">
        <v>9854</v>
      </c>
      <c r="NOC1" s="122" t="s">
        <v>9855</v>
      </c>
      <c r="NOD1" s="122" t="s">
        <v>9856</v>
      </c>
      <c r="NOE1" s="122" t="s">
        <v>9857</v>
      </c>
      <c r="NOF1" s="122" t="s">
        <v>9858</v>
      </c>
      <c r="NOG1" s="122" t="s">
        <v>9859</v>
      </c>
      <c r="NOH1" s="122" t="s">
        <v>9860</v>
      </c>
      <c r="NOI1" s="122" t="s">
        <v>9861</v>
      </c>
      <c r="NOJ1" s="122" t="s">
        <v>9862</v>
      </c>
      <c r="NOK1" s="122" t="s">
        <v>9863</v>
      </c>
      <c r="NOL1" s="122" t="s">
        <v>9864</v>
      </c>
      <c r="NOM1" s="122" t="s">
        <v>9865</v>
      </c>
      <c r="NON1" s="122" t="s">
        <v>9866</v>
      </c>
      <c r="NOO1" s="122" t="s">
        <v>9867</v>
      </c>
      <c r="NOP1" s="122" t="s">
        <v>9868</v>
      </c>
      <c r="NOQ1" s="122" t="s">
        <v>9869</v>
      </c>
      <c r="NOR1" s="122" t="s">
        <v>9870</v>
      </c>
      <c r="NOS1" s="122" t="s">
        <v>9871</v>
      </c>
      <c r="NOT1" s="122" t="s">
        <v>9872</v>
      </c>
      <c r="NOU1" s="122" t="s">
        <v>9873</v>
      </c>
      <c r="NOV1" s="122" t="s">
        <v>9874</v>
      </c>
      <c r="NOW1" s="122" t="s">
        <v>9875</v>
      </c>
      <c r="NOX1" s="122" t="s">
        <v>9876</v>
      </c>
      <c r="NOY1" s="122" t="s">
        <v>9877</v>
      </c>
      <c r="NOZ1" s="122" t="s">
        <v>9878</v>
      </c>
      <c r="NPA1" s="122" t="s">
        <v>9879</v>
      </c>
      <c r="NPB1" s="122" t="s">
        <v>9880</v>
      </c>
      <c r="NPC1" s="122" t="s">
        <v>9881</v>
      </c>
      <c r="NPD1" s="122" t="s">
        <v>9882</v>
      </c>
      <c r="NPE1" s="122" t="s">
        <v>9883</v>
      </c>
      <c r="NPF1" s="122" t="s">
        <v>9884</v>
      </c>
      <c r="NPG1" s="122" t="s">
        <v>9885</v>
      </c>
      <c r="NPH1" s="122" t="s">
        <v>9886</v>
      </c>
      <c r="NPI1" s="122" t="s">
        <v>9887</v>
      </c>
      <c r="NPJ1" s="122" t="s">
        <v>9888</v>
      </c>
      <c r="NPK1" s="122" t="s">
        <v>9889</v>
      </c>
      <c r="NPL1" s="122" t="s">
        <v>9890</v>
      </c>
      <c r="NPM1" s="122" t="s">
        <v>9891</v>
      </c>
      <c r="NPN1" s="122" t="s">
        <v>9892</v>
      </c>
      <c r="NPO1" s="122" t="s">
        <v>9893</v>
      </c>
      <c r="NPP1" s="122" t="s">
        <v>9894</v>
      </c>
      <c r="NPQ1" s="122" t="s">
        <v>9895</v>
      </c>
      <c r="NPR1" s="122" t="s">
        <v>9896</v>
      </c>
      <c r="NPS1" s="122" t="s">
        <v>9897</v>
      </c>
      <c r="NPT1" s="122" t="s">
        <v>9898</v>
      </c>
      <c r="NPU1" s="122" t="s">
        <v>9899</v>
      </c>
      <c r="NPV1" s="122" t="s">
        <v>9900</v>
      </c>
      <c r="NPW1" s="122" t="s">
        <v>9901</v>
      </c>
      <c r="NPX1" s="122" t="s">
        <v>9902</v>
      </c>
      <c r="NPY1" s="122" t="s">
        <v>9903</v>
      </c>
      <c r="NPZ1" s="122" t="s">
        <v>9904</v>
      </c>
      <c r="NQA1" s="122" t="s">
        <v>9905</v>
      </c>
      <c r="NQB1" s="122" t="s">
        <v>9906</v>
      </c>
      <c r="NQC1" s="122" t="s">
        <v>9907</v>
      </c>
      <c r="NQD1" s="122" t="s">
        <v>9908</v>
      </c>
      <c r="NQE1" s="122" t="s">
        <v>9909</v>
      </c>
      <c r="NQF1" s="122" t="s">
        <v>9910</v>
      </c>
      <c r="NQG1" s="122" t="s">
        <v>9911</v>
      </c>
      <c r="NQH1" s="122" t="s">
        <v>9912</v>
      </c>
      <c r="NQI1" s="122" t="s">
        <v>9913</v>
      </c>
      <c r="NQJ1" s="122" t="s">
        <v>9914</v>
      </c>
      <c r="NQK1" s="122" t="s">
        <v>9915</v>
      </c>
      <c r="NQL1" s="122" t="s">
        <v>9916</v>
      </c>
      <c r="NQM1" s="122" t="s">
        <v>9917</v>
      </c>
      <c r="NQN1" s="122" t="s">
        <v>9918</v>
      </c>
      <c r="NQO1" s="122" t="s">
        <v>9919</v>
      </c>
      <c r="NQP1" s="122" t="s">
        <v>9920</v>
      </c>
      <c r="NQQ1" s="122" t="s">
        <v>9921</v>
      </c>
      <c r="NQR1" s="122" t="s">
        <v>9922</v>
      </c>
      <c r="NQS1" s="122" t="s">
        <v>9923</v>
      </c>
      <c r="NQT1" s="122" t="s">
        <v>9924</v>
      </c>
      <c r="NQU1" s="122" t="s">
        <v>9925</v>
      </c>
      <c r="NQV1" s="122" t="s">
        <v>9926</v>
      </c>
      <c r="NQW1" s="122" t="s">
        <v>9927</v>
      </c>
      <c r="NQX1" s="122" t="s">
        <v>9928</v>
      </c>
      <c r="NQY1" s="122" t="s">
        <v>9929</v>
      </c>
      <c r="NQZ1" s="122" t="s">
        <v>9930</v>
      </c>
      <c r="NRA1" s="122" t="s">
        <v>9931</v>
      </c>
      <c r="NRB1" s="122" t="s">
        <v>9932</v>
      </c>
      <c r="NRC1" s="122" t="s">
        <v>9933</v>
      </c>
      <c r="NRD1" s="122" t="s">
        <v>9934</v>
      </c>
      <c r="NRE1" s="122" t="s">
        <v>9935</v>
      </c>
      <c r="NRF1" s="122" t="s">
        <v>9936</v>
      </c>
      <c r="NRG1" s="122" t="s">
        <v>9937</v>
      </c>
      <c r="NRH1" s="122" t="s">
        <v>9938</v>
      </c>
      <c r="NRI1" s="122" t="s">
        <v>9939</v>
      </c>
      <c r="NRJ1" s="122" t="s">
        <v>9940</v>
      </c>
      <c r="NRK1" s="122" t="s">
        <v>9941</v>
      </c>
      <c r="NRL1" s="122" t="s">
        <v>9942</v>
      </c>
      <c r="NRM1" s="122" t="s">
        <v>9943</v>
      </c>
      <c r="NRN1" s="122" t="s">
        <v>9944</v>
      </c>
      <c r="NRO1" s="122" t="s">
        <v>9945</v>
      </c>
      <c r="NRP1" s="122" t="s">
        <v>9946</v>
      </c>
      <c r="NRQ1" s="122" t="s">
        <v>9947</v>
      </c>
      <c r="NRR1" s="122" t="s">
        <v>9948</v>
      </c>
      <c r="NRS1" s="122" t="s">
        <v>9949</v>
      </c>
      <c r="NRT1" s="122" t="s">
        <v>9950</v>
      </c>
      <c r="NRU1" s="122" t="s">
        <v>9951</v>
      </c>
      <c r="NRV1" s="122" t="s">
        <v>9952</v>
      </c>
      <c r="NRW1" s="122" t="s">
        <v>9953</v>
      </c>
      <c r="NRX1" s="122" t="s">
        <v>9954</v>
      </c>
      <c r="NRY1" s="122" t="s">
        <v>9955</v>
      </c>
      <c r="NRZ1" s="122" t="s">
        <v>9956</v>
      </c>
      <c r="NSA1" s="122" t="s">
        <v>9957</v>
      </c>
      <c r="NSB1" s="122" t="s">
        <v>9958</v>
      </c>
      <c r="NSC1" s="122" t="s">
        <v>9959</v>
      </c>
      <c r="NSD1" s="122" t="s">
        <v>9960</v>
      </c>
      <c r="NSE1" s="122" t="s">
        <v>9961</v>
      </c>
      <c r="NSF1" s="122" t="s">
        <v>9962</v>
      </c>
      <c r="NSG1" s="122" t="s">
        <v>9963</v>
      </c>
      <c r="NSH1" s="122" t="s">
        <v>9964</v>
      </c>
      <c r="NSI1" s="122" t="s">
        <v>9965</v>
      </c>
      <c r="NSJ1" s="122" t="s">
        <v>9966</v>
      </c>
      <c r="NSK1" s="122" t="s">
        <v>9967</v>
      </c>
      <c r="NSL1" s="122" t="s">
        <v>9968</v>
      </c>
      <c r="NSM1" s="122" t="s">
        <v>9969</v>
      </c>
      <c r="NSN1" s="122" t="s">
        <v>9970</v>
      </c>
      <c r="NSO1" s="122" t="s">
        <v>9971</v>
      </c>
      <c r="NSP1" s="122" t="s">
        <v>9972</v>
      </c>
      <c r="NSQ1" s="122" t="s">
        <v>9973</v>
      </c>
      <c r="NSR1" s="122" t="s">
        <v>9974</v>
      </c>
      <c r="NSS1" s="122" t="s">
        <v>9975</v>
      </c>
      <c r="NST1" s="122" t="s">
        <v>9976</v>
      </c>
      <c r="NSU1" s="122" t="s">
        <v>9977</v>
      </c>
      <c r="NSV1" s="122" t="s">
        <v>9978</v>
      </c>
      <c r="NSW1" s="122" t="s">
        <v>9979</v>
      </c>
      <c r="NSX1" s="122" t="s">
        <v>9980</v>
      </c>
      <c r="NSY1" s="122" t="s">
        <v>9981</v>
      </c>
      <c r="NSZ1" s="122" t="s">
        <v>9982</v>
      </c>
      <c r="NTA1" s="122" t="s">
        <v>9983</v>
      </c>
      <c r="NTB1" s="122" t="s">
        <v>9984</v>
      </c>
      <c r="NTC1" s="122" t="s">
        <v>9985</v>
      </c>
      <c r="NTD1" s="122" t="s">
        <v>9986</v>
      </c>
      <c r="NTE1" s="122" t="s">
        <v>9987</v>
      </c>
      <c r="NTF1" s="122" t="s">
        <v>9988</v>
      </c>
      <c r="NTG1" s="122" t="s">
        <v>9989</v>
      </c>
      <c r="NTH1" s="122" t="s">
        <v>9990</v>
      </c>
      <c r="NTI1" s="122" t="s">
        <v>9991</v>
      </c>
      <c r="NTJ1" s="122" t="s">
        <v>9992</v>
      </c>
      <c r="NTK1" s="122" t="s">
        <v>9993</v>
      </c>
      <c r="NTL1" s="122" t="s">
        <v>9994</v>
      </c>
      <c r="NTM1" s="122" t="s">
        <v>9995</v>
      </c>
      <c r="NTN1" s="122" t="s">
        <v>9996</v>
      </c>
      <c r="NTO1" s="122" t="s">
        <v>9997</v>
      </c>
      <c r="NTP1" s="122" t="s">
        <v>9998</v>
      </c>
      <c r="NTQ1" s="122" t="s">
        <v>9999</v>
      </c>
      <c r="NTR1" s="122" t="s">
        <v>10000</v>
      </c>
      <c r="NTS1" s="122" t="s">
        <v>10001</v>
      </c>
      <c r="NTT1" s="122" t="s">
        <v>10002</v>
      </c>
      <c r="NTU1" s="122" t="s">
        <v>10003</v>
      </c>
      <c r="NTV1" s="122" t="s">
        <v>10004</v>
      </c>
      <c r="NTW1" s="122" t="s">
        <v>10005</v>
      </c>
      <c r="NTX1" s="122" t="s">
        <v>10006</v>
      </c>
      <c r="NTY1" s="122" t="s">
        <v>10007</v>
      </c>
      <c r="NTZ1" s="122" t="s">
        <v>10008</v>
      </c>
      <c r="NUA1" s="122" t="s">
        <v>10009</v>
      </c>
      <c r="NUB1" s="122" t="s">
        <v>10010</v>
      </c>
      <c r="NUC1" s="122" t="s">
        <v>10011</v>
      </c>
      <c r="NUD1" s="122" t="s">
        <v>10012</v>
      </c>
      <c r="NUE1" s="122" t="s">
        <v>10013</v>
      </c>
      <c r="NUF1" s="122" t="s">
        <v>10014</v>
      </c>
      <c r="NUG1" s="122" t="s">
        <v>10015</v>
      </c>
      <c r="NUH1" s="122" t="s">
        <v>10016</v>
      </c>
      <c r="NUI1" s="122" t="s">
        <v>10017</v>
      </c>
      <c r="NUJ1" s="122" t="s">
        <v>10018</v>
      </c>
      <c r="NUK1" s="122" t="s">
        <v>10019</v>
      </c>
      <c r="NUL1" s="122" t="s">
        <v>10020</v>
      </c>
      <c r="NUM1" s="122" t="s">
        <v>10021</v>
      </c>
      <c r="NUN1" s="122" t="s">
        <v>10022</v>
      </c>
      <c r="NUO1" s="122" t="s">
        <v>10023</v>
      </c>
      <c r="NUP1" s="122" t="s">
        <v>10024</v>
      </c>
      <c r="NUQ1" s="122" t="s">
        <v>10025</v>
      </c>
      <c r="NUR1" s="122" t="s">
        <v>10026</v>
      </c>
      <c r="NUS1" s="122" t="s">
        <v>10027</v>
      </c>
      <c r="NUT1" s="122" t="s">
        <v>10028</v>
      </c>
      <c r="NUU1" s="122" t="s">
        <v>10029</v>
      </c>
      <c r="NUV1" s="122" t="s">
        <v>10030</v>
      </c>
      <c r="NUW1" s="122" t="s">
        <v>10031</v>
      </c>
      <c r="NUX1" s="122" t="s">
        <v>10032</v>
      </c>
      <c r="NUY1" s="122" t="s">
        <v>10033</v>
      </c>
      <c r="NUZ1" s="122" t="s">
        <v>10034</v>
      </c>
      <c r="NVA1" s="122" t="s">
        <v>10035</v>
      </c>
      <c r="NVB1" s="122" t="s">
        <v>10036</v>
      </c>
      <c r="NVC1" s="122" t="s">
        <v>10037</v>
      </c>
      <c r="NVD1" s="122" t="s">
        <v>10038</v>
      </c>
      <c r="NVE1" s="122" t="s">
        <v>10039</v>
      </c>
      <c r="NVF1" s="122" t="s">
        <v>10040</v>
      </c>
      <c r="NVG1" s="122" t="s">
        <v>10041</v>
      </c>
      <c r="NVH1" s="122" t="s">
        <v>10042</v>
      </c>
      <c r="NVI1" s="122" t="s">
        <v>10043</v>
      </c>
      <c r="NVJ1" s="122" t="s">
        <v>10044</v>
      </c>
      <c r="NVK1" s="122" t="s">
        <v>10045</v>
      </c>
      <c r="NVL1" s="122" t="s">
        <v>10046</v>
      </c>
      <c r="NVM1" s="122" t="s">
        <v>10047</v>
      </c>
      <c r="NVN1" s="122" t="s">
        <v>10048</v>
      </c>
      <c r="NVO1" s="122" t="s">
        <v>10049</v>
      </c>
      <c r="NVP1" s="122" t="s">
        <v>10050</v>
      </c>
      <c r="NVQ1" s="122" t="s">
        <v>10051</v>
      </c>
      <c r="NVR1" s="122" t="s">
        <v>10052</v>
      </c>
      <c r="NVS1" s="122" t="s">
        <v>10053</v>
      </c>
      <c r="NVT1" s="122" t="s">
        <v>10054</v>
      </c>
      <c r="NVU1" s="122" t="s">
        <v>10055</v>
      </c>
      <c r="NVV1" s="122" t="s">
        <v>10056</v>
      </c>
      <c r="NVW1" s="122" t="s">
        <v>10057</v>
      </c>
      <c r="NVX1" s="122" t="s">
        <v>10058</v>
      </c>
      <c r="NVY1" s="122" t="s">
        <v>10059</v>
      </c>
      <c r="NVZ1" s="122" t="s">
        <v>10060</v>
      </c>
      <c r="NWA1" s="122" t="s">
        <v>10061</v>
      </c>
      <c r="NWB1" s="122" t="s">
        <v>10062</v>
      </c>
      <c r="NWC1" s="122" t="s">
        <v>10063</v>
      </c>
      <c r="NWD1" s="122" t="s">
        <v>10064</v>
      </c>
      <c r="NWE1" s="122" t="s">
        <v>10065</v>
      </c>
      <c r="NWF1" s="122" t="s">
        <v>10066</v>
      </c>
      <c r="NWG1" s="122" t="s">
        <v>10067</v>
      </c>
      <c r="NWH1" s="122" t="s">
        <v>10068</v>
      </c>
      <c r="NWI1" s="122" t="s">
        <v>10069</v>
      </c>
      <c r="NWJ1" s="122" t="s">
        <v>10070</v>
      </c>
      <c r="NWK1" s="122" t="s">
        <v>10071</v>
      </c>
      <c r="NWL1" s="122" t="s">
        <v>10072</v>
      </c>
      <c r="NWM1" s="122" t="s">
        <v>10073</v>
      </c>
      <c r="NWN1" s="122" t="s">
        <v>10074</v>
      </c>
      <c r="NWO1" s="122" t="s">
        <v>10075</v>
      </c>
      <c r="NWP1" s="122" t="s">
        <v>10076</v>
      </c>
      <c r="NWQ1" s="122" t="s">
        <v>10077</v>
      </c>
      <c r="NWR1" s="122" t="s">
        <v>10078</v>
      </c>
      <c r="NWS1" s="122" t="s">
        <v>10079</v>
      </c>
      <c r="NWT1" s="122" t="s">
        <v>10080</v>
      </c>
      <c r="NWU1" s="122" t="s">
        <v>10081</v>
      </c>
      <c r="NWV1" s="122" t="s">
        <v>10082</v>
      </c>
      <c r="NWW1" s="122" t="s">
        <v>10083</v>
      </c>
      <c r="NWX1" s="122" t="s">
        <v>10084</v>
      </c>
      <c r="NWY1" s="122" t="s">
        <v>10085</v>
      </c>
      <c r="NWZ1" s="122" t="s">
        <v>10086</v>
      </c>
      <c r="NXA1" s="122" t="s">
        <v>10087</v>
      </c>
      <c r="NXB1" s="122" t="s">
        <v>10088</v>
      </c>
      <c r="NXC1" s="122" t="s">
        <v>10089</v>
      </c>
      <c r="NXD1" s="122" t="s">
        <v>10090</v>
      </c>
      <c r="NXE1" s="122" t="s">
        <v>10091</v>
      </c>
      <c r="NXF1" s="122" t="s">
        <v>10092</v>
      </c>
      <c r="NXG1" s="122" t="s">
        <v>10093</v>
      </c>
      <c r="NXH1" s="122" t="s">
        <v>10094</v>
      </c>
      <c r="NXI1" s="122" t="s">
        <v>10095</v>
      </c>
      <c r="NXJ1" s="122" t="s">
        <v>10096</v>
      </c>
      <c r="NXK1" s="122" t="s">
        <v>10097</v>
      </c>
      <c r="NXL1" s="122" t="s">
        <v>10098</v>
      </c>
      <c r="NXM1" s="122" t="s">
        <v>10099</v>
      </c>
      <c r="NXN1" s="122" t="s">
        <v>10100</v>
      </c>
      <c r="NXO1" s="122" t="s">
        <v>10101</v>
      </c>
      <c r="NXP1" s="122" t="s">
        <v>10102</v>
      </c>
      <c r="NXQ1" s="122" t="s">
        <v>10103</v>
      </c>
      <c r="NXR1" s="122" t="s">
        <v>10104</v>
      </c>
      <c r="NXS1" s="122" t="s">
        <v>10105</v>
      </c>
      <c r="NXT1" s="122" t="s">
        <v>10106</v>
      </c>
      <c r="NXU1" s="122" t="s">
        <v>10107</v>
      </c>
      <c r="NXV1" s="122" t="s">
        <v>10108</v>
      </c>
      <c r="NXW1" s="122" t="s">
        <v>10109</v>
      </c>
      <c r="NXX1" s="122" t="s">
        <v>10110</v>
      </c>
      <c r="NXY1" s="122" t="s">
        <v>10111</v>
      </c>
      <c r="NXZ1" s="122" t="s">
        <v>10112</v>
      </c>
      <c r="NYA1" s="122" t="s">
        <v>10113</v>
      </c>
      <c r="NYB1" s="122" t="s">
        <v>10114</v>
      </c>
      <c r="NYC1" s="122" t="s">
        <v>10115</v>
      </c>
      <c r="NYD1" s="122" t="s">
        <v>10116</v>
      </c>
      <c r="NYE1" s="122" t="s">
        <v>10117</v>
      </c>
      <c r="NYF1" s="122" t="s">
        <v>10118</v>
      </c>
      <c r="NYG1" s="122" t="s">
        <v>10119</v>
      </c>
      <c r="NYH1" s="122" t="s">
        <v>10120</v>
      </c>
      <c r="NYI1" s="122" t="s">
        <v>10121</v>
      </c>
      <c r="NYJ1" s="122" t="s">
        <v>10122</v>
      </c>
      <c r="NYK1" s="122" t="s">
        <v>10123</v>
      </c>
      <c r="NYL1" s="122" t="s">
        <v>10124</v>
      </c>
      <c r="NYM1" s="122" t="s">
        <v>10125</v>
      </c>
      <c r="NYN1" s="122" t="s">
        <v>10126</v>
      </c>
      <c r="NYO1" s="122" t="s">
        <v>10127</v>
      </c>
      <c r="NYP1" s="122" t="s">
        <v>10128</v>
      </c>
      <c r="NYQ1" s="122" t="s">
        <v>10129</v>
      </c>
      <c r="NYR1" s="122" t="s">
        <v>10130</v>
      </c>
      <c r="NYS1" s="122" t="s">
        <v>10131</v>
      </c>
      <c r="NYT1" s="122" t="s">
        <v>10132</v>
      </c>
      <c r="NYU1" s="122" t="s">
        <v>10133</v>
      </c>
      <c r="NYV1" s="122" t="s">
        <v>10134</v>
      </c>
      <c r="NYW1" s="122" t="s">
        <v>10135</v>
      </c>
      <c r="NYX1" s="122" t="s">
        <v>10136</v>
      </c>
      <c r="NYY1" s="122" t="s">
        <v>10137</v>
      </c>
      <c r="NYZ1" s="122" t="s">
        <v>10138</v>
      </c>
      <c r="NZA1" s="122" t="s">
        <v>10139</v>
      </c>
      <c r="NZB1" s="122" t="s">
        <v>10140</v>
      </c>
      <c r="NZC1" s="122" t="s">
        <v>10141</v>
      </c>
      <c r="NZD1" s="122" t="s">
        <v>10142</v>
      </c>
      <c r="NZE1" s="122" t="s">
        <v>10143</v>
      </c>
      <c r="NZF1" s="122" t="s">
        <v>10144</v>
      </c>
      <c r="NZG1" s="122" t="s">
        <v>10145</v>
      </c>
      <c r="NZH1" s="122" t="s">
        <v>10146</v>
      </c>
      <c r="NZI1" s="122" t="s">
        <v>10147</v>
      </c>
      <c r="NZJ1" s="122" t="s">
        <v>10148</v>
      </c>
      <c r="NZK1" s="122" t="s">
        <v>10149</v>
      </c>
      <c r="NZL1" s="122" t="s">
        <v>10150</v>
      </c>
      <c r="NZM1" s="122" t="s">
        <v>10151</v>
      </c>
      <c r="NZN1" s="122" t="s">
        <v>10152</v>
      </c>
      <c r="NZO1" s="122" t="s">
        <v>10153</v>
      </c>
      <c r="NZP1" s="122" t="s">
        <v>10154</v>
      </c>
      <c r="NZQ1" s="122" t="s">
        <v>10155</v>
      </c>
      <c r="NZR1" s="122" t="s">
        <v>10156</v>
      </c>
      <c r="NZS1" s="122" t="s">
        <v>10157</v>
      </c>
      <c r="NZT1" s="122" t="s">
        <v>10158</v>
      </c>
      <c r="NZU1" s="122" t="s">
        <v>10159</v>
      </c>
      <c r="NZV1" s="122" t="s">
        <v>10160</v>
      </c>
      <c r="NZW1" s="122" t="s">
        <v>10161</v>
      </c>
      <c r="NZX1" s="122" t="s">
        <v>10162</v>
      </c>
      <c r="NZY1" s="122" t="s">
        <v>10163</v>
      </c>
      <c r="NZZ1" s="122" t="s">
        <v>10164</v>
      </c>
      <c r="OAA1" s="122" t="s">
        <v>10165</v>
      </c>
      <c r="OAB1" s="122" t="s">
        <v>10166</v>
      </c>
      <c r="OAC1" s="122" t="s">
        <v>10167</v>
      </c>
      <c r="OAD1" s="122" t="s">
        <v>10168</v>
      </c>
      <c r="OAE1" s="122" t="s">
        <v>10169</v>
      </c>
      <c r="OAF1" s="122" t="s">
        <v>10170</v>
      </c>
      <c r="OAG1" s="122" t="s">
        <v>10171</v>
      </c>
      <c r="OAH1" s="122" t="s">
        <v>10172</v>
      </c>
      <c r="OAI1" s="122" t="s">
        <v>10173</v>
      </c>
      <c r="OAJ1" s="122" t="s">
        <v>10174</v>
      </c>
      <c r="OAK1" s="122" t="s">
        <v>10175</v>
      </c>
      <c r="OAL1" s="122" t="s">
        <v>10176</v>
      </c>
      <c r="OAM1" s="122" t="s">
        <v>10177</v>
      </c>
      <c r="OAN1" s="122" t="s">
        <v>10178</v>
      </c>
      <c r="OAO1" s="122" t="s">
        <v>10179</v>
      </c>
      <c r="OAP1" s="122" t="s">
        <v>10180</v>
      </c>
      <c r="OAQ1" s="122" t="s">
        <v>10181</v>
      </c>
      <c r="OAR1" s="122" t="s">
        <v>10182</v>
      </c>
      <c r="OAS1" s="122" t="s">
        <v>10183</v>
      </c>
      <c r="OAT1" s="122" t="s">
        <v>10184</v>
      </c>
      <c r="OAU1" s="122" t="s">
        <v>10185</v>
      </c>
      <c r="OAV1" s="122" t="s">
        <v>10186</v>
      </c>
      <c r="OAW1" s="122" t="s">
        <v>10187</v>
      </c>
      <c r="OAX1" s="122" t="s">
        <v>10188</v>
      </c>
      <c r="OAY1" s="122" t="s">
        <v>10189</v>
      </c>
      <c r="OAZ1" s="122" t="s">
        <v>10190</v>
      </c>
      <c r="OBA1" s="122" t="s">
        <v>10191</v>
      </c>
      <c r="OBB1" s="122" t="s">
        <v>10192</v>
      </c>
      <c r="OBC1" s="122" t="s">
        <v>10193</v>
      </c>
      <c r="OBD1" s="122" t="s">
        <v>10194</v>
      </c>
      <c r="OBE1" s="122" t="s">
        <v>10195</v>
      </c>
      <c r="OBF1" s="122" t="s">
        <v>10196</v>
      </c>
      <c r="OBG1" s="122" t="s">
        <v>10197</v>
      </c>
      <c r="OBH1" s="122" t="s">
        <v>10198</v>
      </c>
      <c r="OBI1" s="122" t="s">
        <v>10199</v>
      </c>
      <c r="OBJ1" s="122" t="s">
        <v>10200</v>
      </c>
      <c r="OBK1" s="122" t="s">
        <v>10201</v>
      </c>
      <c r="OBL1" s="122" t="s">
        <v>10202</v>
      </c>
      <c r="OBM1" s="122" t="s">
        <v>10203</v>
      </c>
      <c r="OBN1" s="122" t="s">
        <v>10204</v>
      </c>
      <c r="OBO1" s="122" t="s">
        <v>10205</v>
      </c>
      <c r="OBP1" s="122" t="s">
        <v>10206</v>
      </c>
      <c r="OBQ1" s="122" t="s">
        <v>10207</v>
      </c>
      <c r="OBR1" s="122" t="s">
        <v>10208</v>
      </c>
      <c r="OBS1" s="122" t="s">
        <v>10209</v>
      </c>
      <c r="OBT1" s="122" t="s">
        <v>10210</v>
      </c>
      <c r="OBU1" s="122" t="s">
        <v>10211</v>
      </c>
      <c r="OBV1" s="122" t="s">
        <v>10212</v>
      </c>
      <c r="OBW1" s="122" t="s">
        <v>10213</v>
      </c>
      <c r="OBX1" s="122" t="s">
        <v>10214</v>
      </c>
      <c r="OBY1" s="122" t="s">
        <v>10215</v>
      </c>
      <c r="OBZ1" s="122" t="s">
        <v>10216</v>
      </c>
      <c r="OCA1" s="122" t="s">
        <v>10217</v>
      </c>
      <c r="OCB1" s="122" t="s">
        <v>10218</v>
      </c>
      <c r="OCC1" s="122" t="s">
        <v>10219</v>
      </c>
      <c r="OCD1" s="122" t="s">
        <v>10220</v>
      </c>
      <c r="OCE1" s="122" t="s">
        <v>10221</v>
      </c>
      <c r="OCF1" s="122" t="s">
        <v>10222</v>
      </c>
      <c r="OCG1" s="122" t="s">
        <v>10223</v>
      </c>
      <c r="OCH1" s="122" t="s">
        <v>10224</v>
      </c>
      <c r="OCI1" s="122" t="s">
        <v>10225</v>
      </c>
      <c r="OCJ1" s="122" t="s">
        <v>10226</v>
      </c>
      <c r="OCK1" s="122" t="s">
        <v>10227</v>
      </c>
      <c r="OCL1" s="122" t="s">
        <v>10228</v>
      </c>
      <c r="OCM1" s="122" t="s">
        <v>10229</v>
      </c>
      <c r="OCN1" s="122" t="s">
        <v>10230</v>
      </c>
      <c r="OCO1" s="122" t="s">
        <v>10231</v>
      </c>
      <c r="OCP1" s="122" t="s">
        <v>10232</v>
      </c>
      <c r="OCQ1" s="122" t="s">
        <v>10233</v>
      </c>
      <c r="OCR1" s="122" t="s">
        <v>10234</v>
      </c>
      <c r="OCS1" s="122" t="s">
        <v>10235</v>
      </c>
      <c r="OCT1" s="122" t="s">
        <v>10236</v>
      </c>
      <c r="OCU1" s="122" t="s">
        <v>10237</v>
      </c>
      <c r="OCV1" s="122" t="s">
        <v>10238</v>
      </c>
      <c r="OCW1" s="122" t="s">
        <v>10239</v>
      </c>
      <c r="OCX1" s="122" t="s">
        <v>10240</v>
      </c>
      <c r="OCY1" s="122" t="s">
        <v>10241</v>
      </c>
      <c r="OCZ1" s="122" t="s">
        <v>10242</v>
      </c>
      <c r="ODA1" s="122" t="s">
        <v>10243</v>
      </c>
      <c r="ODB1" s="122" t="s">
        <v>10244</v>
      </c>
      <c r="ODC1" s="122" t="s">
        <v>10245</v>
      </c>
      <c r="ODD1" s="122" t="s">
        <v>10246</v>
      </c>
      <c r="ODE1" s="122" t="s">
        <v>10247</v>
      </c>
      <c r="ODF1" s="122" t="s">
        <v>10248</v>
      </c>
      <c r="ODG1" s="122" t="s">
        <v>10249</v>
      </c>
      <c r="ODH1" s="122" t="s">
        <v>10250</v>
      </c>
      <c r="ODI1" s="122" t="s">
        <v>10251</v>
      </c>
      <c r="ODJ1" s="122" t="s">
        <v>10252</v>
      </c>
      <c r="ODK1" s="122" t="s">
        <v>10253</v>
      </c>
      <c r="ODL1" s="122" t="s">
        <v>10254</v>
      </c>
      <c r="ODM1" s="122" t="s">
        <v>10255</v>
      </c>
      <c r="ODN1" s="122" t="s">
        <v>10256</v>
      </c>
      <c r="ODO1" s="122" t="s">
        <v>10257</v>
      </c>
      <c r="ODP1" s="122" t="s">
        <v>10258</v>
      </c>
      <c r="ODQ1" s="122" t="s">
        <v>10259</v>
      </c>
      <c r="ODR1" s="122" t="s">
        <v>10260</v>
      </c>
      <c r="ODS1" s="122" t="s">
        <v>10261</v>
      </c>
      <c r="ODT1" s="122" t="s">
        <v>10262</v>
      </c>
      <c r="ODU1" s="122" t="s">
        <v>10263</v>
      </c>
      <c r="ODV1" s="122" t="s">
        <v>10264</v>
      </c>
      <c r="ODW1" s="122" t="s">
        <v>10265</v>
      </c>
      <c r="ODX1" s="122" t="s">
        <v>10266</v>
      </c>
      <c r="ODY1" s="122" t="s">
        <v>10267</v>
      </c>
      <c r="ODZ1" s="122" t="s">
        <v>10268</v>
      </c>
      <c r="OEA1" s="122" t="s">
        <v>10269</v>
      </c>
      <c r="OEB1" s="122" t="s">
        <v>10270</v>
      </c>
      <c r="OEC1" s="122" t="s">
        <v>10271</v>
      </c>
      <c r="OED1" s="122" t="s">
        <v>10272</v>
      </c>
      <c r="OEE1" s="122" t="s">
        <v>10273</v>
      </c>
      <c r="OEF1" s="122" t="s">
        <v>10274</v>
      </c>
      <c r="OEG1" s="122" t="s">
        <v>10275</v>
      </c>
      <c r="OEH1" s="122" t="s">
        <v>10276</v>
      </c>
      <c r="OEI1" s="122" t="s">
        <v>10277</v>
      </c>
      <c r="OEJ1" s="122" t="s">
        <v>10278</v>
      </c>
      <c r="OEK1" s="122" t="s">
        <v>10279</v>
      </c>
      <c r="OEL1" s="122" t="s">
        <v>10280</v>
      </c>
      <c r="OEM1" s="122" t="s">
        <v>10281</v>
      </c>
      <c r="OEN1" s="122" t="s">
        <v>10282</v>
      </c>
      <c r="OEO1" s="122" t="s">
        <v>10283</v>
      </c>
      <c r="OEP1" s="122" t="s">
        <v>10284</v>
      </c>
      <c r="OEQ1" s="122" t="s">
        <v>10285</v>
      </c>
      <c r="OER1" s="122" t="s">
        <v>10286</v>
      </c>
      <c r="OES1" s="122" t="s">
        <v>10287</v>
      </c>
      <c r="OET1" s="122" t="s">
        <v>10288</v>
      </c>
      <c r="OEU1" s="122" t="s">
        <v>10289</v>
      </c>
      <c r="OEV1" s="122" t="s">
        <v>10290</v>
      </c>
      <c r="OEW1" s="122" t="s">
        <v>10291</v>
      </c>
      <c r="OEX1" s="122" t="s">
        <v>10292</v>
      </c>
      <c r="OEY1" s="122" t="s">
        <v>10293</v>
      </c>
      <c r="OEZ1" s="122" t="s">
        <v>10294</v>
      </c>
      <c r="OFA1" s="122" t="s">
        <v>10295</v>
      </c>
      <c r="OFB1" s="122" t="s">
        <v>10296</v>
      </c>
      <c r="OFC1" s="122" t="s">
        <v>10297</v>
      </c>
      <c r="OFD1" s="122" t="s">
        <v>10298</v>
      </c>
      <c r="OFE1" s="122" t="s">
        <v>10299</v>
      </c>
      <c r="OFF1" s="122" t="s">
        <v>10300</v>
      </c>
      <c r="OFG1" s="122" t="s">
        <v>10301</v>
      </c>
      <c r="OFH1" s="122" t="s">
        <v>10302</v>
      </c>
      <c r="OFI1" s="122" t="s">
        <v>10303</v>
      </c>
      <c r="OFJ1" s="122" t="s">
        <v>10304</v>
      </c>
      <c r="OFK1" s="122" t="s">
        <v>10305</v>
      </c>
      <c r="OFL1" s="122" t="s">
        <v>10306</v>
      </c>
      <c r="OFM1" s="122" t="s">
        <v>10307</v>
      </c>
      <c r="OFN1" s="122" t="s">
        <v>10308</v>
      </c>
      <c r="OFO1" s="122" t="s">
        <v>10309</v>
      </c>
      <c r="OFP1" s="122" t="s">
        <v>10310</v>
      </c>
      <c r="OFQ1" s="122" t="s">
        <v>10311</v>
      </c>
      <c r="OFR1" s="122" t="s">
        <v>10312</v>
      </c>
      <c r="OFS1" s="122" t="s">
        <v>10313</v>
      </c>
      <c r="OFT1" s="122" t="s">
        <v>10314</v>
      </c>
      <c r="OFU1" s="122" t="s">
        <v>10315</v>
      </c>
      <c r="OFV1" s="122" t="s">
        <v>10316</v>
      </c>
      <c r="OFW1" s="122" t="s">
        <v>10317</v>
      </c>
      <c r="OFX1" s="122" t="s">
        <v>10318</v>
      </c>
      <c r="OFY1" s="122" t="s">
        <v>10319</v>
      </c>
      <c r="OFZ1" s="122" t="s">
        <v>10320</v>
      </c>
      <c r="OGA1" s="122" t="s">
        <v>10321</v>
      </c>
      <c r="OGB1" s="122" t="s">
        <v>10322</v>
      </c>
      <c r="OGC1" s="122" t="s">
        <v>10323</v>
      </c>
      <c r="OGD1" s="122" t="s">
        <v>10324</v>
      </c>
      <c r="OGE1" s="122" t="s">
        <v>10325</v>
      </c>
      <c r="OGF1" s="122" t="s">
        <v>10326</v>
      </c>
      <c r="OGG1" s="122" t="s">
        <v>10327</v>
      </c>
      <c r="OGH1" s="122" t="s">
        <v>10328</v>
      </c>
      <c r="OGI1" s="122" t="s">
        <v>10329</v>
      </c>
      <c r="OGJ1" s="122" t="s">
        <v>10330</v>
      </c>
      <c r="OGK1" s="122" t="s">
        <v>10331</v>
      </c>
      <c r="OGL1" s="122" t="s">
        <v>10332</v>
      </c>
      <c r="OGM1" s="122" t="s">
        <v>10333</v>
      </c>
      <c r="OGN1" s="122" t="s">
        <v>10334</v>
      </c>
      <c r="OGO1" s="122" t="s">
        <v>10335</v>
      </c>
      <c r="OGP1" s="122" t="s">
        <v>10336</v>
      </c>
      <c r="OGQ1" s="122" t="s">
        <v>10337</v>
      </c>
      <c r="OGR1" s="122" t="s">
        <v>10338</v>
      </c>
      <c r="OGS1" s="122" t="s">
        <v>10339</v>
      </c>
      <c r="OGT1" s="122" t="s">
        <v>10340</v>
      </c>
      <c r="OGU1" s="122" t="s">
        <v>10341</v>
      </c>
      <c r="OGV1" s="122" t="s">
        <v>10342</v>
      </c>
      <c r="OGW1" s="122" t="s">
        <v>10343</v>
      </c>
      <c r="OGX1" s="122" t="s">
        <v>10344</v>
      </c>
      <c r="OGY1" s="122" t="s">
        <v>10345</v>
      </c>
      <c r="OGZ1" s="122" t="s">
        <v>10346</v>
      </c>
      <c r="OHA1" s="122" t="s">
        <v>10347</v>
      </c>
      <c r="OHB1" s="122" t="s">
        <v>10348</v>
      </c>
      <c r="OHC1" s="122" t="s">
        <v>10349</v>
      </c>
      <c r="OHD1" s="122" t="s">
        <v>10350</v>
      </c>
      <c r="OHE1" s="122" t="s">
        <v>10351</v>
      </c>
      <c r="OHF1" s="122" t="s">
        <v>10352</v>
      </c>
      <c r="OHG1" s="122" t="s">
        <v>10353</v>
      </c>
      <c r="OHH1" s="122" t="s">
        <v>10354</v>
      </c>
      <c r="OHI1" s="122" t="s">
        <v>10355</v>
      </c>
      <c r="OHJ1" s="122" t="s">
        <v>10356</v>
      </c>
      <c r="OHK1" s="122" t="s">
        <v>10357</v>
      </c>
      <c r="OHL1" s="122" t="s">
        <v>10358</v>
      </c>
      <c r="OHM1" s="122" t="s">
        <v>10359</v>
      </c>
      <c r="OHN1" s="122" t="s">
        <v>10360</v>
      </c>
      <c r="OHO1" s="122" t="s">
        <v>10361</v>
      </c>
      <c r="OHP1" s="122" t="s">
        <v>10362</v>
      </c>
      <c r="OHQ1" s="122" t="s">
        <v>10363</v>
      </c>
      <c r="OHR1" s="122" t="s">
        <v>10364</v>
      </c>
      <c r="OHS1" s="122" t="s">
        <v>10365</v>
      </c>
      <c r="OHT1" s="122" t="s">
        <v>10366</v>
      </c>
      <c r="OHU1" s="122" t="s">
        <v>10367</v>
      </c>
      <c r="OHV1" s="122" t="s">
        <v>10368</v>
      </c>
      <c r="OHW1" s="122" t="s">
        <v>10369</v>
      </c>
      <c r="OHX1" s="122" t="s">
        <v>10370</v>
      </c>
      <c r="OHY1" s="122" t="s">
        <v>10371</v>
      </c>
      <c r="OHZ1" s="122" t="s">
        <v>10372</v>
      </c>
      <c r="OIA1" s="122" t="s">
        <v>10373</v>
      </c>
      <c r="OIB1" s="122" t="s">
        <v>10374</v>
      </c>
      <c r="OIC1" s="122" t="s">
        <v>10375</v>
      </c>
      <c r="OID1" s="122" t="s">
        <v>10376</v>
      </c>
      <c r="OIE1" s="122" t="s">
        <v>10377</v>
      </c>
      <c r="OIF1" s="122" t="s">
        <v>10378</v>
      </c>
      <c r="OIG1" s="122" t="s">
        <v>10379</v>
      </c>
      <c r="OIH1" s="122" t="s">
        <v>10380</v>
      </c>
      <c r="OII1" s="122" t="s">
        <v>10381</v>
      </c>
      <c r="OIJ1" s="122" t="s">
        <v>10382</v>
      </c>
      <c r="OIK1" s="122" t="s">
        <v>10383</v>
      </c>
      <c r="OIL1" s="122" t="s">
        <v>10384</v>
      </c>
      <c r="OIM1" s="122" t="s">
        <v>10385</v>
      </c>
      <c r="OIN1" s="122" t="s">
        <v>10386</v>
      </c>
      <c r="OIO1" s="122" t="s">
        <v>10387</v>
      </c>
      <c r="OIP1" s="122" t="s">
        <v>10388</v>
      </c>
      <c r="OIQ1" s="122" t="s">
        <v>10389</v>
      </c>
      <c r="OIR1" s="122" t="s">
        <v>10390</v>
      </c>
      <c r="OIS1" s="122" t="s">
        <v>10391</v>
      </c>
      <c r="OIT1" s="122" t="s">
        <v>10392</v>
      </c>
      <c r="OIU1" s="122" t="s">
        <v>10393</v>
      </c>
      <c r="OIV1" s="122" t="s">
        <v>10394</v>
      </c>
      <c r="OIW1" s="122" t="s">
        <v>10395</v>
      </c>
      <c r="OIX1" s="122" t="s">
        <v>10396</v>
      </c>
      <c r="OIY1" s="122" t="s">
        <v>10397</v>
      </c>
      <c r="OIZ1" s="122" t="s">
        <v>10398</v>
      </c>
      <c r="OJA1" s="122" t="s">
        <v>10399</v>
      </c>
      <c r="OJB1" s="122" t="s">
        <v>10400</v>
      </c>
      <c r="OJC1" s="122" t="s">
        <v>10401</v>
      </c>
      <c r="OJD1" s="122" t="s">
        <v>10402</v>
      </c>
      <c r="OJE1" s="122" t="s">
        <v>10403</v>
      </c>
      <c r="OJF1" s="122" t="s">
        <v>10404</v>
      </c>
      <c r="OJG1" s="122" t="s">
        <v>10405</v>
      </c>
      <c r="OJH1" s="122" t="s">
        <v>10406</v>
      </c>
      <c r="OJI1" s="122" t="s">
        <v>10407</v>
      </c>
      <c r="OJJ1" s="122" t="s">
        <v>10408</v>
      </c>
      <c r="OJK1" s="122" t="s">
        <v>10409</v>
      </c>
      <c r="OJL1" s="122" t="s">
        <v>10410</v>
      </c>
      <c r="OJM1" s="122" t="s">
        <v>10411</v>
      </c>
      <c r="OJN1" s="122" t="s">
        <v>10412</v>
      </c>
      <c r="OJO1" s="122" t="s">
        <v>10413</v>
      </c>
      <c r="OJP1" s="122" t="s">
        <v>10414</v>
      </c>
      <c r="OJQ1" s="122" t="s">
        <v>10415</v>
      </c>
      <c r="OJR1" s="122" t="s">
        <v>10416</v>
      </c>
      <c r="OJS1" s="122" t="s">
        <v>10417</v>
      </c>
      <c r="OJT1" s="122" t="s">
        <v>10418</v>
      </c>
      <c r="OJU1" s="122" t="s">
        <v>10419</v>
      </c>
      <c r="OJV1" s="122" t="s">
        <v>10420</v>
      </c>
      <c r="OJW1" s="122" t="s">
        <v>10421</v>
      </c>
      <c r="OJX1" s="122" t="s">
        <v>10422</v>
      </c>
      <c r="OJY1" s="122" t="s">
        <v>10423</v>
      </c>
      <c r="OJZ1" s="122" t="s">
        <v>10424</v>
      </c>
      <c r="OKA1" s="122" t="s">
        <v>10425</v>
      </c>
      <c r="OKB1" s="122" t="s">
        <v>10426</v>
      </c>
      <c r="OKC1" s="122" t="s">
        <v>10427</v>
      </c>
      <c r="OKD1" s="122" t="s">
        <v>10428</v>
      </c>
      <c r="OKE1" s="122" t="s">
        <v>10429</v>
      </c>
      <c r="OKF1" s="122" t="s">
        <v>10430</v>
      </c>
      <c r="OKG1" s="122" t="s">
        <v>10431</v>
      </c>
      <c r="OKH1" s="122" t="s">
        <v>10432</v>
      </c>
      <c r="OKI1" s="122" t="s">
        <v>10433</v>
      </c>
      <c r="OKJ1" s="122" t="s">
        <v>10434</v>
      </c>
      <c r="OKK1" s="122" t="s">
        <v>10435</v>
      </c>
      <c r="OKL1" s="122" t="s">
        <v>10436</v>
      </c>
      <c r="OKM1" s="122" t="s">
        <v>10437</v>
      </c>
      <c r="OKN1" s="122" t="s">
        <v>10438</v>
      </c>
      <c r="OKO1" s="122" t="s">
        <v>10439</v>
      </c>
      <c r="OKP1" s="122" t="s">
        <v>10440</v>
      </c>
      <c r="OKQ1" s="122" t="s">
        <v>10441</v>
      </c>
      <c r="OKR1" s="122" t="s">
        <v>10442</v>
      </c>
      <c r="OKS1" s="122" t="s">
        <v>10443</v>
      </c>
      <c r="OKT1" s="122" t="s">
        <v>10444</v>
      </c>
      <c r="OKU1" s="122" t="s">
        <v>10445</v>
      </c>
      <c r="OKV1" s="122" t="s">
        <v>10446</v>
      </c>
      <c r="OKW1" s="122" t="s">
        <v>10447</v>
      </c>
      <c r="OKX1" s="122" t="s">
        <v>10448</v>
      </c>
      <c r="OKY1" s="122" t="s">
        <v>10449</v>
      </c>
      <c r="OKZ1" s="122" t="s">
        <v>10450</v>
      </c>
      <c r="OLA1" s="122" t="s">
        <v>10451</v>
      </c>
      <c r="OLB1" s="122" t="s">
        <v>10452</v>
      </c>
      <c r="OLC1" s="122" t="s">
        <v>10453</v>
      </c>
      <c r="OLD1" s="122" t="s">
        <v>10454</v>
      </c>
      <c r="OLE1" s="122" t="s">
        <v>10455</v>
      </c>
      <c r="OLF1" s="122" t="s">
        <v>10456</v>
      </c>
      <c r="OLG1" s="122" t="s">
        <v>10457</v>
      </c>
      <c r="OLH1" s="122" t="s">
        <v>10458</v>
      </c>
      <c r="OLI1" s="122" t="s">
        <v>10459</v>
      </c>
      <c r="OLJ1" s="122" t="s">
        <v>10460</v>
      </c>
      <c r="OLK1" s="122" t="s">
        <v>10461</v>
      </c>
      <c r="OLL1" s="122" t="s">
        <v>10462</v>
      </c>
      <c r="OLM1" s="122" t="s">
        <v>10463</v>
      </c>
      <c r="OLN1" s="122" t="s">
        <v>10464</v>
      </c>
      <c r="OLO1" s="122" t="s">
        <v>10465</v>
      </c>
      <c r="OLP1" s="122" t="s">
        <v>10466</v>
      </c>
      <c r="OLQ1" s="122" t="s">
        <v>10467</v>
      </c>
      <c r="OLR1" s="122" t="s">
        <v>10468</v>
      </c>
      <c r="OLS1" s="122" t="s">
        <v>10469</v>
      </c>
      <c r="OLT1" s="122" t="s">
        <v>10470</v>
      </c>
      <c r="OLU1" s="122" t="s">
        <v>10471</v>
      </c>
      <c r="OLV1" s="122" t="s">
        <v>10472</v>
      </c>
      <c r="OLW1" s="122" t="s">
        <v>10473</v>
      </c>
      <c r="OLX1" s="122" t="s">
        <v>10474</v>
      </c>
      <c r="OLY1" s="122" t="s">
        <v>10475</v>
      </c>
      <c r="OLZ1" s="122" t="s">
        <v>10476</v>
      </c>
      <c r="OMA1" s="122" t="s">
        <v>10477</v>
      </c>
      <c r="OMB1" s="122" t="s">
        <v>10478</v>
      </c>
      <c r="OMC1" s="122" t="s">
        <v>10479</v>
      </c>
      <c r="OMD1" s="122" t="s">
        <v>10480</v>
      </c>
      <c r="OME1" s="122" t="s">
        <v>10481</v>
      </c>
      <c r="OMF1" s="122" t="s">
        <v>10482</v>
      </c>
      <c r="OMG1" s="122" t="s">
        <v>10483</v>
      </c>
      <c r="OMH1" s="122" t="s">
        <v>10484</v>
      </c>
      <c r="OMI1" s="122" t="s">
        <v>10485</v>
      </c>
      <c r="OMJ1" s="122" t="s">
        <v>10486</v>
      </c>
      <c r="OMK1" s="122" t="s">
        <v>10487</v>
      </c>
      <c r="OML1" s="122" t="s">
        <v>10488</v>
      </c>
      <c r="OMM1" s="122" t="s">
        <v>10489</v>
      </c>
      <c r="OMN1" s="122" t="s">
        <v>10490</v>
      </c>
      <c r="OMO1" s="122" t="s">
        <v>10491</v>
      </c>
      <c r="OMP1" s="122" t="s">
        <v>10492</v>
      </c>
      <c r="OMQ1" s="122" t="s">
        <v>10493</v>
      </c>
      <c r="OMR1" s="122" t="s">
        <v>10494</v>
      </c>
      <c r="OMS1" s="122" t="s">
        <v>10495</v>
      </c>
      <c r="OMT1" s="122" t="s">
        <v>10496</v>
      </c>
      <c r="OMU1" s="122" t="s">
        <v>10497</v>
      </c>
      <c r="OMV1" s="122" t="s">
        <v>10498</v>
      </c>
      <c r="OMW1" s="122" t="s">
        <v>10499</v>
      </c>
      <c r="OMX1" s="122" t="s">
        <v>10500</v>
      </c>
      <c r="OMY1" s="122" t="s">
        <v>10501</v>
      </c>
      <c r="OMZ1" s="122" t="s">
        <v>10502</v>
      </c>
      <c r="ONA1" s="122" t="s">
        <v>10503</v>
      </c>
      <c r="ONB1" s="122" t="s">
        <v>10504</v>
      </c>
      <c r="ONC1" s="122" t="s">
        <v>10505</v>
      </c>
      <c r="OND1" s="122" t="s">
        <v>10506</v>
      </c>
      <c r="ONE1" s="122" t="s">
        <v>10507</v>
      </c>
      <c r="ONF1" s="122" t="s">
        <v>10508</v>
      </c>
      <c r="ONG1" s="122" t="s">
        <v>10509</v>
      </c>
      <c r="ONH1" s="122" t="s">
        <v>10510</v>
      </c>
      <c r="ONI1" s="122" t="s">
        <v>10511</v>
      </c>
      <c r="ONJ1" s="122" t="s">
        <v>10512</v>
      </c>
      <c r="ONK1" s="122" t="s">
        <v>10513</v>
      </c>
      <c r="ONL1" s="122" t="s">
        <v>10514</v>
      </c>
      <c r="ONM1" s="122" t="s">
        <v>10515</v>
      </c>
      <c r="ONN1" s="122" t="s">
        <v>10516</v>
      </c>
      <c r="ONO1" s="122" t="s">
        <v>10517</v>
      </c>
      <c r="ONP1" s="122" t="s">
        <v>10518</v>
      </c>
      <c r="ONQ1" s="122" t="s">
        <v>10519</v>
      </c>
      <c r="ONR1" s="122" t="s">
        <v>10520</v>
      </c>
      <c r="ONS1" s="122" t="s">
        <v>10521</v>
      </c>
      <c r="ONT1" s="122" t="s">
        <v>10522</v>
      </c>
      <c r="ONU1" s="122" t="s">
        <v>10523</v>
      </c>
      <c r="ONV1" s="122" t="s">
        <v>10524</v>
      </c>
      <c r="ONW1" s="122" t="s">
        <v>10525</v>
      </c>
      <c r="ONX1" s="122" t="s">
        <v>10526</v>
      </c>
      <c r="ONY1" s="122" t="s">
        <v>10527</v>
      </c>
      <c r="ONZ1" s="122" t="s">
        <v>10528</v>
      </c>
      <c r="OOA1" s="122" t="s">
        <v>10529</v>
      </c>
      <c r="OOB1" s="122" t="s">
        <v>10530</v>
      </c>
      <c r="OOC1" s="122" t="s">
        <v>10531</v>
      </c>
      <c r="OOD1" s="122" t="s">
        <v>10532</v>
      </c>
      <c r="OOE1" s="122" t="s">
        <v>10533</v>
      </c>
      <c r="OOF1" s="122" t="s">
        <v>10534</v>
      </c>
      <c r="OOG1" s="122" t="s">
        <v>10535</v>
      </c>
      <c r="OOH1" s="122" t="s">
        <v>10536</v>
      </c>
      <c r="OOI1" s="122" t="s">
        <v>10537</v>
      </c>
      <c r="OOJ1" s="122" t="s">
        <v>10538</v>
      </c>
      <c r="OOK1" s="122" t="s">
        <v>10539</v>
      </c>
      <c r="OOL1" s="122" t="s">
        <v>10540</v>
      </c>
      <c r="OOM1" s="122" t="s">
        <v>10541</v>
      </c>
      <c r="OON1" s="122" t="s">
        <v>10542</v>
      </c>
      <c r="OOO1" s="122" t="s">
        <v>10543</v>
      </c>
      <c r="OOP1" s="122" t="s">
        <v>10544</v>
      </c>
      <c r="OOQ1" s="122" t="s">
        <v>10545</v>
      </c>
      <c r="OOR1" s="122" t="s">
        <v>10546</v>
      </c>
      <c r="OOS1" s="122" t="s">
        <v>10547</v>
      </c>
      <c r="OOT1" s="122" t="s">
        <v>10548</v>
      </c>
      <c r="OOU1" s="122" t="s">
        <v>10549</v>
      </c>
      <c r="OOV1" s="122" t="s">
        <v>10550</v>
      </c>
      <c r="OOW1" s="122" t="s">
        <v>10551</v>
      </c>
      <c r="OOX1" s="122" t="s">
        <v>10552</v>
      </c>
      <c r="OOY1" s="122" t="s">
        <v>10553</v>
      </c>
      <c r="OOZ1" s="122" t="s">
        <v>10554</v>
      </c>
      <c r="OPA1" s="122" t="s">
        <v>10555</v>
      </c>
      <c r="OPB1" s="122" t="s">
        <v>10556</v>
      </c>
      <c r="OPC1" s="122" t="s">
        <v>10557</v>
      </c>
      <c r="OPD1" s="122" t="s">
        <v>10558</v>
      </c>
      <c r="OPE1" s="122" t="s">
        <v>10559</v>
      </c>
      <c r="OPF1" s="122" t="s">
        <v>10560</v>
      </c>
      <c r="OPG1" s="122" t="s">
        <v>10561</v>
      </c>
      <c r="OPH1" s="122" t="s">
        <v>10562</v>
      </c>
      <c r="OPI1" s="122" t="s">
        <v>10563</v>
      </c>
      <c r="OPJ1" s="122" t="s">
        <v>10564</v>
      </c>
      <c r="OPK1" s="122" t="s">
        <v>10565</v>
      </c>
      <c r="OPL1" s="122" t="s">
        <v>10566</v>
      </c>
      <c r="OPM1" s="122" t="s">
        <v>10567</v>
      </c>
      <c r="OPN1" s="122" t="s">
        <v>10568</v>
      </c>
      <c r="OPO1" s="122" t="s">
        <v>10569</v>
      </c>
      <c r="OPP1" s="122" t="s">
        <v>10570</v>
      </c>
      <c r="OPQ1" s="122" t="s">
        <v>10571</v>
      </c>
      <c r="OPR1" s="122" t="s">
        <v>10572</v>
      </c>
      <c r="OPS1" s="122" t="s">
        <v>10573</v>
      </c>
      <c r="OPT1" s="122" t="s">
        <v>10574</v>
      </c>
      <c r="OPU1" s="122" t="s">
        <v>10575</v>
      </c>
      <c r="OPV1" s="122" t="s">
        <v>10576</v>
      </c>
      <c r="OPW1" s="122" t="s">
        <v>10577</v>
      </c>
      <c r="OPX1" s="122" t="s">
        <v>10578</v>
      </c>
      <c r="OPY1" s="122" t="s">
        <v>10579</v>
      </c>
      <c r="OPZ1" s="122" t="s">
        <v>10580</v>
      </c>
      <c r="OQA1" s="122" t="s">
        <v>10581</v>
      </c>
      <c r="OQB1" s="122" t="s">
        <v>10582</v>
      </c>
      <c r="OQC1" s="122" t="s">
        <v>10583</v>
      </c>
      <c r="OQD1" s="122" t="s">
        <v>10584</v>
      </c>
      <c r="OQE1" s="122" t="s">
        <v>10585</v>
      </c>
      <c r="OQF1" s="122" t="s">
        <v>10586</v>
      </c>
      <c r="OQG1" s="122" t="s">
        <v>10587</v>
      </c>
      <c r="OQH1" s="122" t="s">
        <v>10588</v>
      </c>
      <c r="OQI1" s="122" t="s">
        <v>10589</v>
      </c>
      <c r="OQJ1" s="122" t="s">
        <v>10590</v>
      </c>
      <c r="OQK1" s="122" t="s">
        <v>10591</v>
      </c>
      <c r="OQL1" s="122" t="s">
        <v>10592</v>
      </c>
      <c r="OQM1" s="122" t="s">
        <v>10593</v>
      </c>
      <c r="OQN1" s="122" t="s">
        <v>10594</v>
      </c>
      <c r="OQO1" s="122" t="s">
        <v>10595</v>
      </c>
      <c r="OQP1" s="122" t="s">
        <v>10596</v>
      </c>
      <c r="OQQ1" s="122" t="s">
        <v>10597</v>
      </c>
      <c r="OQR1" s="122" t="s">
        <v>10598</v>
      </c>
      <c r="OQS1" s="122" t="s">
        <v>10599</v>
      </c>
      <c r="OQT1" s="122" t="s">
        <v>10600</v>
      </c>
      <c r="OQU1" s="122" t="s">
        <v>10601</v>
      </c>
      <c r="OQV1" s="122" t="s">
        <v>10602</v>
      </c>
      <c r="OQW1" s="122" t="s">
        <v>10603</v>
      </c>
      <c r="OQX1" s="122" t="s">
        <v>10604</v>
      </c>
      <c r="OQY1" s="122" t="s">
        <v>10605</v>
      </c>
      <c r="OQZ1" s="122" t="s">
        <v>10606</v>
      </c>
      <c r="ORA1" s="122" t="s">
        <v>10607</v>
      </c>
      <c r="ORB1" s="122" t="s">
        <v>10608</v>
      </c>
      <c r="ORC1" s="122" t="s">
        <v>10609</v>
      </c>
      <c r="ORD1" s="122" t="s">
        <v>10610</v>
      </c>
      <c r="ORE1" s="122" t="s">
        <v>10611</v>
      </c>
      <c r="ORF1" s="122" t="s">
        <v>10612</v>
      </c>
      <c r="ORG1" s="122" t="s">
        <v>10613</v>
      </c>
      <c r="ORH1" s="122" t="s">
        <v>10614</v>
      </c>
      <c r="ORI1" s="122" t="s">
        <v>10615</v>
      </c>
      <c r="ORJ1" s="122" t="s">
        <v>10616</v>
      </c>
      <c r="ORK1" s="122" t="s">
        <v>10617</v>
      </c>
      <c r="ORL1" s="122" t="s">
        <v>10618</v>
      </c>
      <c r="ORM1" s="122" t="s">
        <v>10619</v>
      </c>
      <c r="ORN1" s="122" t="s">
        <v>10620</v>
      </c>
      <c r="ORO1" s="122" t="s">
        <v>10621</v>
      </c>
      <c r="ORP1" s="122" t="s">
        <v>10622</v>
      </c>
      <c r="ORQ1" s="122" t="s">
        <v>10623</v>
      </c>
      <c r="ORR1" s="122" t="s">
        <v>10624</v>
      </c>
      <c r="ORS1" s="122" t="s">
        <v>10625</v>
      </c>
      <c r="ORT1" s="122" t="s">
        <v>10626</v>
      </c>
      <c r="ORU1" s="122" t="s">
        <v>10627</v>
      </c>
      <c r="ORV1" s="122" t="s">
        <v>10628</v>
      </c>
      <c r="ORW1" s="122" t="s">
        <v>10629</v>
      </c>
      <c r="ORX1" s="122" t="s">
        <v>10630</v>
      </c>
      <c r="ORY1" s="122" t="s">
        <v>10631</v>
      </c>
      <c r="ORZ1" s="122" t="s">
        <v>10632</v>
      </c>
      <c r="OSA1" s="122" t="s">
        <v>10633</v>
      </c>
      <c r="OSB1" s="122" t="s">
        <v>10634</v>
      </c>
      <c r="OSC1" s="122" t="s">
        <v>10635</v>
      </c>
      <c r="OSD1" s="122" t="s">
        <v>10636</v>
      </c>
      <c r="OSE1" s="122" t="s">
        <v>10637</v>
      </c>
      <c r="OSF1" s="122" t="s">
        <v>10638</v>
      </c>
      <c r="OSG1" s="122" t="s">
        <v>10639</v>
      </c>
      <c r="OSH1" s="122" t="s">
        <v>10640</v>
      </c>
      <c r="OSI1" s="122" t="s">
        <v>10641</v>
      </c>
      <c r="OSJ1" s="122" t="s">
        <v>10642</v>
      </c>
      <c r="OSK1" s="122" t="s">
        <v>10643</v>
      </c>
      <c r="OSL1" s="122" t="s">
        <v>10644</v>
      </c>
      <c r="OSM1" s="122" t="s">
        <v>10645</v>
      </c>
      <c r="OSN1" s="122" t="s">
        <v>10646</v>
      </c>
      <c r="OSO1" s="122" t="s">
        <v>10647</v>
      </c>
      <c r="OSP1" s="122" t="s">
        <v>10648</v>
      </c>
      <c r="OSQ1" s="122" t="s">
        <v>10649</v>
      </c>
      <c r="OSR1" s="122" t="s">
        <v>10650</v>
      </c>
      <c r="OSS1" s="122" t="s">
        <v>10651</v>
      </c>
      <c r="OST1" s="122" t="s">
        <v>10652</v>
      </c>
      <c r="OSU1" s="122" t="s">
        <v>10653</v>
      </c>
      <c r="OSV1" s="122" t="s">
        <v>10654</v>
      </c>
      <c r="OSW1" s="122" t="s">
        <v>10655</v>
      </c>
      <c r="OSX1" s="122" t="s">
        <v>10656</v>
      </c>
      <c r="OSY1" s="122" t="s">
        <v>10657</v>
      </c>
      <c r="OSZ1" s="122" t="s">
        <v>10658</v>
      </c>
      <c r="OTA1" s="122" t="s">
        <v>10659</v>
      </c>
      <c r="OTB1" s="122" t="s">
        <v>10660</v>
      </c>
      <c r="OTC1" s="122" t="s">
        <v>10661</v>
      </c>
      <c r="OTD1" s="122" t="s">
        <v>10662</v>
      </c>
      <c r="OTE1" s="122" t="s">
        <v>10663</v>
      </c>
      <c r="OTF1" s="122" t="s">
        <v>10664</v>
      </c>
      <c r="OTG1" s="122" t="s">
        <v>10665</v>
      </c>
      <c r="OTH1" s="122" t="s">
        <v>10666</v>
      </c>
      <c r="OTI1" s="122" t="s">
        <v>10667</v>
      </c>
      <c r="OTJ1" s="122" t="s">
        <v>10668</v>
      </c>
      <c r="OTK1" s="122" t="s">
        <v>10669</v>
      </c>
      <c r="OTL1" s="122" t="s">
        <v>10670</v>
      </c>
      <c r="OTM1" s="122" t="s">
        <v>10671</v>
      </c>
      <c r="OTN1" s="122" t="s">
        <v>10672</v>
      </c>
      <c r="OTO1" s="122" t="s">
        <v>10673</v>
      </c>
      <c r="OTP1" s="122" t="s">
        <v>10674</v>
      </c>
      <c r="OTQ1" s="122" t="s">
        <v>10675</v>
      </c>
      <c r="OTR1" s="122" t="s">
        <v>10676</v>
      </c>
      <c r="OTS1" s="122" t="s">
        <v>10677</v>
      </c>
      <c r="OTT1" s="122" t="s">
        <v>10678</v>
      </c>
      <c r="OTU1" s="122" t="s">
        <v>10679</v>
      </c>
      <c r="OTV1" s="122" t="s">
        <v>10680</v>
      </c>
      <c r="OTW1" s="122" t="s">
        <v>10681</v>
      </c>
      <c r="OTX1" s="122" t="s">
        <v>10682</v>
      </c>
      <c r="OTY1" s="122" t="s">
        <v>10683</v>
      </c>
      <c r="OTZ1" s="122" t="s">
        <v>10684</v>
      </c>
      <c r="OUA1" s="122" t="s">
        <v>10685</v>
      </c>
      <c r="OUB1" s="122" t="s">
        <v>10686</v>
      </c>
      <c r="OUC1" s="122" t="s">
        <v>10687</v>
      </c>
      <c r="OUD1" s="122" t="s">
        <v>10688</v>
      </c>
      <c r="OUE1" s="122" t="s">
        <v>10689</v>
      </c>
      <c r="OUF1" s="122" t="s">
        <v>10690</v>
      </c>
      <c r="OUG1" s="122" t="s">
        <v>10691</v>
      </c>
      <c r="OUH1" s="122" t="s">
        <v>10692</v>
      </c>
      <c r="OUI1" s="122" t="s">
        <v>10693</v>
      </c>
      <c r="OUJ1" s="122" t="s">
        <v>10694</v>
      </c>
      <c r="OUK1" s="122" t="s">
        <v>10695</v>
      </c>
      <c r="OUL1" s="122" t="s">
        <v>10696</v>
      </c>
      <c r="OUM1" s="122" t="s">
        <v>10697</v>
      </c>
      <c r="OUN1" s="122" t="s">
        <v>10698</v>
      </c>
      <c r="OUO1" s="122" t="s">
        <v>10699</v>
      </c>
      <c r="OUP1" s="122" t="s">
        <v>10700</v>
      </c>
      <c r="OUQ1" s="122" t="s">
        <v>10701</v>
      </c>
      <c r="OUR1" s="122" t="s">
        <v>10702</v>
      </c>
      <c r="OUS1" s="122" t="s">
        <v>10703</v>
      </c>
      <c r="OUT1" s="122" t="s">
        <v>10704</v>
      </c>
      <c r="OUU1" s="122" t="s">
        <v>10705</v>
      </c>
      <c r="OUV1" s="122" t="s">
        <v>10706</v>
      </c>
      <c r="OUW1" s="122" t="s">
        <v>10707</v>
      </c>
      <c r="OUX1" s="122" t="s">
        <v>10708</v>
      </c>
      <c r="OUY1" s="122" t="s">
        <v>10709</v>
      </c>
      <c r="OUZ1" s="122" t="s">
        <v>10710</v>
      </c>
      <c r="OVA1" s="122" t="s">
        <v>10711</v>
      </c>
      <c r="OVB1" s="122" t="s">
        <v>10712</v>
      </c>
      <c r="OVC1" s="122" t="s">
        <v>10713</v>
      </c>
      <c r="OVD1" s="122" t="s">
        <v>10714</v>
      </c>
      <c r="OVE1" s="122" t="s">
        <v>10715</v>
      </c>
      <c r="OVF1" s="122" t="s">
        <v>10716</v>
      </c>
      <c r="OVG1" s="122" t="s">
        <v>10717</v>
      </c>
      <c r="OVH1" s="122" t="s">
        <v>10718</v>
      </c>
      <c r="OVI1" s="122" t="s">
        <v>10719</v>
      </c>
      <c r="OVJ1" s="122" t="s">
        <v>10720</v>
      </c>
      <c r="OVK1" s="122" t="s">
        <v>10721</v>
      </c>
      <c r="OVL1" s="122" t="s">
        <v>10722</v>
      </c>
      <c r="OVM1" s="122" t="s">
        <v>10723</v>
      </c>
      <c r="OVN1" s="122" t="s">
        <v>10724</v>
      </c>
      <c r="OVO1" s="122" t="s">
        <v>10725</v>
      </c>
      <c r="OVP1" s="122" t="s">
        <v>10726</v>
      </c>
      <c r="OVQ1" s="122" t="s">
        <v>10727</v>
      </c>
      <c r="OVR1" s="122" t="s">
        <v>10728</v>
      </c>
      <c r="OVS1" s="122" t="s">
        <v>10729</v>
      </c>
      <c r="OVT1" s="122" t="s">
        <v>10730</v>
      </c>
      <c r="OVU1" s="122" t="s">
        <v>10731</v>
      </c>
      <c r="OVV1" s="122" t="s">
        <v>10732</v>
      </c>
      <c r="OVW1" s="122" t="s">
        <v>10733</v>
      </c>
      <c r="OVX1" s="122" t="s">
        <v>10734</v>
      </c>
      <c r="OVY1" s="122" t="s">
        <v>10735</v>
      </c>
      <c r="OVZ1" s="122" t="s">
        <v>10736</v>
      </c>
      <c r="OWA1" s="122" t="s">
        <v>10737</v>
      </c>
      <c r="OWB1" s="122" t="s">
        <v>10738</v>
      </c>
      <c r="OWC1" s="122" t="s">
        <v>10739</v>
      </c>
      <c r="OWD1" s="122" t="s">
        <v>10740</v>
      </c>
      <c r="OWE1" s="122" t="s">
        <v>10741</v>
      </c>
      <c r="OWF1" s="122" t="s">
        <v>10742</v>
      </c>
      <c r="OWG1" s="122" t="s">
        <v>10743</v>
      </c>
      <c r="OWH1" s="122" t="s">
        <v>10744</v>
      </c>
      <c r="OWI1" s="122" t="s">
        <v>10745</v>
      </c>
      <c r="OWJ1" s="122" t="s">
        <v>10746</v>
      </c>
      <c r="OWK1" s="122" t="s">
        <v>10747</v>
      </c>
      <c r="OWL1" s="122" t="s">
        <v>10748</v>
      </c>
      <c r="OWM1" s="122" t="s">
        <v>10749</v>
      </c>
      <c r="OWN1" s="122" t="s">
        <v>10750</v>
      </c>
      <c r="OWO1" s="122" t="s">
        <v>10751</v>
      </c>
      <c r="OWP1" s="122" t="s">
        <v>10752</v>
      </c>
      <c r="OWQ1" s="122" t="s">
        <v>10753</v>
      </c>
      <c r="OWR1" s="122" t="s">
        <v>10754</v>
      </c>
      <c r="OWS1" s="122" t="s">
        <v>10755</v>
      </c>
      <c r="OWT1" s="122" t="s">
        <v>10756</v>
      </c>
      <c r="OWU1" s="122" t="s">
        <v>10757</v>
      </c>
      <c r="OWV1" s="122" t="s">
        <v>10758</v>
      </c>
      <c r="OWW1" s="122" t="s">
        <v>10759</v>
      </c>
      <c r="OWX1" s="122" t="s">
        <v>10760</v>
      </c>
      <c r="OWY1" s="122" t="s">
        <v>10761</v>
      </c>
      <c r="OWZ1" s="122" t="s">
        <v>10762</v>
      </c>
      <c r="OXA1" s="122" t="s">
        <v>10763</v>
      </c>
      <c r="OXB1" s="122" t="s">
        <v>10764</v>
      </c>
      <c r="OXC1" s="122" t="s">
        <v>10765</v>
      </c>
      <c r="OXD1" s="122" t="s">
        <v>10766</v>
      </c>
      <c r="OXE1" s="122" t="s">
        <v>10767</v>
      </c>
      <c r="OXF1" s="122" t="s">
        <v>10768</v>
      </c>
      <c r="OXG1" s="122" t="s">
        <v>10769</v>
      </c>
      <c r="OXH1" s="122" t="s">
        <v>10770</v>
      </c>
      <c r="OXI1" s="122" t="s">
        <v>10771</v>
      </c>
      <c r="OXJ1" s="122" t="s">
        <v>10772</v>
      </c>
      <c r="OXK1" s="122" t="s">
        <v>10773</v>
      </c>
      <c r="OXL1" s="122" t="s">
        <v>10774</v>
      </c>
      <c r="OXM1" s="122" t="s">
        <v>10775</v>
      </c>
      <c r="OXN1" s="122" t="s">
        <v>10776</v>
      </c>
      <c r="OXO1" s="122" t="s">
        <v>10777</v>
      </c>
      <c r="OXP1" s="122" t="s">
        <v>10778</v>
      </c>
      <c r="OXQ1" s="122" t="s">
        <v>10779</v>
      </c>
      <c r="OXR1" s="122" t="s">
        <v>10780</v>
      </c>
      <c r="OXS1" s="122" t="s">
        <v>10781</v>
      </c>
      <c r="OXT1" s="122" t="s">
        <v>10782</v>
      </c>
      <c r="OXU1" s="122" t="s">
        <v>10783</v>
      </c>
      <c r="OXV1" s="122" t="s">
        <v>10784</v>
      </c>
      <c r="OXW1" s="122" t="s">
        <v>10785</v>
      </c>
      <c r="OXX1" s="122" t="s">
        <v>10786</v>
      </c>
      <c r="OXY1" s="122" t="s">
        <v>10787</v>
      </c>
      <c r="OXZ1" s="122" t="s">
        <v>10788</v>
      </c>
      <c r="OYA1" s="122" t="s">
        <v>10789</v>
      </c>
      <c r="OYB1" s="122" t="s">
        <v>10790</v>
      </c>
      <c r="OYC1" s="122" t="s">
        <v>10791</v>
      </c>
      <c r="OYD1" s="122" t="s">
        <v>10792</v>
      </c>
      <c r="OYE1" s="122" t="s">
        <v>10793</v>
      </c>
      <c r="OYF1" s="122" t="s">
        <v>10794</v>
      </c>
      <c r="OYG1" s="122" t="s">
        <v>10795</v>
      </c>
      <c r="OYH1" s="122" t="s">
        <v>10796</v>
      </c>
      <c r="OYI1" s="122" t="s">
        <v>10797</v>
      </c>
      <c r="OYJ1" s="122" t="s">
        <v>10798</v>
      </c>
      <c r="OYK1" s="122" t="s">
        <v>10799</v>
      </c>
      <c r="OYL1" s="122" t="s">
        <v>10800</v>
      </c>
      <c r="OYM1" s="122" t="s">
        <v>10801</v>
      </c>
      <c r="OYN1" s="122" t="s">
        <v>10802</v>
      </c>
      <c r="OYO1" s="122" t="s">
        <v>10803</v>
      </c>
      <c r="OYP1" s="122" t="s">
        <v>10804</v>
      </c>
      <c r="OYQ1" s="122" t="s">
        <v>10805</v>
      </c>
      <c r="OYR1" s="122" t="s">
        <v>10806</v>
      </c>
      <c r="OYS1" s="122" t="s">
        <v>10807</v>
      </c>
      <c r="OYT1" s="122" t="s">
        <v>10808</v>
      </c>
      <c r="OYU1" s="122" t="s">
        <v>10809</v>
      </c>
      <c r="OYV1" s="122" t="s">
        <v>10810</v>
      </c>
      <c r="OYW1" s="122" t="s">
        <v>10811</v>
      </c>
      <c r="OYX1" s="122" t="s">
        <v>10812</v>
      </c>
      <c r="OYY1" s="122" t="s">
        <v>10813</v>
      </c>
      <c r="OYZ1" s="122" t="s">
        <v>10814</v>
      </c>
      <c r="OZA1" s="122" t="s">
        <v>10815</v>
      </c>
      <c r="OZB1" s="122" t="s">
        <v>10816</v>
      </c>
      <c r="OZC1" s="122" t="s">
        <v>10817</v>
      </c>
      <c r="OZD1" s="122" t="s">
        <v>10818</v>
      </c>
      <c r="OZE1" s="122" t="s">
        <v>10819</v>
      </c>
      <c r="OZF1" s="122" t="s">
        <v>10820</v>
      </c>
      <c r="OZG1" s="122" t="s">
        <v>10821</v>
      </c>
      <c r="OZH1" s="122" t="s">
        <v>10822</v>
      </c>
      <c r="OZI1" s="122" t="s">
        <v>10823</v>
      </c>
      <c r="OZJ1" s="122" t="s">
        <v>10824</v>
      </c>
      <c r="OZK1" s="122" t="s">
        <v>10825</v>
      </c>
      <c r="OZL1" s="122" t="s">
        <v>10826</v>
      </c>
      <c r="OZM1" s="122" t="s">
        <v>10827</v>
      </c>
      <c r="OZN1" s="122" t="s">
        <v>10828</v>
      </c>
      <c r="OZO1" s="122" t="s">
        <v>10829</v>
      </c>
      <c r="OZP1" s="122" t="s">
        <v>10830</v>
      </c>
      <c r="OZQ1" s="122" t="s">
        <v>10831</v>
      </c>
      <c r="OZR1" s="122" t="s">
        <v>10832</v>
      </c>
      <c r="OZS1" s="122" t="s">
        <v>10833</v>
      </c>
      <c r="OZT1" s="122" t="s">
        <v>10834</v>
      </c>
      <c r="OZU1" s="122" t="s">
        <v>10835</v>
      </c>
      <c r="OZV1" s="122" t="s">
        <v>10836</v>
      </c>
      <c r="OZW1" s="122" t="s">
        <v>10837</v>
      </c>
      <c r="OZX1" s="122" t="s">
        <v>10838</v>
      </c>
      <c r="OZY1" s="122" t="s">
        <v>10839</v>
      </c>
      <c r="OZZ1" s="122" t="s">
        <v>10840</v>
      </c>
      <c r="PAA1" s="122" t="s">
        <v>10841</v>
      </c>
      <c r="PAB1" s="122" t="s">
        <v>10842</v>
      </c>
      <c r="PAC1" s="122" t="s">
        <v>10843</v>
      </c>
      <c r="PAD1" s="122" t="s">
        <v>10844</v>
      </c>
      <c r="PAE1" s="122" t="s">
        <v>10845</v>
      </c>
      <c r="PAF1" s="122" t="s">
        <v>10846</v>
      </c>
      <c r="PAG1" s="122" t="s">
        <v>10847</v>
      </c>
      <c r="PAH1" s="122" t="s">
        <v>10848</v>
      </c>
      <c r="PAI1" s="122" t="s">
        <v>10849</v>
      </c>
      <c r="PAJ1" s="122" t="s">
        <v>10850</v>
      </c>
      <c r="PAK1" s="122" t="s">
        <v>10851</v>
      </c>
      <c r="PAL1" s="122" t="s">
        <v>10852</v>
      </c>
      <c r="PAM1" s="122" t="s">
        <v>10853</v>
      </c>
      <c r="PAN1" s="122" t="s">
        <v>10854</v>
      </c>
      <c r="PAO1" s="122" t="s">
        <v>10855</v>
      </c>
      <c r="PAP1" s="122" t="s">
        <v>10856</v>
      </c>
      <c r="PAQ1" s="122" t="s">
        <v>10857</v>
      </c>
      <c r="PAR1" s="122" t="s">
        <v>10858</v>
      </c>
      <c r="PAS1" s="122" t="s">
        <v>10859</v>
      </c>
      <c r="PAT1" s="122" t="s">
        <v>10860</v>
      </c>
      <c r="PAU1" s="122" t="s">
        <v>10861</v>
      </c>
      <c r="PAV1" s="122" t="s">
        <v>10862</v>
      </c>
      <c r="PAW1" s="122" t="s">
        <v>10863</v>
      </c>
      <c r="PAX1" s="122" t="s">
        <v>10864</v>
      </c>
      <c r="PAY1" s="122" t="s">
        <v>10865</v>
      </c>
      <c r="PAZ1" s="122" t="s">
        <v>10866</v>
      </c>
      <c r="PBA1" s="122" t="s">
        <v>10867</v>
      </c>
      <c r="PBB1" s="122" t="s">
        <v>10868</v>
      </c>
      <c r="PBC1" s="122" t="s">
        <v>10869</v>
      </c>
      <c r="PBD1" s="122" t="s">
        <v>10870</v>
      </c>
      <c r="PBE1" s="122" t="s">
        <v>10871</v>
      </c>
      <c r="PBF1" s="122" t="s">
        <v>10872</v>
      </c>
      <c r="PBG1" s="122" t="s">
        <v>10873</v>
      </c>
      <c r="PBH1" s="122" t="s">
        <v>10874</v>
      </c>
      <c r="PBI1" s="122" t="s">
        <v>10875</v>
      </c>
      <c r="PBJ1" s="122" t="s">
        <v>10876</v>
      </c>
      <c r="PBK1" s="122" t="s">
        <v>10877</v>
      </c>
      <c r="PBL1" s="122" t="s">
        <v>10878</v>
      </c>
      <c r="PBM1" s="122" t="s">
        <v>10879</v>
      </c>
      <c r="PBN1" s="122" t="s">
        <v>10880</v>
      </c>
      <c r="PBO1" s="122" t="s">
        <v>10881</v>
      </c>
      <c r="PBP1" s="122" t="s">
        <v>10882</v>
      </c>
      <c r="PBQ1" s="122" t="s">
        <v>10883</v>
      </c>
      <c r="PBR1" s="122" t="s">
        <v>10884</v>
      </c>
      <c r="PBS1" s="122" t="s">
        <v>10885</v>
      </c>
      <c r="PBT1" s="122" t="s">
        <v>10886</v>
      </c>
      <c r="PBU1" s="122" t="s">
        <v>10887</v>
      </c>
      <c r="PBV1" s="122" t="s">
        <v>10888</v>
      </c>
      <c r="PBW1" s="122" t="s">
        <v>10889</v>
      </c>
      <c r="PBX1" s="122" t="s">
        <v>10890</v>
      </c>
      <c r="PBY1" s="122" t="s">
        <v>10891</v>
      </c>
      <c r="PBZ1" s="122" t="s">
        <v>10892</v>
      </c>
      <c r="PCA1" s="122" t="s">
        <v>10893</v>
      </c>
      <c r="PCB1" s="122" t="s">
        <v>10894</v>
      </c>
      <c r="PCC1" s="122" t="s">
        <v>10895</v>
      </c>
      <c r="PCD1" s="122" t="s">
        <v>10896</v>
      </c>
      <c r="PCE1" s="122" t="s">
        <v>10897</v>
      </c>
      <c r="PCF1" s="122" t="s">
        <v>10898</v>
      </c>
      <c r="PCG1" s="122" t="s">
        <v>10899</v>
      </c>
      <c r="PCH1" s="122" t="s">
        <v>10900</v>
      </c>
      <c r="PCI1" s="122" t="s">
        <v>10901</v>
      </c>
      <c r="PCJ1" s="122" t="s">
        <v>10902</v>
      </c>
      <c r="PCK1" s="122" t="s">
        <v>10903</v>
      </c>
      <c r="PCL1" s="122" t="s">
        <v>10904</v>
      </c>
      <c r="PCM1" s="122" t="s">
        <v>10905</v>
      </c>
      <c r="PCN1" s="122" t="s">
        <v>10906</v>
      </c>
      <c r="PCO1" s="122" t="s">
        <v>10907</v>
      </c>
      <c r="PCP1" s="122" t="s">
        <v>10908</v>
      </c>
      <c r="PCQ1" s="122" t="s">
        <v>10909</v>
      </c>
      <c r="PCR1" s="122" t="s">
        <v>10910</v>
      </c>
      <c r="PCS1" s="122" t="s">
        <v>10911</v>
      </c>
      <c r="PCT1" s="122" t="s">
        <v>10912</v>
      </c>
      <c r="PCU1" s="122" t="s">
        <v>10913</v>
      </c>
      <c r="PCV1" s="122" t="s">
        <v>10914</v>
      </c>
      <c r="PCW1" s="122" t="s">
        <v>10915</v>
      </c>
      <c r="PCX1" s="122" t="s">
        <v>10916</v>
      </c>
      <c r="PCY1" s="122" t="s">
        <v>10917</v>
      </c>
      <c r="PCZ1" s="122" t="s">
        <v>10918</v>
      </c>
      <c r="PDA1" s="122" t="s">
        <v>10919</v>
      </c>
      <c r="PDB1" s="122" t="s">
        <v>10920</v>
      </c>
      <c r="PDC1" s="122" t="s">
        <v>10921</v>
      </c>
      <c r="PDD1" s="122" t="s">
        <v>10922</v>
      </c>
      <c r="PDE1" s="122" t="s">
        <v>10923</v>
      </c>
      <c r="PDF1" s="122" t="s">
        <v>10924</v>
      </c>
      <c r="PDG1" s="122" t="s">
        <v>10925</v>
      </c>
      <c r="PDH1" s="122" t="s">
        <v>10926</v>
      </c>
      <c r="PDI1" s="122" t="s">
        <v>10927</v>
      </c>
      <c r="PDJ1" s="122" t="s">
        <v>10928</v>
      </c>
      <c r="PDK1" s="122" t="s">
        <v>10929</v>
      </c>
      <c r="PDL1" s="122" t="s">
        <v>10930</v>
      </c>
      <c r="PDM1" s="122" t="s">
        <v>10931</v>
      </c>
      <c r="PDN1" s="122" t="s">
        <v>10932</v>
      </c>
      <c r="PDO1" s="122" t="s">
        <v>10933</v>
      </c>
      <c r="PDP1" s="122" t="s">
        <v>10934</v>
      </c>
      <c r="PDQ1" s="122" t="s">
        <v>10935</v>
      </c>
      <c r="PDR1" s="122" t="s">
        <v>10936</v>
      </c>
      <c r="PDS1" s="122" t="s">
        <v>10937</v>
      </c>
      <c r="PDT1" s="122" t="s">
        <v>10938</v>
      </c>
      <c r="PDU1" s="122" t="s">
        <v>10939</v>
      </c>
      <c r="PDV1" s="122" t="s">
        <v>10940</v>
      </c>
      <c r="PDW1" s="122" t="s">
        <v>10941</v>
      </c>
      <c r="PDX1" s="122" t="s">
        <v>10942</v>
      </c>
      <c r="PDY1" s="122" t="s">
        <v>10943</v>
      </c>
      <c r="PDZ1" s="122" t="s">
        <v>10944</v>
      </c>
      <c r="PEA1" s="122" t="s">
        <v>10945</v>
      </c>
      <c r="PEB1" s="122" t="s">
        <v>10946</v>
      </c>
      <c r="PEC1" s="122" t="s">
        <v>10947</v>
      </c>
      <c r="PED1" s="122" t="s">
        <v>10948</v>
      </c>
      <c r="PEE1" s="122" t="s">
        <v>10949</v>
      </c>
      <c r="PEF1" s="122" t="s">
        <v>10950</v>
      </c>
      <c r="PEG1" s="122" t="s">
        <v>10951</v>
      </c>
      <c r="PEH1" s="122" t="s">
        <v>10952</v>
      </c>
      <c r="PEI1" s="122" t="s">
        <v>10953</v>
      </c>
      <c r="PEJ1" s="122" t="s">
        <v>10954</v>
      </c>
      <c r="PEK1" s="122" t="s">
        <v>10955</v>
      </c>
      <c r="PEL1" s="122" t="s">
        <v>10956</v>
      </c>
      <c r="PEM1" s="122" t="s">
        <v>10957</v>
      </c>
      <c r="PEN1" s="122" t="s">
        <v>10958</v>
      </c>
      <c r="PEO1" s="122" t="s">
        <v>10959</v>
      </c>
      <c r="PEP1" s="122" t="s">
        <v>10960</v>
      </c>
      <c r="PEQ1" s="122" t="s">
        <v>10961</v>
      </c>
      <c r="PER1" s="122" t="s">
        <v>10962</v>
      </c>
      <c r="PES1" s="122" t="s">
        <v>10963</v>
      </c>
      <c r="PET1" s="122" t="s">
        <v>10964</v>
      </c>
      <c r="PEU1" s="122" t="s">
        <v>10965</v>
      </c>
      <c r="PEV1" s="122" t="s">
        <v>10966</v>
      </c>
      <c r="PEW1" s="122" t="s">
        <v>10967</v>
      </c>
      <c r="PEX1" s="122" t="s">
        <v>10968</v>
      </c>
      <c r="PEY1" s="122" t="s">
        <v>10969</v>
      </c>
      <c r="PEZ1" s="122" t="s">
        <v>10970</v>
      </c>
      <c r="PFA1" s="122" t="s">
        <v>10971</v>
      </c>
      <c r="PFB1" s="122" t="s">
        <v>10972</v>
      </c>
      <c r="PFC1" s="122" t="s">
        <v>10973</v>
      </c>
      <c r="PFD1" s="122" t="s">
        <v>10974</v>
      </c>
      <c r="PFE1" s="122" t="s">
        <v>10975</v>
      </c>
      <c r="PFF1" s="122" t="s">
        <v>10976</v>
      </c>
      <c r="PFG1" s="122" t="s">
        <v>10977</v>
      </c>
      <c r="PFH1" s="122" t="s">
        <v>10978</v>
      </c>
      <c r="PFI1" s="122" t="s">
        <v>10979</v>
      </c>
      <c r="PFJ1" s="122" t="s">
        <v>10980</v>
      </c>
      <c r="PFK1" s="122" t="s">
        <v>10981</v>
      </c>
      <c r="PFL1" s="122" t="s">
        <v>10982</v>
      </c>
      <c r="PFM1" s="122" t="s">
        <v>10983</v>
      </c>
      <c r="PFN1" s="122" t="s">
        <v>10984</v>
      </c>
      <c r="PFO1" s="122" t="s">
        <v>10985</v>
      </c>
      <c r="PFP1" s="122" t="s">
        <v>10986</v>
      </c>
      <c r="PFQ1" s="122" t="s">
        <v>10987</v>
      </c>
      <c r="PFR1" s="122" t="s">
        <v>10988</v>
      </c>
      <c r="PFS1" s="122" t="s">
        <v>10989</v>
      </c>
      <c r="PFT1" s="122" t="s">
        <v>10990</v>
      </c>
      <c r="PFU1" s="122" t="s">
        <v>10991</v>
      </c>
      <c r="PFV1" s="122" t="s">
        <v>10992</v>
      </c>
      <c r="PFW1" s="122" t="s">
        <v>10993</v>
      </c>
      <c r="PFX1" s="122" t="s">
        <v>10994</v>
      </c>
      <c r="PFY1" s="122" t="s">
        <v>10995</v>
      </c>
      <c r="PFZ1" s="122" t="s">
        <v>10996</v>
      </c>
      <c r="PGA1" s="122" t="s">
        <v>10997</v>
      </c>
      <c r="PGB1" s="122" t="s">
        <v>10998</v>
      </c>
      <c r="PGC1" s="122" t="s">
        <v>10999</v>
      </c>
      <c r="PGD1" s="122" t="s">
        <v>11000</v>
      </c>
      <c r="PGE1" s="122" t="s">
        <v>11001</v>
      </c>
      <c r="PGF1" s="122" t="s">
        <v>11002</v>
      </c>
      <c r="PGG1" s="122" t="s">
        <v>11003</v>
      </c>
      <c r="PGH1" s="122" t="s">
        <v>11004</v>
      </c>
      <c r="PGI1" s="122" t="s">
        <v>11005</v>
      </c>
      <c r="PGJ1" s="122" t="s">
        <v>11006</v>
      </c>
      <c r="PGK1" s="122" t="s">
        <v>11007</v>
      </c>
      <c r="PGL1" s="122" t="s">
        <v>11008</v>
      </c>
      <c r="PGM1" s="122" t="s">
        <v>11009</v>
      </c>
      <c r="PGN1" s="122" t="s">
        <v>11010</v>
      </c>
      <c r="PGO1" s="122" t="s">
        <v>11011</v>
      </c>
      <c r="PGP1" s="122" t="s">
        <v>11012</v>
      </c>
      <c r="PGQ1" s="122" t="s">
        <v>11013</v>
      </c>
      <c r="PGR1" s="122" t="s">
        <v>11014</v>
      </c>
      <c r="PGS1" s="122" t="s">
        <v>11015</v>
      </c>
      <c r="PGT1" s="122" t="s">
        <v>11016</v>
      </c>
      <c r="PGU1" s="122" t="s">
        <v>11017</v>
      </c>
      <c r="PGV1" s="122" t="s">
        <v>11018</v>
      </c>
      <c r="PGW1" s="122" t="s">
        <v>11019</v>
      </c>
      <c r="PGX1" s="122" t="s">
        <v>11020</v>
      </c>
      <c r="PGY1" s="122" t="s">
        <v>11021</v>
      </c>
      <c r="PGZ1" s="122" t="s">
        <v>11022</v>
      </c>
      <c r="PHA1" s="122" t="s">
        <v>11023</v>
      </c>
      <c r="PHB1" s="122" t="s">
        <v>11024</v>
      </c>
      <c r="PHC1" s="122" t="s">
        <v>11025</v>
      </c>
      <c r="PHD1" s="122" t="s">
        <v>11026</v>
      </c>
      <c r="PHE1" s="122" t="s">
        <v>11027</v>
      </c>
      <c r="PHF1" s="122" t="s">
        <v>11028</v>
      </c>
      <c r="PHG1" s="122" t="s">
        <v>11029</v>
      </c>
      <c r="PHH1" s="122" t="s">
        <v>11030</v>
      </c>
      <c r="PHI1" s="122" t="s">
        <v>11031</v>
      </c>
      <c r="PHJ1" s="122" t="s">
        <v>11032</v>
      </c>
      <c r="PHK1" s="122" t="s">
        <v>11033</v>
      </c>
      <c r="PHL1" s="122" t="s">
        <v>11034</v>
      </c>
      <c r="PHM1" s="122" t="s">
        <v>11035</v>
      </c>
      <c r="PHN1" s="122" t="s">
        <v>11036</v>
      </c>
      <c r="PHO1" s="122" t="s">
        <v>11037</v>
      </c>
      <c r="PHP1" s="122" t="s">
        <v>11038</v>
      </c>
      <c r="PHQ1" s="122" t="s">
        <v>11039</v>
      </c>
      <c r="PHR1" s="122" t="s">
        <v>11040</v>
      </c>
      <c r="PHS1" s="122" t="s">
        <v>11041</v>
      </c>
      <c r="PHT1" s="122" t="s">
        <v>11042</v>
      </c>
      <c r="PHU1" s="122" t="s">
        <v>11043</v>
      </c>
      <c r="PHV1" s="122" t="s">
        <v>11044</v>
      </c>
      <c r="PHW1" s="122" t="s">
        <v>11045</v>
      </c>
      <c r="PHX1" s="122" t="s">
        <v>11046</v>
      </c>
      <c r="PHY1" s="122" t="s">
        <v>11047</v>
      </c>
      <c r="PHZ1" s="122" t="s">
        <v>11048</v>
      </c>
      <c r="PIA1" s="122" t="s">
        <v>11049</v>
      </c>
      <c r="PIB1" s="122" t="s">
        <v>11050</v>
      </c>
      <c r="PIC1" s="122" t="s">
        <v>11051</v>
      </c>
      <c r="PID1" s="122" t="s">
        <v>11052</v>
      </c>
      <c r="PIE1" s="122" t="s">
        <v>11053</v>
      </c>
      <c r="PIF1" s="122" t="s">
        <v>11054</v>
      </c>
      <c r="PIG1" s="122" t="s">
        <v>11055</v>
      </c>
      <c r="PIH1" s="122" t="s">
        <v>11056</v>
      </c>
      <c r="PII1" s="122" t="s">
        <v>11057</v>
      </c>
      <c r="PIJ1" s="122" t="s">
        <v>11058</v>
      </c>
      <c r="PIK1" s="122" t="s">
        <v>11059</v>
      </c>
      <c r="PIL1" s="122" t="s">
        <v>11060</v>
      </c>
      <c r="PIM1" s="122" t="s">
        <v>11061</v>
      </c>
      <c r="PIN1" s="122" t="s">
        <v>11062</v>
      </c>
      <c r="PIO1" s="122" t="s">
        <v>11063</v>
      </c>
      <c r="PIP1" s="122" t="s">
        <v>11064</v>
      </c>
      <c r="PIQ1" s="122" t="s">
        <v>11065</v>
      </c>
      <c r="PIR1" s="122" t="s">
        <v>11066</v>
      </c>
      <c r="PIS1" s="122" t="s">
        <v>11067</v>
      </c>
      <c r="PIT1" s="122" t="s">
        <v>11068</v>
      </c>
      <c r="PIU1" s="122" t="s">
        <v>11069</v>
      </c>
      <c r="PIV1" s="122" t="s">
        <v>11070</v>
      </c>
      <c r="PIW1" s="122" t="s">
        <v>11071</v>
      </c>
      <c r="PIX1" s="122" t="s">
        <v>11072</v>
      </c>
      <c r="PIY1" s="122" t="s">
        <v>11073</v>
      </c>
      <c r="PIZ1" s="122" t="s">
        <v>11074</v>
      </c>
      <c r="PJA1" s="122" t="s">
        <v>11075</v>
      </c>
      <c r="PJB1" s="122" t="s">
        <v>11076</v>
      </c>
      <c r="PJC1" s="122" t="s">
        <v>11077</v>
      </c>
      <c r="PJD1" s="122" t="s">
        <v>11078</v>
      </c>
      <c r="PJE1" s="122" t="s">
        <v>11079</v>
      </c>
      <c r="PJF1" s="122" t="s">
        <v>11080</v>
      </c>
      <c r="PJG1" s="122" t="s">
        <v>11081</v>
      </c>
      <c r="PJH1" s="122" t="s">
        <v>11082</v>
      </c>
      <c r="PJI1" s="122" t="s">
        <v>11083</v>
      </c>
      <c r="PJJ1" s="122" t="s">
        <v>11084</v>
      </c>
      <c r="PJK1" s="122" t="s">
        <v>11085</v>
      </c>
      <c r="PJL1" s="122" t="s">
        <v>11086</v>
      </c>
      <c r="PJM1" s="122" t="s">
        <v>11087</v>
      </c>
      <c r="PJN1" s="122" t="s">
        <v>11088</v>
      </c>
      <c r="PJO1" s="122" t="s">
        <v>11089</v>
      </c>
      <c r="PJP1" s="122" t="s">
        <v>11090</v>
      </c>
      <c r="PJQ1" s="122" t="s">
        <v>11091</v>
      </c>
      <c r="PJR1" s="122" t="s">
        <v>11092</v>
      </c>
      <c r="PJS1" s="122" t="s">
        <v>11093</v>
      </c>
      <c r="PJT1" s="122" t="s">
        <v>11094</v>
      </c>
      <c r="PJU1" s="122" t="s">
        <v>11095</v>
      </c>
      <c r="PJV1" s="122" t="s">
        <v>11096</v>
      </c>
      <c r="PJW1" s="122" t="s">
        <v>11097</v>
      </c>
      <c r="PJX1" s="122" t="s">
        <v>11098</v>
      </c>
      <c r="PJY1" s="122" t="s">
        <v>11099</v>
      </c>
      <c r="PJZ1" s="122" t="s">
        <v>11100</v>
      </c>
      <c r="PKA1" s="122" t="s">
        <v>11101</v>
      </c>
      <c r="PKB1" s="122" t="s">
        <v>11102</v>
      </c>
      <c r="PKC1" s="122" t="s">
        <v>11103</v>
      </c>
      <c r="PKD1" s="122" t="s">
        <v>11104</v>
      </c>
      <c r="PKE1" s="122" t="s">
        <v>11105</v>
      </c>
      <c r="PKF1" s="122" t="s">
        <v>11106</v>
      </c>
      <c r="PKG1" s="122" t="s">
        <v>11107</v>
      </c>
      <c r="PKH1" s="122" t="s">
        <v>11108</v>
      </c>
      <c r="PKI1" s="122" t="s">
        <v>11109</v>
      </c>
      <c r="PKJ1" s="122" t="s">
        <v>11110</v>
      </c>
      <c r="PKK1" s="122" t="s">
        <v>11111</v>
      </c>
      <c r="PKL1" s="122" t="s">
        <v>11112</v>
      </c>
      <c r="PKM1" s="122" t="s">
        <v>11113</v>
      </c>
      <c r="PKN1" s="122" t="s">
        <v>11114</v>
      </c>
      <c r="PKO1" s="122" t="s">
        <v>11115</v>
      </c>
      <c r="PKP1" s="122" t="s">
        <v>11116</v>
      </c>
      <c r="PKQ1" s="122" t="s">
        <v>11117</v>
      </c>
      <c r="PKR1" s="122" t="s">
        <v>11118</v>
      </c>
      <c r="PKS1" s="122" t="s">
        <v>11119</v>
      </c>
      <c r="PKT1" s="122" t="s">
        <v>11120</v>
      </c>
      <c r="PKU1" s="122" t="s">
        <v>11121</v>
      </c>
      <c r="PKV1" s="122" t="s">
        <v>11122</v>
      </c>
      <c r="PKW1" s="122" t="s">
        <v>11123</v>
      </c>
      <c r="PKX1" s="122" t="s">
        <v>11124</v>
      </c>
      <c r="PKY1" s="122" t="s">
        <v>11125</v>
      </c>
      <c r="PKZ1" s="122" t="s">
        <v>11126</v>
      </c>
      <c r="PLA1" s="122" t="s">
        <v>11127</v>
      </c>
      <c r="PLB1" s="122" t="s">
        <v>11128</v>
      </c>
      <c r="PLC1" s="122" t="s">
        <v>11129</v>
      </c>
      <c r="PLD1" s="122" t="s">
        <v>11130</v>
      </c>
      <c r="PLE1" s="122" t="s">
        <v>11131</v>
      </c>
      <c r="PLF1" s="122" t="s">
        <v>11132</v>
      </c>
      <c r="PLG1" s="122" t="s">
        <v>11133</v>
      </c>
      <c r="PLH1" s="122" t="s">
        <v>11134</v>
      </c>
      <c r="PLI1" s="122" t="s">
        <v>11135</v>
      </c>
      <c r="PLJ1" s="122" t="s">
        <v>11136</v>
      </c>
      <c r="PLK1" s="122" t="s">
        <v>11137</v>
      </c>
      <c r="PLL1" s="122" t="s">
        <v>11138</v>
      </c>
      <c r="PLM1" s="122" t="s">
        <v>11139</v>
      </c>
      <c r="PLN1" s="122" t="s">
        <v>11140</v>
      </c>
      <c r="PLO1" s="122" t="s">
        <v>11141</v>
      </c>
      <c r="PLP1" s="122" t="s">
        <v>11142</v>
      </c>
      <c r="PLQ1" s="122" t="s">
        <v>11143</v>
      </c>
      <c r="PLR1" s="122" t="s">
        <v>11144</v>
      </c>
      <c r="PLS1" s="122" t="s">
        <v>11145</v>
      </c>
      <c r="PLT1" s="122" t="s">
        <v>11146</v>
      </c>
      <c r="PLU1" s="122" t="s">
        <v>11147</v>
      </c>
      <c r="PLV1" s="122" t="s">
        <v>11148</v>
      </c>
      <c r="PLW1" s="122" t="s">
        <v>11149</v>
      </c>
      <c r="PLX1" s="122" t="s">
        <v>11150</v>
      </c>
      <c r="PLY1" s="122" t="s">
        <v>11151</v>
      </c>
      <c r="PLZ1" s="122" t="s">
        <v>11152</v>
      </c>
      <c r="PMA1" s="122" t="s">
        <v>11153</v>
      </c>
      <c r="PMB1" s="122" t="s">
        <v>11154</v>
      </c>
      <c r="PMC1" s="122" t="s">
        <v>11155</v>
      </c>
      <c r="PMD1" s="122" t="s">
        <v>11156</v>
      </c>
      <c r="PME1" s="122" t="s">
        <v>11157</v>
      </c>
      <c r="PMF1" s="122" t="s">
        <v>11158</v>
      </c>
      <c r="PMG1" s="122" t="s">
        <v>11159</v>
      </c>
      <c r="PMH1" s="122" t="s">
        <v>11160</v>
      </c>
      <c r="PMI1" s="122" t="s">
        <v>11161</v>
      </c>
      <c r="PMJ1" s="122" t="s">
        <v>11162</v>
      </c>
      <c r="PMK1" s="122" t="s">
        <v>11163</v>
      </c>
      <c r="PML1" s="122" t="s">
        <v>11164</v>
      </c>
      <c r="PMM1" s="122" t="s">
        <v>11165</v>
      </c>
      <c r="PMN1" s="122" t="s">
        <v>11166</v>
      </c>
      <c r="PMO1" s="122" t="s">
        <v>11167</v>
      </c>
      <c r="PMP1" s="122" t="s">
        <v>11168</v>
      </c>
      <c r="PMQ1" s="122" t="s">
        <v>11169</v>
      </c>
      <c r="PMR1" s="122" t="s">
        <v>11170</v>
      </c>
      <c r="PMS1" s="122" t="s">
        <v>11171</v>
      </c>
      <c r="PMT1" s="122" t="s">
        <v>11172</v>
      </c>
      <c r="PMU1" s="122" t="s">
        <v>11173</v>
      </c>
      <c r="PMV1" s="122" t="s">
        <v>11174</v>
      </c>
      <c r="PMW1" s="122" t="s">
        <v>11175</v>
      </c>
      <c r="PMX1" s="122" t="s">
        <v>11176</v>
      </c>
      <c r="PMY1" s="122" t="s">
        <v>11177</v>
      </c>
      <c r="PMZ1" s="122" t="s">
        <v>11178</v>
      </c>
      <c r="PNA1" s="122" t="s">
        <v>11179</v>
      </c>
      <c r="PNB1" s="122" t="s">
        <v>11180</v>
      </c>
      <c r="PNC1" s="122" t="s">
        <v>11181</v>
      </c>
      <c r="PND1" s="122" t="s">
        <v>11182</v>
      </c>
      <c r="PNE1" s="122" t="s">
        <v>11183</v>
      </c>
      <c r="PNF1" s="122" t="s">
        <v>11184</v>
      </c>
      <c r="PNG1" s="122" t="s">
        <v>11185</v>
      </c>
      <c r="PNH1" s="122" t="s">
        <v>11186</v>
      </c>
      <c r="PNI1" s="122" t="s">
        <v>11187</v>
      </c>
      <c r="PNJ1" s="122" t="s">
        <v>11188</v>
      </c>
      <c r="PNK1" s="122" t="s">
        <v>11189</v>
      </c>
      <c r="PNL1" s="122" t="s">
        <v>11190</v>
      </c>
      <c r="PNM1" s="122" t="s">
        <v>11191</v>
      </c>
      <c r="PNN1" s="122" t="s">
        <v>11192</v>
      </c>
      <c r="PNO1" s="122" t="s">
        <v>11193</v>
      </c>
      <c r="PNP1" s="122" t="s">
        <v>11194</v>
      </c>
      <c r="PNQ1" s="122" t="s">
        <v>11195</v>
      </c>
      <c r="PNR1" s="122" t="s">
        <v>11196</v>
      </c>
      <c r="PNS1" s="122" t="s">
        <v>11197</v>
      </c>
      <c r="PNT1" s="122" t="s">
        <v>11198</v>
      </c>
      <c r="PNU1" s="122" t="s">
        <v>11199</v>
      </c>
      <c r="PNV1" s="122" t="s">
        <v>11200</v>
      </c>
      <c r="PNW1" s="122" t="s">
        <v>11201</v>
      </c>
      <c r="PNX1" s="122" t="s">
        <v>11202</v>
      </c>
      <c r="PNY1" s="122" t="s">
        <v>11203</v>
      </c>
      <c r="PNZ1" s="122" t="s">
        <v>11204</v>
      </c>
      <c r="POA1" s="122" t="s">
        <v>11205</v>
      </c>
      <c r="POB1" s="122" t="s">
        <v>11206</v>
      </c>
      <c r="POC1" s="122" t="s">
        <v>11207</v>
      </c>
      <c r="POD1" s="122" t="s">
        <v>11208</v>
      </c>
      <c r="POE1" s="122" t="s">
        <v>11209</v>
      </c>
      <c r="POF1" s="122" t="s">
        <v>11210</v>
      </c>
      <c r="POG1" s="122" t="s">
        <v>11211</v>
      </c>
      <c r="POH1" s="122" t="s">
        <v>11212</v>
      </c>
      <c r="POI1" s="122" t="s">
        <v>11213</v>
      </c>
      <c r="POJ1" s="122" t="s">
        <v>11214</v>
      </c>
      <c r="POK1" s="122" t="s">
        <v>11215</v>
      </c>
      <c r="POL1" s="122" t="s">
        <v>11216</v>
      </c>
      <c r="POM1" s="122" t="s">
        <v>11217</v>
      </c>
      <c r="PON1" s="122" t="s">
        <v>11218</v>
      </c>
      <c r="POO1" s="122" t="s">
        <v>11219</v>
      </c>
      <c r="POP1" s="122" t="s">
        <v>11220</v>
      </c>
      <c r="POQ1" s="122" t="s">
        <v>11221</v>
      </c>
      <c r="POR1" s="122" t="s">
        <v>11222</v>
      </c>
      <c r="POS1" s="122" t="s">
        <v>11223</v>
      </c>
      <c r="POT1" s="122" t="s">
        <v>11224</v>
      </c>
      <c r="POU1" s="122" t="s">
        <v>11225</v>
      </c>
      <c r="POV1" s="122" t="s">
        <v>11226</v>
      </c>
      <c r="POW1" s="122" t="s">
        <v>11227</v>
      </c>
      <c r="POX1" s="122" t="s">
        <v>11228</v>
      </c>
      <c r="POY1" s="122" t="s">
        <v>11229</v>
      </c>
      <c r="POZ1" s="122" t="s">
        <v>11230</v>
      </c>
      <c r="PPA1" s="122" t="s">
        <v>11231</v>
      </c>
      <c r="PPB1" s="122" t="s">
        <v>11232</v>
      </c>
      <c r="PPC1" s="122" t="s">
        <v>11233</v>
      </c>
      <c r="PPD1" s="122" t="s">
        <v>11234</v>
      </c>
      <c r="PPE1" s="122" t="s">
        <v>11235</v>
      </c>
      <c r="PPF1" s="122" t="s">
        <v>11236</v>
      </c>
      <c r="PPG1" s="122" t="s">
        <v>11237</v>
      </c>
      <c r="PPH1" s="122" t="s">
        <v>11238</v>
      </c>
      <c r="PPI1" s="122" t="s">
        <v>11239</v>
      </c>
      <c r="PPJ1" s="122" t="s">
        <v>11240</v>
      </c>
      <c r="PPK1" s="122" t="s">
        <v>11241</v>
      </c>
      <c r="PPL1" s="122" t="s">
        <v>11242</v>
      </c>
      <c r="PPM1" s="122" t="s">
        <v>11243</v>
      </c>
      <c r="PPN1" s="122" t="s">
        <v>11244</v>
      </c>
      <c r="PPO1" s="122" t="s">
        <v>11245</v>
      </c>
      <c r="PPP1" s="122" t="s">
        <v>11246</v>
      </c>
      <c r="PPQ1" s="122" t="s">
        <v>11247</v>
      </c>
      <c r="PPR1" s="122" t="s">
        <v>11248</v>
      </c>
      <c r="PPS1" s="122" t="s">
        <v>11249</v>
      </c>
      <c r="PPT1" s="122" t="s">
        <v>11250</v>
      </c>
      <c r="PPU1" s="122" t="s">
        <v>11251</v>
      </c>
      <c r="PPV1" s="122" t="s">
        <v>11252</v>
      </c>
      <c r="PPW1" s="122" t="s">
        <v>11253</v>
      </c>
      <c r="PPX1" s="122" t="s">
        <v>11254</v>
      </c>
      <c r="PPY1" s="122" t="s">
        <v>11255</v>
      </c>
      <c r="PPZ1" s="122" t="s">
        <v>11256</v>
      </c>
      <c r="PQA1" s="122" t="s">
        <v>11257</v>
      </c>
      <c r="PQB1" s="122" t="s">
        <v>11258</v>
      </c>
      <c r="PQC1" s="122" t="s">
        <v>11259</v>
      </c>
      <c r="PQD1" s="122" t="s">
        <v>11260</v>
      </c>
      <c r="PQE1" s="122" t="s">
        <v>11261</v>
      </c>
      <c r="PQF1" s="122" t="s">
        <v>11262</v>
      </c>
      <c r="PQG1" s="122" t="s">
        <v>11263</v>
      </c>
      <c r="PQH1" s="122" t="s">
        <v>11264</v>
      </c>
      <c r="PQI1" s="122" t="s">
        <v>11265</v>
      </c>
      <c r="PQJ1" s="122" t="s">
        <v>11266</v>
      </c>
      <c r="PQK1" s="122" t="s">
        <v>11267</v>
      </c>
      <c r="PQL1" s="122" t="s">
        <v>11268</v>
      </c>
      <c r="PQM1" s="122" t="s">
        <v>11269</v>
      </c>
      <c r="PQN1" s="122" t="s">
        <v>11270</v>
      </c>
      <c r="PQO1" s="122" t="s">
        <v>11271</v>
      </c>
      <c r="PQP1" s="122" t="s">
        <v>11272</v>
      </c>
      <c r="PQQ1" s="122" t="s">
        <v>11273</v>
      </c>
      <c r="PQR1" s="122" t="s">
        <v>11274</v>
      </c>
      <c r="PQS1" s="122" t="s">
        <v>11275</v>
      </c>
      <c r="PQT1" s="122" t="s">
        <v>11276</v>
      </c>
      <c r="PQU1" s="122" t="s">
        <v>11277</v>
      </c>
      <c r="PQV1" s="122" t="s">
        <v>11278</v>
      </c>
      <c r="PQW1" s="122" t="s">
        <v>11279</v>
      </c>
      <c r="PQX1" s="122" t="s">
        <v>11280</v>
      </c>
      <c r="PQY1" s="122" t="s">
        <v>11281</v>
      </c>
      <c r="PQZ1" s="122" t="s">
        <v>11282</v>
      </c>
      <c r="PRA1" s="122" t="s">
        <v>11283</v>
      </c>
      <c r="PRB1" s="122" t="s">
        <v>11284</v>
      </c>
      <c r="PRC1" s="122" t="s">
        <v>11285</v>
      </c>
      <c r="PRD1" s="122" t="s">
        <v>11286</v>
      </c>
      <c r="PRE1" s="122" t="s">
        <v>11287</v>
      </c>
      <c r="PRF1" s="122" t="s">
        <v>11288</v>
      </c>
      <c r="PRG1" s="122" t="s">
        <v>11289</v>
      </c>
      <c r="PRH1" s="122" t="s">
        <v>11290</v>
      </c>
      <c r="PRI1" s="122" t="s">
        <v>11291</v>
      </c>
      <c r="PRJ1" s="122" t="s">
        <v>11292</v>
      </c>
      <c r="PRK1" s="122" t="s">
        <v>11293</v>
      </c>
      <c r="PRL1" s="122" t="s">
        <v>11294</v>
      </c>
      <c r="PRM1" s="122" t="s">
        <v>11295</v>
      </c>
      <c r="PRN1" s="122" t="s">
        <v>11296</v>
      </c>
      <c r="PRO1" s="122" t="s">
        <v>11297</v>
      </c>
      <c r="PRP1" s="122" t="s">
        <v>11298</v>
      </c>
      <c r="PRQ1" s="122" t="s">
        <v>11299</v>
      </c>
      <c r="PRR1" s="122" t="s">
        <v>11300</v>
      </c>
      <c r="PRS1" s="122" t="s">
        <v>11301</v>
      </c>
      <c r="PRT1" s="122" t="s">
        <v>11302</v>
      </c>
      <c r="PRU1" s="122" t="s">
        <v>11303</v>
      </c>
      <c r="PRV1" s="122" t="s">
        <v>11304</v>
      </c>
      <c r="PRW1" s="122" t="s">
        <v>11305</v>
      </c>
      <c r="PRX1" s="122" t="s">
        <v>11306</v>
      </c>
      <c r="PRY1" s="122" t="s">
        <v>11307</v>
      </c>
      <c r="PRZ1" s="122" t="s">
        <v>11308</v>
      </c>
      <c r="PSA1" s="122" t="s">
        <v>11309</v>
      </c>
      <c r="PSB1" s="122" t="s">
        <v>11310</v>
      </c>
      <c r="PSC1" s="122" t="s">
        <v>11311</v>
      </c>
      <c r="PSD1" s="122" t="s">
        <v>11312</v>
      </c>
      <c r="PSE1" s="122" t="s">
        <v>11313</v>
      </c>
      <c r="PSF1" s="122" t="s">
        <v>11314</v>
      </c>
      <c r="PSG1" s="122" t="s">
        <v>11315</v>
      </c>
      <c r="PSH1" s="122" t="s">
        <v>11316</v>
      </c>
      <c r="PSI1" s="122" t="s">
        <v>11317</v>
      </c>
      <c r="PSJ1" s="122" t="s">
        <v>11318</v>
      </c>
      <c r="PSK1" s="122" t="s">
        <v>11319</v>
      </c>
      <c r="PSL1" s="122" t="s">
        <v>11320</v>
      </c>
      <c r="PSM1" s="122" t="s">
        <v>11321</v>
      </c>
      <c r="PSN1" s="122" t="s">
        <v>11322</v>
      </c>
      <c r="PSO1" s="122" t="s">
        <v>11323</v>
      </c>
      <c r="PSP1" s="122" t="s">
        <v>11324</v>
      </c>
      <c r="PSQ1" s="122" t="s">
        <v>11325</v>
      </c>
      <c r="PSR1" s="122" t="s">
        <v>11326</v>
      </c>
      <c r="PSS1" s="122" t="s">
        <v>11327</v>
      </c>
      <c r="PST1" s="122" t="s">
        <v>11328</v>
      </c>
      <c r="PSU1" s="122" t="s">
        <v>11329</v>
      </c>
      <c r="PSV1" s="122" t="s">
        <v>11330</v>
      </c>
      <c r="PSW1" s="122" t="s">
        <v>11331</v>
      </c>
      <c r="PSX1" s="122" t="s">
        <v>11332</v>
      </c>
      <c r="PSY1" s="122" t="s">
        <v>11333</v>
      </c>
      <c r="PSZ1" s="122" t="s">
        <v>11334</v>
      </c>
      <c r="PTA1" s="122" t="s">
        <v>11335</v>
      </c>
      <c r="PTB1" s="122" t="s">
        <v>11336</v>
      </c>
      <c r="PTC1" s="122" t="s">
        <v>11337</v>
      </c>
      <c r="PTD1" s="122" t="s">
        <v>11338</v>
      </c>
      <c r="PTE1" s="122" t="s">
        <v>11339</v>
      </c>
      <c r="PTF1" s="122" t="s">
        <v>11340</v>
      </c>
      <c r="PTG1" s="122" t="s">
        <v>11341</v>
      </c>
      <c r="PTH1" s="122" t="s">
        <v>11342</v>
      </c>
      <c r="PTI1" s="122" t="s">
        <v>11343</v>
      </c>
      <c r="PTJ1" s="122" t="s">
        <v>11344</v>
      </c>
      <c r="PTK1" s="122" t="s">
        <v>11345</v>
      </c>
      <c r="PTL1" s="122" t="s">
        <v>11346</v>
      </c>
      <c r="PTM1" s="122" t="s">
        <v>11347</v>
      </c>
      <c r="PTN1" s="122" t="s">
        <v>11348</v>
      </c>
      <c r="PTO1" s="122" t="s">
        <v>11349</v>
      </c>
      <c r="PTP1" s="122" t="s">
        <v>11350</v>
      </c>
      <c r="PTQ1" s="122" t="s">
        <v>11351</v>
      </c>
      <c r="PTR1" s="122" t="s">
        <v>11352</v>
      </c>
      <c r="PTS1" s="122" t="s">
        <v>11353</v>
      </c>
      <c r="PTT1" s="122" t="s">
        <v>11354</v>
      </c>
      <c r="PTU1" s="122" t="s">
        <v>11355</v>
      </c>
      <c r="PTV1" s="122" t="s">
        <v>11356</v>
      </c>
      <c r="PTW1" s="122" t="s">
        <v>11357</v>
      </c>
      <c r="PTX1" s="122" t="s">
        <v>11358</v>
      </c>
      <c r="PTY1" s="122" t="s">
        <v>11359</v>
      </c>
      <c r="PTZ1" s="122" t="s">
        <v>11360</v>
      </c>
      <c r="PUA1" s="122" t="s">
        <v>11361</v>
      </c>
      <c r="PUB1" s="122" t="s">
        <v>11362</v>
      </c>
      <c r="PUC1" s="122" t="s">
        <v>11363</v>
      </c>
      <c r="PUD1" s="122" t="s">
        <v>11364</v>
      </c>
      <c r="PUE1" s="122" t="s">
        <v>11365</v>
      </c>
      <c r="PUF1" s="122" t="s">
        <v>11366</v>
      </c>
      <c r="PUG1" s="122" t="s">
        <v>11367</v>
      </c>
      <c r="PUH1" s="122" t="s">
        <v>11368</v>
      </c>
      <c r="PUI1" s="122" t="s">
        <v>11369</v>
      </c>
      <c r="PUJ1" s="122" t="s">
        <v>11370</v>
      </c>
      <c r="PUK1" s="122" t="s">
        <v>11371</v>
      </c>
      <c r="PUL1" s="122" t="s">
        <v>11372</v>
      </c>
      <c r="PUM1" s="122" t="s">
        <v>11373</v>
      </c>
      <c r="PUN1" s="122" t="s">
        <v>11374</v>
      </c>
      <c r="PUO1" s="122" t="s">
        <v>11375</v>
      </c>
      <c r="PUP1" s="122" t="s">
        <v>11376</v>
      </c>
      <c r="PUQ1" s="122" t="s">
        <v>11377</v>
      </c>
      <c r="PUR1" s="122" t="s">
        <v>11378</v>
      </c>
      <c r="PUS1" s="122" t="s">
        <v>11379</v>
      </c>
      <c r="PUT1" s="122" t="s">
        <v>11380</v>
      </c>
      <c r="PUU1" s="122" t="s">
        <v>11381</v>
      </c>
      <c r="PUV1" s="122" t="s">
        <v>11382</v>
      </c>
      <c r="PUW1" s="122" t="s">
        <v>11383</v>
      </c>
      <c r="PUX1" s="122" t="s">
        <v>11384</v>
      </c>
      <c r="PUY1" s="122" t="s">
        <v>11385</v>
      </c>
      <c r="PUZ1" s="122" t="s">
        <v>11386</v>
      </c>
      <c r="PVA1" s="122" t="s">
        <v>11387</v>
      </c>
      <c r="PVB1" s="122" t="s">
        <v>11388</v>
      </c>
      <c r="PVC1" s="122" t="s">
        <v>11389</v>
      </c>
      <c r="PVD1" s="122" t="s">
        <v>11390</v>
      </c>
      <c r="PVE1" s="122" t="s">
        <v>11391</v>
      </c>
      <c r="PVF1" s="122" t="s">
        <v>11392</v>
      </c>
      <c r="PVG1" s="122" t="s">
        <v>11393</v>
      </c>
      <c r="PVH1" s="122" t="s">
        <v>11394</v>
      </c>
      <c r="PVI1" s="122" t="s">
        <v>11395</v>
      </c>
      <c r="PVJ1" s="122" t="s">
        <v>11396</v>
      </c>
      <c r="PVK1" s="122" t="s">
        <v>11397</v>
      </c>
      <c r="PVL1" s="122" t="s">
        <v>11398</v>
      </c>
      <c r="PVM1" s="122" t="s">
        <v>11399</v>
      </c>
      <c r="PVN1" s="122" t="s">
        <v>11400</v>
      </c>
      <c r="PVO1" s="122" t="s">
        <v>11401</v>
      </c>
      <c r="PVP1" s="122" t="s">
        <v>11402</v>
      </c>
      <c r="PVQ1" s="122" t="s">
        <v>11403</v>
      </c>
      <c r="PVR1" s="122" t="s">
        <v>11404</v>
      </c>
      <c r="PVS1" s="122" t="s">
        <v>11405</v>
      </c>
      <c r="PVT1" s="122" t="s">
        <v>11406</v>
      </c>
      <c r="PVU1" s="122" t="s">
        <v>11407</v>
      </c>
      <c r="PVV1" s="122" t="s">
        <v>11408</v>
      </c>
      <c r="PVW1" s="122" t="s">
        <v>11409</v>
      </c>
      <c r="PVX1" s="122" t="s">
        <v>11410</v>
      </c>
      <c r="PVY1" s="122" t="s">
        <v>11411</v>
      </c>
      <c r="PVZ1" s="122" t="s">
        <v>11412</v>
      </c>
      <c r="PWA1" s="122" t="s">
        <v>11413</v>
      </c>
      <c r="PWB1" s="122" t="s">
        <v>11414</v>
      </c>
      <c r="PWC1" s="122" t="s">
        <v>11415</v>
      </c>
      <c r="PWD1" s="122" t="s">
        <v>11416</v>
      </c>
      <c r="PWE1" s="122" t="s">
        <v>11417</v>
      </c>
      <c r="PWF1" s="122" t="s">
        <v>11418</v>
      </c>
      <c r="PWG1" s="122" t="s">
        <v>11419</v>
      </c>
      <c r="PWH1" s="122" t="s">
        <v>11420</v>
      </c>
      <c r="PWI1" s="122" t="s">
        <v>11421</v>
      </c>
      <c r="PWJ1" s="122" t="s">
        <v>11422</v>
      </c>
      <c r="PWK1" s="122" t="s">
        <v>11423</v>
      </c>
      <c r="PWL1" s="122" t="s">
        <v>11424</v>
      </c>
      <c r="PWM1" s="122" t="s">
        <v>11425</v>
      </c>
      <c r="PWN1" s="122" t="s">
        <v>11426</v>
      </c>
      <c r="PWO1" s="122" t="s">
        <v>11427</v>
      </c>
      <c r="PWP1" s="122" t="s">
        <v>11428</v>
      </c>
      <c r="PWQ1" s="122" t="s">
        <v>11429</v>
      </c>
      <c r="PWR1" s="122" t="s">
        <v>11430</v>
      </c>
      <c r="PWS1" s="122" t="s">
        <v>11431</v>
      </c>
      <c r="PWT1" s="122" t="s">
        <v>11432</v>
      </c>
      <c r="PWU1" s="122" t="s">
        <v>11433</v>
      </c>
      <c r="PWV1" s="122" t="s">
        <v>11434</v>
      </c>
      <c r="PWW1" s="122" t="s">
        <v>11435</v>
      </c>
      <c r="PWX1" s="122" t="s">
        <v>11436</v>
      </c>
      <c r="PWY1" s="122" t="s">
        <v>11437</v>
      </c>
      <c r="PWZ1" s="122" t="s">
        <v>11438</v>
      </c>
      <c r="PXA1" s="122" t="s">
        <v>11439</v>
      </c>
      <c r="PXB1" s="122" t="s">
        <v>11440</v>
      </c>
      <c r="PXC1" s="122" t="s">
        <v>11441</v>
      </c>
      <c r="PXD1" s="122" t="s">
        <v>11442</v>
      </c>
      <c r="PXE1" s="122" t="s">
        <v>11443</v>
      </c>
      <c r="PXF1" s="122" t="s">
        <v>11444</v>
      </c>
      <c r="PXG1" s="122" t="s">
        <v>11445</v>
      </c>
      <c r="PXH1" s="122" t="s">
        <v>11446</v>
      </c>
      <c r="PXI1" s="122" t="s">
        <v>11447</v>
      </c>
      <c r="PXJ1" s="122" t="s">
        <v>11448</v>
      </c>
      <c r="PXK1" s="122" t="s">
        <v>11449</v>
      </c>
      <c r="PXL1" s="122" t="s">
        <v>11450</v>
      </c>
      <c r="PXM1" s="122" t="s">
        <v>11451</v>
      </c>
      <c r="PXN1" s="122" t="s">
        <v>11452</v>
      </c>
      <c r="PXO1" s="122" t="s">
        <v>11453</v>
      </c>
      <c r="PXP1" s="122" t="s">
        <v>11454</v>
      </c>
      <c r="PXQ1" s="122" t="s">
        <v>11455</v>
      </c>
      <c r="PXR1" s="122" t="s">
        <v>11456</v>
      </c>
      <c r="PXS1" s="122" t="s">
        <v>11457</v>
      </c>
      <c r="PXT1" s="122" t="s">
        <v>11458</v>
      </c>
      <c r="PXU1" s="122" t="s">
        <v>11459</v>
      </c>
      <c r="PXV1" s="122" t="s">
        <v>11460</v>
      </c>
      <c r="PXW1" s="122" t="s">
        <v>11461</v>
      </c>
      <c r="PXX1" s="122" t="s">
        <v>11462</v>
      </c>
      <c r="PXY1" s="122" t="s">
        <v>11463</v>
      </c>
      <c r="PXZ1" s="122" t="s">
        <v>11464</v>
      </c>
      <c r="PYA1" s="122" t="s">
        <v>11465</v>
      </c>
      <c r="PYB1" s="122" t="s">
        <v>11466</v>
      </c>
      <c r="PYC1" s="122" t="s">
        <v>11467</v>
      </c>
      <c r="PYD1" s="122" t="s">
        <v>11468</v>
      </c>
      <c r="PYE1" s="122" t="s">
        <v>11469</v>
      </c>
      <c r="PYF1" s="122" t="s">
        <v>11470</v>
      </c>
      <c r="PYG1" s="122" t="s">
        <v>11471</v>
      </c>
      <c r="PYH1" s="122" t="s">
        <v>11472</v>
      </c>
      <c r="PYI1" s="122" t="s">
        <v>11473</v>
      </c>
      <c r="PYJ1" s="122" t="s">
        <v>11474</v>
      </c>
      <c r="PYK1" s="122" t="s">
        <v>11475</v>
      </c>
      <c r="PYL1" s="122" t="s">
        <v>11476</v>
      </c>
      <c r="PYM1" s="122" t="s">
        <v>11477</v>
      </c>
      <c r="PYN1" s="122" t="s">
        <v>11478</v>
      </c>
      <c r="PYO1" s="122" t="s">
        <v>11479</v>
      </c>
      <c r="PYP1" s="122" t="s">
        <v>11480</v>
      </c>
      <c r="PYQ1" s="122" t="s">
        <v>11481</v>
      </c>
      <c r="PYR1" s="122" t="s">
        <v>11482</v>
      </c>
      <c r="PYS1" s="122" t="s">
        <v>11483</v>
      </c>
      <c r="PYT1" s="122" t="s">
        <v>11484</v>
      </c>
      <c r="PYU1" s="122" t="s">
        <v>11485</v>
      </c>
      <c r="PYV1" s="122" t="s">
        <v>11486</v>
      </c>
      <c r="PYW1" s="122" t="s">
        <v>11487</v>
      </c>
      <c r="PYX1" s="122" t="s">
        <v>11488</v>
      </c>
      <c r="PYY1" s="122" t="s">
        <v>11489</v>
      </c>
      <c r="PYZ1" s="122" t="s">
        <v>11490</v>
      </c>
      <c r="PZA1" s="122" t="s">
        <v>11491</v>
      </c>
      <c r="PZB1" s="122" t="s">
        <v>11492</v>
      </c>
      <c r="PZC1" s="122" t="s">
        <v>11493</v>
      </c>
      <c r="PZD1" s="122" t="s">
        <v>11494</v>
      </c>
      <c r="PZE1" s="122" t="s">
        <v>11495</v>
      </c>
      <c r="PZF1" s="122" t="s">
        <v>11496</v>
      </c>
      <c r="PZG1" s="122" t="s">
        <v>11497</v>
      </c>
      <c r="PZH1" s="122" t="s">
        <v>11498</v>
      </c>
      <c r="PZI1" s="122" t="s">
        <v>11499</v>
      </c>
      <c r="PZJ1" s="122" t="s">
        <v>11500</v>
      </c>
      <c r="PZK1" s="122" t="s">
        <v>11501</v>
      </c>
      <c r="PZL1" s="122" t="s">
        <v>11502</v>
      </c>
      <c r="PZM1" s="122" t="s">
        <v>11503</v>
      </c>
      <c r="PZN1" s="122" t="s">
        <v>11504</v>
      </c>
      <c r="PZO1" s="122" t="s">
        <v>11505</v>
      </c>
      <c r="PZP1" s="122" t="s">
        <v>11506</v>
      </c>
      <c r="PZQ1" s="122" t="s">
        <v>11507</v>
      </c>
      <c r="PZR1" s="122" t="s">
        <v>11508</v>
      </c>
      <c r="PZS1" s="122" t="s">
        <v>11509</v>
      </c>
      <c r="PZT1" s="122" t="s">
        <v>11510</v>
      </c>
      <c r="PZU1" s="122" t="s">
        <v>11511</v>
      </c>
      <c r="PZV1" s="122" t="s">
        <v>11512</v>
      </c>
      <c r="PZW1" s="122" t="s">
        <v>11513</v>
      </c>
      <c r="PZX1" s="122" t="s">
        <v>11514</v>
      </c>
      <c r="PZY1" s="122" t="s">
        <v>11515</v>
      </c>
      <c r="PZZ1" s="122" t="s">
        <v>11516</v>
      </c>
      <c r="QAA1" s="122" t="s">
        <v>11517</v>
      </c>
      <c r="QAB1" s="122" t="s">
        <v>11518</v>
      </c>
      <c r="QAC1" s="122" t="s">
        <v>11519</v>
      </c>
      <c r="QAD1" s="122" t="s">
        <v>11520</v>
      </c>
      <c r="QAE1" s="122" t="s">
        <v>11521</v>
      </c>
      <c r="QAF1" s="122" t="s">
        <v>11522</v>
      </c>
      <c r="QAG1" s="122" t="s">
        <v>11523</v>
      </c>
      <c r="QAH1" s="122" t="s">
        <v>11524</v>
      </c>
      <c r="QAI1" s="122" t="s">
        <v>11525</v>
      </c>
      <c r="QAJ1" s="122" t="s">
        <v>11526</v>
      </c>
      <c r="QAK1" s="122" t="s">
        <v>11527</v>
      </c>
      <c r="QAL1" s="122" t="s">
        <v>11528</v>
      </c>
      <c r="QAM1" s="122" t="s">
        <v>11529</v>
      </c>
      <c r="QAN1" s="122" t="s">
        <v>11530</v>
      </c>
      <c r="QAO1" s="122" t="s">
        <v>11531</v>
      </c>
      <c r="QAP1" s="122" t="s">
        <v>11532</v>
      </c>
      <c r="QAQ1" s="122" t="s">
        <v>11533</v>
      </c>
      <c r="QAR1" s="122" t="s">
        <v>11534</v>
      </c>
      <c r="QAS1" s="122" t="s">
        <v>11535</v>
      </c>
      <c r="QAT1" s="122" t="s">
        <v>11536</v>
      </c>
      <c r="QAU1" s="122" t="s">
        <v>11537</v>
      </c>
      <c r="QAV1" s="122" t="s">
        <v>11538</v>
      </c>
      <c r="QAW1" s="122" t="s">
        <v>11539</v>
      </c>
      <c r="QAX1" s="122" t="s">
        <v>11540</v>
      </c>
      <c r="QAY1" s="122" t="s">
        <v>11541</v>
      </c>
      <c r="QAZ1" s="122" t="s">
        <v>11542</v>
      </c>
      <c r="QBA1" s="122" t="s">
        <v>11543</v>
      </c>
      <c r="QBB1" s="122" t="s">
        <v>11544</v>
      </c>
      <c r="QBC1" s="122" t="s">
        <v>11545</v>
      </c>
      <c r="QBD1" s="122" t="s">
        <v>11546</v>
      </c>
      <c r="QBE1" s="122" t="s">
        <v>11547</v>
      </c>
      <c r="QBF1" s="122" t="s">
        <v>11548</v>
      </c>
      <c r="QBG1" s="122" t="s">
        <v>11549</v>
      </c>
      <c r="QBH1" s="122" t="s">
        <v>11550</v>
      </c>
      <c r="QBI1" s="122" t="s">
        <v>11551</v>
      </c>
      <c r="QBJ1" s="122" t="s">
        <v>11552</v>
      </c>
      <c r="QBK1" s="122" t="s">
        <v>11553</v>
      </c>
      <c r="QBL1" s="122" t="s">
        <v>11554</v>
      </c>
      <c r="QBM1" s="122" t="s">
        <v>11555</v>
      </c>
      <c r="QBN1" s="122" t="s">
        <v>11556</v>
      </c>
      <c r="QBO1" s="122" t="s">
        <v>11557</v>
      </c>
      <c r="QBP1" s="122" t="s">
        <v>11558</v>
      </c>
      <c r="QBQ1" s="122" t="s">
        <v>11559</v>
      </c>
      <c r="QBR1" s="122" t="s">
        <v>11560</v>
      </c>
      <c r="QBS1" s="122" t="s">
        <v>11561</v>
      </c>
      <c r="QBT1" s="122" t="s">
        <v>11562</v>
      </c>
      <c r="QBU1" s="122" t="s">
        <v>11563</v>
      </c>
      <c r="QBV1" s="122" t="s">
        <v>11564</v>
      </c>
      <c r="QBW1" s="122" t="s">
        <v>11565</v>
      </c>
      <c r="QBX1" s="122" t="s">
        <v>11566</v>
      </c>
      <c r="QBY1" s="122" t="s">
        <v>11567</v>
      </c>
      <c r="QBZ1" s="122" t="s">
        <v>11568</v>
      </c>
      <c r="QCA1" s="122" t="s">
        <v>11569</v>
      </c>
      <c r="QCB1" s="122" t="s">
        <v>11570</v>
      </c>
      <c r="QCC1" s="122" t="s">
        <v>11571</v>
      </c>
      <c r="QCD1" s="122" t="s">
        <v>11572</v>
      </c>
      <c r="QCE1" s="122" t="s">
        <v>11573</v>
      </c>
      <c r="QCF1" s="122" t="s">
        <v>11574</v>
      </c>
      <c r="QCG1" s="122" t="s">
        <v>11575</v>
      </c>
      <c r="QCH1" s="122" t="s">
        <v>11576</v>
      </c>
      <c r="QCI1" s="122" t="s">
        <v>11577</v>
      </c>
      <c r="QCJ1" s="122" t="s">
        <v>11578</v>
      </c>
      <c r="QCK1" s="122" t="s">
        <v>11579</v>
      </c>
      <c r="QCL1" s="122" t="s">
        <v>11580</v>
      </c>
      <c r="QCM1" s="122" t="s">
        <v>11581</v>
      </c>
      <c r="QCN1" s="122" t="s">
        <v>11582</v>
      </c>
      <c r="QCO1" s="122" t="s">
        <v>11583</v>
      </c>
      <c r="QCP1" s="122" t="s">
        <v>11584</v>
      </c>
      <c r="QCQ1" s="122" t="s">
        <v>11585</v>
      </c>
      <c r="QCR1" s="122" t="s">
        <v>11586</v>
      </c>
      <c r="QCS1" s="122" t="s">
        <v>11587</v>
      </c>
      <c r="QCT1" s="122" t="s">
        <v>11588</v>
      </c>
      <c r="QCU1" s="122" t="s">
        <v>11589</v>
      </c>
      <c r="QCV1" s="122" t="s">
        <v>11590</v>
      </c>
      <c r="QCW1" s="122" t="s">
        <v>11591</v>
      </c>
      <c r="QCX1" s="122" t="s">
        <v>11592</v>
      </c>
      <c r="QCY1" s="122" t="s">
        <v>11593</v>
      </c>
      <c r="QCZ1" s="122" t="s">
        <v>11594</v>
      </c>
      <c r="QDA1" s="122" t="s">
        <v>11595</v>
      </c>
      <c r="QDB1" s="122" t="s">
        <v>11596</v>
      </c>
      <c r="QDC1" s="122" t="s">
        <v>11597</v>
      </c>
      <c r="QDD1" s="122" t="s">
        <v>11598</v>
      </c>
      <c r="QDE1" s="122" t="s">
        <v>11599</v>
      </c>
      <c r="QDF1" s="122" t="s">
        <v>11600</v>
      </c>
      <c r="QDG1" s="122" t="s">
        <v>11601</v>
      </c>
      <c r="QDH1" s="122" t="s">
        <v>11602</v>
      </c>
      <c r="QDI1" s="122" t="s">
        <v>11603</v>
      </c>
      <c r="QDJ1" s="122" t="s">
        <v>11604</v>
      </c>
      <c r="QDK1" s="122" t="s">
        <v>11605</v>
      </c>
      <c r="QDL1" s="122" t="s">
        <v>11606</v>
      </c>
      <c r="QDM1" s="122" t="s">
        <v>11607</v>
      </c>
      <c r="QDN1" s="122" t="s">
        <v>11608</v>
      </c>
      <c r="QDO1" s="122" t="s">
        <v>11609</v>
      </c>
      <c r="QDP1" s="122" t="s">
        <v>11610</v>
      </c>
      <c r="QDQ1" s="122" t="s">
        <v>11611</v>
      </c>
      <c r="QDR1" s="122" t="s">
        <v>11612</v>
      </c>
      <c r="QDS1" s="122" t="s">
        <v>11613</v>
      </c>
      <c r="QDT1" s="122" t="s">
        <v>11614</v>
      </c>
      <c r="QDU1" s="122" t="s">
        <v>11615</v>
      </c>
      <c r="QDV1" s="122" t="s">
        <v>11616</v>
      </c>
      <c r="QDW1" s="122" t="s">
        <v>11617</v>
      </c>
      <c r="QDX1" s="122" t="s">
        <v>11618</v>
      </c>
      <c r="QDY1" s="122" t="s">
        <v>11619</v>
      </c>
      <c r="QDZ1" s="122" t="s">
        <v>11620</v>
      </c>
      <c r="QEA1" s="122" t="s">
        <v>11621</v>
      </c>
      <c r="QEB1" s="122" t="s">
        <v>11622</v>
      </c>
      <c r="QEC1" s="122" t="s">
        <v>11623</v>
      </c>
      <c r="QED1" s="122" t="s">
        <v>11624</v>
      </c>
      <c r="QEE1" s="122" t="s">
        <v>11625</v>
      </c>
      <c r="QEF1" s="122" t="s">
        <v>11626</v>
      </c>
      <c r="QEG1" s="122" t="s">
        <v>11627</v>
      </c>
      <c r="QEH1" s="122" t="s">
        <v>11628</v>
      </c>
      <c r="QEI1" s="122" t="s">
        <v>11629</v>
      </c>
      <c r="QEJ1" s="122" t="s">
        <v>11630</v>
      </c>
      <c r="QEK1" s="122" t="s">
        <v>11631</v>
      </c>
      <c r="QEL1" s="122" t="s">
        <v>11632</v>
      </c>
      <c r="QEM1" s="122" t="s">
        <v>11633</v>
      </c>
      <c r="QEN1" s="122" t="s">
        <v>11634</v>
      </c>
      <c r="QEO1" s="122" t="s">
        <v>11635</v>
      </c>
      <c r="QEP1" s="122" t="s">
        <v>11636</v>
      </c>
      <c r="QEQ1" s="122" t="s">
        <v>11637</v>
      </c>
      <c r="QER1" s="122" t="s">
        <v>11638</v>
      </c>
      <c r="QES1" s="122" t="s">
        <v>11639</v>
      </c>
      <c r="QET1" s="122" t="s">
        <v>11640</v>
      </c>
      <c r="QEU1" s="122" t="s">
        <v>11641</v>
      </c>
      <c r="QEV1" s="122" t="s">
        <v>11642</v>
      </c>
      <c r="QEW1" s="122" t="s">
        <v>11643</v>
      </c>
      <c r="QEX1" s="122" t="s">
        <v>11644</v>
      </c>
      <c r="QEY1" s="122" t="s">
        <v>11645</v>
      </c>
      <c r="QEZ1" s="122" t="s">
        <v>11646</v>
      </c>
      <c r="QFA1" s="122" t="s">
        <v>11647</v>
      </c>
      <c r="QFB1" s="122" t="s">
        <v>11648</v>
      </c>
      <c r="QFC1" s="122" t="s">
        <v>11649</v>
      </c>
      <c r="QFD1" s="122" t="s">
        <v>11650</v>
      </c>
      <c r="QFE1" s="122" t="s">
        <v>11651</v>
      </c>
      <c r="QFF1" s="122" t="s">
        <v>11652</v>
      </c>
      <c r="QFG1" s="122" t="s">
        <v>11653</v>
      </c>
      <c r="QFH1" s="122" t="s">
        <v>11654</v>
      </c>
      <c r="QFI1" s="122" t="s">
        <v>11655</v>
      </c>
      <c r="QFJ1" s="122" t="s">
        <v>11656</v>
      </c>
      <c r="QFK1" s="122" t="s">
        <v>11657</v>
      </c>
      <c r="QFL1" s="122" t="s">
        <v>11658</v>
      </c>
      <c r="QFM1" s="122" t="s">
        <v>11659</v>
      </c>
      <c r="QFN1" s="122" t="s">
        <v>11660</v>
      </c>
      <c r="QFO1" s="122" t="s">
        <v>11661</v>
      </c>
      <c r="QFP1" s="122" t="s">
        <v>11662</v>
      </c>
      <c r="QFQ1" s="122" t="s">
        <v>11663</v>
      </c>
      <c r="QFR1" s="122" t="s">
        <v>11664</v>
      </c>
      <c r="QFS1" s="122" t="s">
        <v>11665</v>
      </c>
      <c r="QFT1" s="122" t="s">
        <v>11666</v>
      </c>
      <c r="QFU1" s="122" t="s">
        <v>11667</v>
      </c>
      <c r="QFV1" s="122" t="s">
        <v>11668</v>
      </c>
      <c r="QFW1" s="122" t="s">
        <v>11669</v>
      </c>
      <c r="QFX1" s="122" t="s">
        <v>11670</v>
      </c>
      <c r="QFY1" s="122" t="s">
        <v>11671</v>
      </c>
      <c r="QFZ1" s="122" t="s">
        <v>11672</v>
      </c>
      <c r="QGA1" s="122" t="s">
        <v>11673</v>
      </c>
      <c r="QGB1" s="122" t="s">
        <v>11674</v>
      </c>
      <c r="QGC1" s="122" t="s">
        <v>11675</v>
      </c>
      <c r="QGD1" s="122" t="s">
        <v>11676</v>
      </c>
      <c r="QGE1" s="122" t="s">
        <v>11677</v>
      </c>
      <c r="QGF1" s="122" t="s">
        <v>11678</v>
      </c>
      <c r="QGG1" s="122" t="s">
        <v>11679</v>
      </c>
      <c r="QGH1" s="122" t="s">
        <v>11680</v>
      </c>
      <c r="QGI1" s="122" t="s">
        <v>11681</v>
      </c>
      <c r="QGJ1" s="122" t="s">
        <v>11682</v>
      </c>
      <c r="QGK1" s="122" t="s">
        <v>11683</v>
      </c>
      <c r="QGL1" s="122" t="s">
        <v>11684</v>
      </c>
      <c r="QGM1" s="122" t="s">
        <v>11685</v>
      </c>
      <c r="QGN1" s="122" t="s">
        <v>11686</v>
      </c>
      <c r="QGO1" s="122" t="s">
        <v>11687</v>
      </c>
      <c r="QGP1" s="122" t="s">
        <v>11688</v>
      </c>
      <c r="QGQ1" s="122" t="s">
        <v>11689</v>
      </c>
      <c r="QGR1" s="122" t="s">
        <v>11690</v>
      </c>
      <c r="QGS1" s="122" t="s">
        <v>11691</v>
      </c>
      <c r="QGT1" s="122" t="s">
        <v>11692</v>
      </c>
      <c r="QGU1" s="122" t="s">
        <v>11693</v>
      </c>
      <c r="QGV1" s="122" t="s">
        <v>11694</v>
      </c>
      <c r="QGW1" s="122" t="s">
        <v>11695</v>
      </c>
      <c r="QGX1" s="122" t="s">
        <v>11696</v>
      </c>
      <c r="QGY1" s="122" t="s">
        <v>11697</v>
      </c>
      <c r="QGZ1" s="122" t="s">
        <v>11698</v>
      </c>
      <c r="QHA1" s="122" t="s">
        <v>11699</v>
      </c>
      <c r="QHB1" s="122" t="s">
        <v>11700</v>
      </c>
      <c r="QHC1" s="122" t="s">
        <v>11701</v>
      </c>
      <c r="QHD1" s="122" t="s">
        <v>11702</v>
      </c>
      <c r="QHE1" s="122" t="s">
        <v>11703</v>
      </c>
      <c r="QHF1" s="122" t="s">
        <v>11704</v>
      </c>
      <c r="QHG1" s="122" t="s">
        <v>11705</v>
      </c>
      <c r="QHH1" s="122" t="s">
        <v>11706</v>
      </c>
      <c r="QHI1" s="122" t="s">
        <v>11707</v>
      </c>
      <c r="QHJ1" s="122" t="s">
        <v>11708</v>
      </c>
      <c r="QHK1" s="122" t="s">
        <v>11709</v>
      </c>
      <c r="QHL1" s="122" t="s">
        <v>11710</v>
      </c>
      <c r="QHM1" s="122" t="s">
        <v>11711</v>
      </c>
      <c r="QHN1" s="122" t="s">
        <v>11712</v>
      </c>
      <c r="QHO1" s="122" t="s">
        <v>11713</v>
      </c>
      <c r="QHP1" s="122" t="s">
        <v>11714</v>
      </c>
      <c r="QHQ1" s="122" t="s">
        <v>11715</v>
      </c>
      <c r="QHR1" s="122" t="s">
        <v>11716</v>
      </c>
      <c r="QHS1" s="122" t="s">
        <v>11717</v>
      </c>
      <c r="QHT1" s="122" t="s">
        <v>11718</v>
      </c>
      <c r="QHU1" s="122" t="s">
        <v>11719</v>
      </c>
      <c r="QHV1" s="122" t="s">
        <v>11720</v>
      </c>
      <c r="QHW1" s="122" t="s">
        <v>11721</v>
      </c>
      <c r="QHX1" s="122" t="s">
        <v>11722</v>
      </c>
      <c r="QHY1" s="122" t="s">
        <v>11723</v>
      </c>
      <c r="QHZ1" s="122" t="s">
        <v>11724</v>
      </c>
      <c r="QIA1" s="122" t="s">
        <v>11725</v>
      </c>
      <c r="QIB1" s="122" t="s">
        <v>11726</v>
      </c>
      <c r="QIC1" s="122" t="s">
        <v>11727</v>
      </c>
      <c r="QID1" s="122" t="s">
        <v>11728</v>
      </c>
      <c r="QIE1" s="122" t="s">
        <v>11729</v>
      </c>
      <c r="QIF1" s="122" t="s">
        <v>11730</v>
      </c>
      <c r="QIG1" s="122" t="s">
        <v>11731</v>
      </c>
      <c r="QIH1" s="122" t="s">
        <v>11732</v>
      </c>
      <c r="QII1" s="122" t="s">
        <v>11733</v>
      </c>
      <c r="QIJ1" s="122" t="s">
        <v>11734</v>
      </c>
      <c r="QIK1" s="122" t="s">
        <v>11735</v>
      </c>
      <c r="QIL1" s="122" t="s">
        <v>11736</v>
      </c>
      <c r="QIM1" s="122" t="s">
        <v>11737</v>
      </c>
      <c r="QIN1" s="122" t="s">
        <v>11738</v>
      </c>
      <c r="QIO1" s="122" t="s">
        <v>11739</v>
      </c>
      <c r="QIP1" s="122" t="s">
        <v>11740</v>
      </c>
      <c r="QIQ1" s="122" t="s">
        <v>11741</v>
      </c>
      <c r="QIR1" s="122" t="s">
        <v>11742</v>
      </c>
      <c r="QIS1" s="122" t="s">
        <v>11743</v>
      </c>
      <c r="QIT1" s="122" t="s">
        <v>11744</v>
      </c>
      <c r="QIU1" s="122" t="s">
        <v>11745</v>
      </c>
      <c r="QIV1" s="122" t="s">
        <v>11746</v>
      </c>
      <c r="QIW1" s="122" t="s">
        <v>11747</v>
      </c>
      <c r="QIX1" s="122" t="s">
        <v>11748</v>
      </c>
      <c r="QIY1" s="122" t="s">
        <v>11749</v>
      </c>
      <c r="QIZ1" s="122" t="s">
        <v>11750</v>
      </c>
      <c r="QJA1" s="122" t="s">
        <v>11751</v>
      </c>
      <c r="QJB1" s="122" t="s">
        <v>11752</v>
      </c>
      <c r="QJC1" s="122" t="s">
        <v>11753</v>
      </c>
      <c r="QJD1" s="122" t="s">
        <v>11754</v>
      </c>
      <c r="QJE1" s="122" t="s">
        <v>11755</v>
      </c>
      <c r="QJF1" s="122" t="s">
        <v>11756</v>
      </c>
      <c r="QJG1" s="122" t="s">
        <v>11757</v>
      </c>
      <c r="QJH1" s="122" t="s">
        <v>11758</v>
      </c>
      <c r="QJI1" s="122" t="s">
        <v>11759</v>
      </c>
      <c r="QJJ1" s="122" t="s">
        <v>11760</v>
      </c>
      <c r="QJK1" s="122" t="s">
        <v>11761</v>
      </c>
      <c r="QJL1" s="122" t="s">
        <v>11762</v>
      </c>
      <c r="QJM1" s="122" t="s">
        <v>11763</v>
      </c>
      <c r="QJN1" s="122" t="s">
        <v>11764</v>
      </c>
      <c r="QJO1" s="122" t="s">
        <v>11765</v>
      </c>
      <c r="QJP1" s="122" t="s">
        <v>11766</v>
      </c>
      <c r="QJQ1" s="122" t="s">
        <v>11767</v>
      </c>
      <c r="QJR1" s="122" t="s">
        <v>11768</v>
      </c>
      <c r="QJS1" s="122" t="s">
        <v>11769</v>
      </c>
      <c r="QJT1" s="122" t="s">
        <v>11770</v>
      </c>
      <c r="QJU1" s="122" t="s">
        <v>11771</v>
      </c>
      <c r="QJV1" s="122" t="s">
        <v>11772</v>
      </c>
      <c r="QJW1" s="122" t="s">
        <v>11773</v>
      </c>
      <c r="QJX1" s="122" t="s">
        <v>11774</v>
      </c>
      <c r="QJY1" s="122" t="s">
        <v>11775</v>
      </c>
      <c r="QJZ1" s="122" t="s">
        <v>11776</v>
      </c>
      <c r="QKA1" s="122" t="s">
        <v>11777</v>
      </c>
      <c r="QKB1" s="122" t="s">
        <v>11778</v>
      </c>
      <c r="QKC1" s="122" t="s">
        <v>11779</v>
      </c>
      <c r="QKD1" s="122" t="s">
        <v>11780</v>
      </c>
      <c r="QKE1" s="122" t="s">
        <v>11781</v>
      </c>
      <c r="QKF1" s="122" t="s">
        <v>11782</v>
      </c>
      <c r="QKG1" s="122" t="s">
        <v>11783</v>
      </c>
      <c r="QKH1" s="122" t="s">
        <v>11784</v>
      </c>
      <c r="QKI1" s="122" t="s">
        <v>11785</v>
      </c>
      <c r="QKJ1" s="122" t="s">
        <v>11786</v>
      </c>
      <c r="QKK1" s="122" t="s">
        <v>11787</v>
      </c>
      <c r="QKL1" s="122" t="s">
        <v>11788</v>
      </c>
      <c r="QKM1" s="122" t="s">
        <v>11789</v>
      </c>
      <c r="QKN1" s="122" t="s">
        <v>11790</v>
      </c>
      <c r="QKO1" s="122" t="s">
        <v>11791</v>
      </c>
      <c r="QKP1" s="122" t="s">
        <v>11792</v>
      </c>
      <c r="QKQ1" s="122" t="s">
        <v>11793</v>
      </c>
      <c r="QKR1" s="122" t="s">
        <v>11794</v>
      </c>
      <c r="QKS1" s="122" t="s">
        <v>11795</v>
      </c>
      <c r="QKT1" s="122" t="s">
        <v>11796</v>
      </c>
      <c r="QKU1" s="122" t="s">
        <v>11797</v>
      </c>
      <c r="QKV1" s="122" t="s">
        <v>11798</v>
      </c>
      <c r="QKW1" s="122" t="s">
        <v>11799</v>
      </c>
      <c r="QKX1" s="122" t="s">
        <v>11800</v>
      </c>
      <c r="QKY1" s="122" t="s">
        <v>11801</v>
      </c>
      <c r="QKZ1" s="122" t="s">
        <v>11802</v>
      </c>
      <c r="QLA1" s="122" t="s">
        <v>11803</v>
      </c>
      <c r="QLB1" s="122" t="s">
        <v>11804</v>
      </c>
      <c r="QLC1" s="122" t="s">
        <v>11805</v>
      </c>
      <c r="QLD1" s="122" t="s">
        <v>11806</v>
      </c>
      <c r="QLE1" s="122" t="s">
        <v>11807</v>
      </c>
      <c r="QLF1" s="122" t="s">
        <v>11808</v>
      </c>
      <c r="QLG1" s="122" t="s">
        <v>11809</v>
      </c>
      <c r="QLH1" s="122" t="s">
        <v>11810</v>
      </c>
      <c r="QLI1" s="122" t="s">
        <v>11811</v>
      </c>
      <c r="QLJ1" s="122" t="s">
        <v>11812</v>
      </c>
      <c r="QLK1" s="122" t="s">
        <v>11813</v>
      </c>
      <c r="QLL1" s="122" t="s">
        <v>11814</v>
      </c>
      <c r="QLM1" s="122" t="s">
        <v>11815</v>
      </c>
      <c r="QLN1" s="122" t="s">
        <v>11816</v>
      </c>
      <c r="QLO1" s="122" t="s">
        <v>11817</v>
      </c>
      <c r="QLP1" s="122" t="s">
        <v>11818</v>
      </c>
      <c r="QLQ1" s="122" t="s">
        <v>11819</v>
      </c>
      <c r="QLR1" s="122" t="s">
        <v>11820</v>
      </c>
      <c r="QLS1" s="122" t="s">
        <v>11821</v>
      </c>
      <c r="QLT1" s="122" t="s">
        <v>11822</v>
      </c>
      <c r="QLU1" s="122" t="s">
        <v>11823</v>
      </c>
      <c r="QLV1" s="122" t="s">
        <v>11824</v>
      </c>
      <c r="QLW1" s="122" t="s">
        <v>11825</v>
      </c>
      <c r="QLX1" s="122" t="s">
        <v>11826</v>
      </c>
      <c r="QLY1" s="122" t="s">
        <v>11827</v>
      </c>
      <c r="QLZ1" s="122" t="s">
        <v>11828</v>
      </c>
      <c r="QMA1" s="122" t="s">
        <v>11829</v>
      </c>
      <c r="QMB1" s="122" t="s">
        <v>11830</v>
      </c>
      <c r="QMC1" s="122" t="s">
        <v>11831</v>
      </c>
      <c r="QMD1" s="122" t="s">
        <v>11832</v>
      </c>
      <c r="QME1" s="122" t="s">
        <v>11833</v>
      </c>
      <c r="QMF1" s="122" t="s">
        <v>11834</v>
      </c>
      <c r="QMG1" s="122" t="s">
        <v>11835</v>
      </c>
      <c r="QMH1" s="122" t="s">
        <v>11836</v>
      </c>
      <c r="QMI1" s="122" t="s">
        <v>11837</v>
      </c>
      <c r="QMJ1" s="122" t="s">
        <v>11838</v>
      </c>
      <c r="QMK1" s="122" t="s">
        <v>11839</v>
      </c>
      <c r="QML1" s="122" t="s">
        <v>11840</v>
      </c>
      <c r="QMM1" s="122" t="s">
        <v>11841</v>
      </c>
      <c r="QMN1" s="122" t="s">
        <v>11842</v>
      </c>
      <c r="QMO1" s="122" t="s">
        <v>11843</v>
      </c>
      <c r="QMP1" s="122" t="s">
        <v>11844</v>
      </c>
      <c r="QMQ1" s="122" t="s">
        <v>11845</v>
      </c>
      <c r="QMR1" s="122" t="s">
        <v>11846</v>
      </c>
      <c r="QMS1" s="122" t="s">
        <v>11847</v>
      </c>
      <c r="QMT1" s="122" t="s">
        <v>11848</v>
      </c>
      <c r="QMU1" s="122" t="s">
        <v>11849</v>
      </c>
      <c r="QMV1" s="122" t="s">
        <v>11850</v>
      </c>
      <c r="QMW1" s="122" t="s">
        <v>11851</v>
      </c>
      <c r="QMX1" s="122" t="s">
        <v>11852</v>
      </c>
      <c r="QMY1" s="122" t="s">
        <v>11853</v>
      </c>
      <c r="QMZ1" s="122" t="s">
        <v>11854</v>
      </c>
      <c r="QNA1" s="122" t="s">
        <v>11855</v>
      </c>
      <c r="QNB1" s="122" t="s">
        <v>11856</v>
      </c>
      <c r="QNC1" s="122" t="s">
        <v>11857</v>
      </c>
      <c r="QND1" s="122" t="s">
        <v>11858</v>
      </c>
      <c r="QNE1" s="122" t="s">
        <v>11859</v>
      </c>
      <c r="QNF1" s="122" t="s">
        <v>11860</v>
      </c>
      <c r="QNG1" s="122" t="s">
        <v>11861</v>
      </c>
      <c r="QNH1" s="122" t="s">
        <v>11862</v>
      </c>
      <c r="QNI1" s="122" t="s">
        <v>11863</v>
      </c>
      <c r="QNJ1" s="122" t="s">
        <v>11864</v>
      </c>
      <c r="QNK1" s="122" t="s">
        <v>11865</v>
      </c>
      <c r="QNL1" s="122" t="s">
        <v>11866</v>
      </c>
      <c r="QNM1" s="122" t="s">
        <v>11867</v>
      </c>
      <c r="QNN1" s="122" t="s">
        <v>11868</v>
      </c>
      <c r="QNO1" s="122" t="s">
        <v>11869</v>
      </c>
      <c r="QNP1" s="122" t="s">
        <v>11870</v>
      </c>
      <c r="QNQ1" s="122" t="s">
        <v>11871</v>
      </c>
      <c r="QNR1" s="122" t="s">
        <v>11872</v>
      </c>
      <c r="QNS1" s="122" t="s">
        <v>11873</v>
      </c>
      <c r="QNT1" s="122" t="s">
        <v>11874</v>
      </c>
      <c r="QNU1" s="122" t="s">
        <v>11875</v>
      </c>
      <c r="QNV1" s="122" t="s">
        <v>11876</v>
      </c>
      <c r="QNW1" s="122" t="s">
        <v>11877</v>
      </c>
      <c r="QNX1" s="122" t="s">
        <v>11878</v>
      </c>
      <c r="QNY1" s="122" t="s">
        <v>11879</v>
      </c>
      <c r="QNZ1" s="122" t="s">
        <v>11880</v>
      </c>
      <c r="QOA1" s="122" t="s">
        <v>11881</v>
      </c>
      <c r="QOB1" s="122" t="s">
        <v>11882</v>
      </c>
      <c r="QOC1" s="122" t="s">
        <v>11883</v>
      </c>
      <c r="QOD1" s="122" t="s">
        <v>11884</v>
      </c>
      <c r="QOE1" s="122" t="s">
        <v>11885</v>
      </c>
      <c r="QOF1" s="122" t="s">
        <v>11886</v>
      </c>
      <c r="QOG1" s="122" t="s">
        <v>11887</v>
      </c>
      <c r="QOH1" s="122" t="s">
        <v>11888</v>
      </c>
      <c r="QOI1" s="122" t="s">
        <v>11889</v>
      </c>
      <c r="QOJ1" s="122" t="s">
        <v>11890</v>
      </c>
      <c r="QOK1" s="122" t="s">
        <v>11891</v>
      </c>
      <c r="QOL1" s="122" t="s">
        <v>11892</v>
      </c>
      <c r="QOM1" s="122" t="s">
        <v>11893</v>
      </c>
      <c r="QON1" s="122" t="s">
        <v>11894</v>
      </c>
      <c r="QOO1" s="122" t="s">
        <v>11895</v>
      </c>
      <c r="QOP1" s="122" t="s">
        <v>11896</v>
      </c>
      <c r="QOQ1" s="122" t="s">
        <v>11897</v>
      </c>
      <c r="QOR1" s="122" t="s">
        <v>11898</v>
      </c>
      <c r="QOS1" s="122" t="s">
        <v>11899</v>
      </c>
      <c r="QOT1" s="122" t="s">
        <v>11900</v>
      </c>
      <c r="QOU1" s="122" t="s">
        <v>11901</v>
      </c>
      <c r="QOV1" s="122" t="s">
        <v>11902</v>
      </c>
      <c r="QOW1" s="122" t="s">
        <v>11903</v>
      </c>
      <c r="QOX1" s="122" t="s">
        <v>11904</v>
      </c>
      <c r="QOY1" s="122" t="s">
        <v>11905</v>
      </c>
      <c r="QOZ1" s="122" t="s">
        <v>11906</v>
      </c>
      <c r="QPA1" s="122" t="s">
        <v>11907</v>
      </c>
      <c r="QPB1" s="122" t="s">
        <v>11908</v>
      </c>
      <c r="QPC1" s="122" t="s">
        <v>11909</v>
      </c>
      <c r="QPD1" s="122" t="s">
        <v>11910</v>
      </c>
      <c r="QPE1" s="122" t="s">
        <v>11911</v>
      </c>
      <c r="QPF1" s="122" t="s">
        <v>11912</v>
      </c>
      <c r="QPG1" s="122" t="s">
        <v>11913</v>
      </c>
      <c r="QPH1" s="122" t="s">
        <v>11914</v>
      </c>
      <c r="QPI1" s="122" t="s">
        <v>11915</v>
      </c>
      <c r="QPJ1" s="122" t="s">
        <v>11916</v>
      </c>
      <c r="QPK1" s="122" t="s">
        <v>11917</v>
      </c>
      <c r="QPL1" s="122" t="s">
        <v>11918</v>
      </c>
      <c r="QPM1" s="122" t="s">
        <v>11919</v>
      </c>
      <c r="QPN1" s="122" t="s">
        <v>11920</v>
      </c>
      <c r="QPO1" s="122" t="s">
        <v>11921</v>
      </c>
      <c r="QPP1" s="122" t="s">
        <v>11922</v>
      </c>
      <c r="QPQ1" s="122" t="s">
        <v>11923</v>
      </c>
      <c r="QPR1" s="122" t="s">
        <v>11924</v>
      </c>
      <c r="QPS1" s="122" t="s">
        <v>11925</v>
      </c>
      <c r="QPT1" s="122" t="s">
        <v>11926</v>
      </c>
      <c r="QPU1" s="122" t="s">
        <v>11927</v>
      </c>
      <c r="QPV1" s="122" t="s">
        <v>11928</v>
      </c>
      <c r="QPW1" s="122" t="s">
        <v>11929</v>
      </c>
      <c r="QPX1" s="122" t="s">
        <v>11930</v>
      </c>
      <c r="QPY1" s="122" t="s">
        <v>11931</v>
      </c>
      <c r="QPZ1" s="122" t="s">
        <v>11932</v>
      </c>
      <c r="QQA1" s="122" t="s">
        <v>11933</v>
      </c>
      <c r="QQB1" s="122" t="s">
        <v>11934</v>
      </c>
      <c r="QQC1" s="122" t="s">
        <v>11935</v>
      </c>
      <c r="QQD1" s="122" t="s">
        <v>11936</v>
      </c>
      <c r="QQE1" s="122" t="s">
        <v>11937</v>
      </c>
      <c r="QQF1" s="122" t="s">
        <v>11938</v>
      </c>
      <c r="QQG1" s="122" t="s">
        <v>11939</v>
      </c>
      <c r="QQH1" s="122" t="s">
        <v>11940</v>
      </c>
      <c r="QQI1" s="122" t="s">
        <v>11941</v>
      </c>
      <c r="QQJ1" s="122" t="s">
        <v>11942</v>
      </c>
      <c r="QQK1" s="122" t="s">
        <v>11943</v>
      </c>
      <c r="QQL1" s="122" t="s">
        <v>11944</v>
      </c>
      <c r="QQM1" s="122" t="s">
        <v>11945</v>
      </c>
      <c r="QQN1" s="122" t="s">
        <v>11946</v>
      </c>
      <c r="QQO1" s="122" t="s">
        <v>11947</v>
      </c>
      <c r="QQP1" s="122" t="s">
        <v>11948</v>
      </c>
      <c r="QQQ1" s="122" t="s">
        <v>11949</v>
      </c>
      <c r="QQR1" s="122" t="s">
        <v>11950</v>
      </c>
      <c r="QQS1" s="122" t="s">
        <v>11951</v>
      </c>
      <c r="QQT1" s="122" t="s">
        <v>11952</v>
      </c>
      <c r="QQU1" s="122" t="s">
        <v>11953</v>
      </c>
      <c r="QQV1" s="122" t="s">
        <v>11954</v>
      </c>
      <c r="QQW1" s="122" t="s">
        <v>11955</v>
      </c>
      <c r="QQX1" s="122" t="s">
        <v>11956</v>
      </c>
      <c r="QQY1" s="122" t="s">
        <v>11957</v>
      </c>
      <c r="QQZ1" s="122" t="s">
        <v>11958</v>
      </c>
      <c r="QRA1" s="122" t="s">
        <v>11959</v>
      </c>
      <c r="QRB1" s="122" t="s">
        <v>11960</v>
      </c>
      <c r="QRC1" s="122" t="s">
        <v>11961</v>
      </c>
      <c r="QRD1" s="122" t="s">
        <v>11962</v>
      </c>
      <c r="QRE1" s="122" t="s">
        <v>11963</v>
      </c>
      <c r="QRF1" s="122" t="s">
        <v>11964</v>
      </c>
      <c r="QRG1" s="122" t="s">
        <v>11965</v>
      </c>
      <c r="QRH1" s="122" t="s">
        <v>11966</v>
      </c>
      <c r="QRI1" s="122" t="s">
        <v>11967</v>
      </c>
      <c r="QRJ1" s="122" t="s">
        <v>11968</v>
      </c>
      <c r="QRK1" s="122" t="s">
        <v>11969</v>
      </c>
      <c r="QRL1" s="122" t="s">
        <v>11970</v>
      </c>
      <c r="QRM1" s="122" t="s">
        <v>11971</v>
      </c>
      <c r="QRN1" s="122" t="s">
        <v>11972</v>
      </c>
      <c r="QRO1" s="122" t="s">
        <v>11973</v>
      </c>
      <c r="QRP1" s="122" t="s">
        <v>11974</v>
      </c>
      <c r="QRQ1" s="122" t="s">
        <v>11975</v>
      </c>
      <c r="QRR1" s="122" t="s">
        <v>11976</v>
      </c>
      <c r="QRS1" s="122" t="s">
        <v>11977</v>
      </c>
      <c r="QRT1" s="122" t="s">
        <v>11978</v>
      </c>
      <c r="QRU1" s="122" t="s">
        <v>11979</v>
      </c>
      <c r="QRV1" s="122" t="s">
        <v>11980</v>
      </c>
      <c r="QRW1" s="122" t="s">
        <v>11981</v>
      </c>
      <c r="QRX1" s="122" t="s">
        <v>11982</v>
      </c>
      <c r="QRY1" s="122" t="s">
        <v>11983</v>
      </c>
      <c r="QRZ1" s="122" t="s">
        <v>11984</v>
      </c>
      <c r="QSA1" s="122" t="s">
        <v>11985</v>
      </c>
      <c r="QSB1" s="122" t="s">
        <v>11986</v>
      </c>
      <c r="QSC1" s="122" t="s">
        <v>11987</v>
      </c>
      <c r="QSD1" s="122" t="s">
        <v>11988</v>
      </c>
      <c r="QSE1" s="122" t="s">
        <v>11989</v>
      </c>
      <c r="QSF1" s="122" t="s">
        <v>11990</v>
      </c>
      <c r="QSG1" s="122" t="s">
        <v>11991</v>
      </c>
      <c r="QSH1" s="122" t="s">
        <v>11992</v>
      </c>
      <c r="QSI1" s="122" t="s">
        <v>11993</v>
      </c>
      <c r="QSJ1" s="122" t="s">
        <v>11994</v>
      </c>
      <c r="QSK1" s="122" t="s">
        <v>11995</v>
      </c>
      <c r="QSL1" s="122" t="s">
        <v>11996</v>
      </c>
      <c r="QSM1" s="122" t="s">
        <v>11997</v>
      </c>
      <c r="QSN1" s="122" t="s">
        <v>11998</v>
      </c>
      <c r="QSO1" s="122" t="s">
        <v>11999</v>
      </c>
      <c r="QSP1" s="122" t="s">
        <v>12000</v>
      </c>
      <c r="QSQ1" s="122" t="s">
        <v>12001</v>
      </c>
      <c r="QSR1" s="122" t="s">
        <v>12002</v>
      </c>
      <c r="QSS1" s="122" t="s">
        <v>12003</v>
      </c>
      <c r="QST1" s="122" t="s">
        <v>12004</v>
      </c>
      <c r="QSU1" s="122" t="s">
        <v>12005</v>
      </c>
      <c r="QSV1" s="122" t="s">
        <v>12006</v>
      </c>
      <c r="QSW1" s="122" t="s">
        <v>12007</v>
      </c>
      <c r="QSX1" s="122" t="s">
        <v>12008</v>
      </c>
      <c r="QSY1" s="122" t="s">
        <v>12009</v>
      </c>
      <c r="QSZ1" s="122" t="s">
        <v>12010</v>
      </c>
      <c r="QTA1" s="122" t="s">
        <v>12011</v>
      </c>
      <c r="QTB1" s="122" t="s">
        <v>12012</v>
      </c>
      <c r="QTC1" s="122" t="s">
        <v>12013</v>
      </c>
      <c r="QTD1" s="122" t="s">
        <v>12014</v>
      </c>
      <c r="QTE1" s="122" t="s">
        <v>12015</v>
      </c>
      <c r="QTF1" s="122" t="s">
        <v>12016</v>
      </c>
      <c r="QTG1" s="122" t="s">
        <v>12017</v>
      </c>
      <c r="QTH1" s="122" t="s">
        <v>12018</v>
      </c>
      <c r="QTI1" s="122" t="s">
        <v>12019</v>
      </c>
      <c r="QTJ1" s="122" t="s">
        <v>12020</v>
      </c>
      <c r="QTK1" s="122" t="s">
        <v>12021</v>
      </c>
      <c r="QTL1" s="122" t="s">
        <v>12022</v>
      </c>
      <c r="QTM1" s="122" t="s">
        <v>12023</v>
      </c>
      <c r="QTN1" s="122" t="s">
        <v>12024</v>
      </c>
      <c r="QTO1" s="122" t="s">
        <v>12025</v>
      </c>
      <c r="QTP1" s="122" t="s">
        <v>12026</v>
      </c>
      <c r="QTQ1" s="122" t="s">
        <v>12027</v>
      </c>
      <c r="QTR1" s="122" t="s">
        <v>12028</v>
      </c>
      <c r="QTS1" s="122" t="s">
        <v>12029</v>
      </c>
      <c r="QTT1" s="122" t="s">
        <v>12030</v>
      </c>
      <c r="QTU1" s="122" t="s">
        <v>12031</v>
      </c>
      <c r="QTV1" s="122" t="s">
        <v>12032</v>
      </c>
      <c r="QTW1" s="122" t="s">
        <v>12033</v>
      </c>
      <c r="QTX1" s="122" t="s">
        <v>12034</v>
      </c>
      <c r="QTY1" s="122" t="s">
        <v>12035</v>
      </c>
      <c r="QTZ1" s="122" t="s">
        <v>12036</v>
      </c>
      <c r="QUA1" s="122" t="s">
        <v>12037</v>
      </c>
      <c r="QUB1" s="122" t="s">
        <v>12038</v>
      </c>
      <c r="QUC1" s="122" t="s">
        <v>12039</v>
      </c>
      <c r="QUD1" s="122" t="s">
        <v>12040</v>
      </c>
      <c r="QUE1" s="122" t="s">
        <v>12041</v>
      </c>
      <c r="QUF1" s="122" t="s">
        <v>12042</v>
      </c>
      <c r="QUG1" s="122" t="s">
        <v>12043</v>
      </c>
      <c r="QUH1" s="122" t="s">
        <v>12044</v>
      </c>
      <c r="QUI1" s="122" t="s">
        <v>12045</v>
      </c>
      <c r="QUJ1" s="122" t="s">
        <v>12046</v>
      </c>
      <c r="QUK1" s="122" t="s">
        <v>12047</v>
      </c>
      <c r="QUL1" s="122" t="s">
        <v>12048</v>
      </c>
      <c r="QUM1" s="122" t="s">
        <v>12049</v>
      </c>
      <c r="QUN1" s="122" t="s">
        <v>12050</v>
      </c>
      <c r="QUO1" s="122" t="s">
        <v>12051</v>
      </c>
      <c r="QUP1" s="122" t="s">
        <v>12052</v>
      </c>
      <c r="QUQ1" s="122" t="s">
        <v>12053</v>
      </c>
      <c r="QUR1" s="122" t="s">
        <v>12054</v>
      </c>
      <c r="QUS1" s="122" t="s">
        <v>12055</v>
      </c>
      <c r="QUT1" s="122" t="s">
        <v>12056</v>
      </c>
      <c r="QUU1" s="122" t="s">
        <v>12057</v>
      </c>
      <c r="QUV1" s="122" t="s">
        <v>12058</v>
      </c>
      <c r="QUW1" s="122" t="s">
        <v>12059</v>
      </c>
      <c r="QUX1" s="122" t="s">
        <v>12060</v>
      </c>
      <c r="QUY1" s="122" t="s">
        <v>12061</v>
      </c>
      <c r="QUZ1" s="122" t="s">
        <v>12062</v>
      </c>
      <c r="QVA1" s="122" t="s">
        <v>12063</v>
      </c>
      <c r="QVB1" s="122" t="s">
        <v>12064</v>
      </c>
      <c r="QVC1" s="122" t="s">
        <v>12065</v>
      </c>
      <c r="QVD1" s="122" t="s">
        <v>12066</v>
      </c>
      <c r="QVE1" s="122" t="s">
        <v>12067</v>
      </c>
      <c r="QVF1" s="122" t="s">
        <v>12068</v>
      </c>
      <c r="QVG1" s="122" t="s">
        <v>12069</v>
      </c>
      <c r="QVH1" s="122" t="s">
        <v>12070</v>
      </c>
      <c r="QVI1" s="122" t="s">
        <v>12071</v>
      </c>
      <c r="QVJ1" s="122" t="s">
        <v>12072</v>
      </c>
      <c r="QVK1" s="122" t="s">
        <v>12073</v>
      </c>
      <c r="QVL1" s="122" t="s">
        <v>12074</v>
      </c>
      <c r="QVM1" s="122" t="s">
        <v>12075</v>
      </c>
      <c r="QVN1" s="122" t="s">
        <v>12076</v>
      </c>
      <c r="QVO1" s="122" t="s">
        <v>12077</v>
      </c>
      <c r="QVP1" s="122" t="s">
        <v>12078</v>
      </c>
      <c r="QVQ1" s="122" t="s">
        <v>12079</v>
      </c>
      <c r="QVR1" s="122" t="s">
        <v>12080</v>
      </c>
      <c r="QVS1" s="122" t="s">
        <v>12081</v>
      </c>
      <c r="QVT1" s="122" t="s">
        <v>12082</v>
      </c>
      <c r="QVU1" s="122" t="s">
        <v>12083</v>
      </c>
      <c r="QVV1" s="122" t="s">
        <v>12084</v>
      </c>
      <c r="QVW1" s="122" t="s">
        <v>12085</v>
      </c>
      <c r="QVX1" s="122" t="s">
        <v>12086</v>
      </c>
      <c r="QVY1" s="122" t="s">
        <v>12087</v>
      </c>
      <c r="QVZ1" s="122" t="s">
        <v>12088</v>
      </c>
      <c r="QWA1" s="122" t="s">
        <v>12089</v>
      </c>
      <c r="QWB1" s="122" t="s">
        <v>12090</v>
      </c>
      <c r="QWC1" s="122" t="s">
        <v>12091</v>
      </c>
      <c r="QWD1" s="122" t="s">
        <v>12092</v>
      </c>
      <c r="QWE1" s="122" t="s">
        <v>12093</v>
      </c>
      <c r="QWF1" s="122" t="s">
        <v>12094</v>
      </c>
      <c r="QWG1" s="122" t="s">
        <v>12095</v>
      </c>
      <c r="QWH1" s="122" t="s">
        <v>12096</v>
      </c>
      <c r="QWI1" s="122" t="s">
        <v>12097</v>
      </c>
      <c r="QWJ1" s="122" t="s">
        <v>12098</v>
      </c>
      <c r="QWK1" s="122" t="s">
        <v>12099</v>
      </c>
      <c r="QWL1" s="122" t="s">
        <v>12100</v>
      </c>
      <c r="QWM1" s="122" t="s">
        <v>12101</v>
      </c>
      <c r="QWN1" s="122" t="s">
        <v>12102</v>
      </c>
      <c r="QWO1" s="122" t="s">
        <v>12103</v>
      </c>
      <c r="QWP1" s="122" t="s">
        <v>12104</v>
      </c>
      <c r="QWQ1" s="122" t="s">
        <v>12105</v>
      </c>
      <c r="QWR1" s="122" t="s">
        <v>12106</v>
      </c>
      <c r="QWS1" s="122" t="s">
        <v>12107</v>
      </c>
      <c r="QWT1" s="122" t="s">
        <v>12108</v>
      </c>
      <c r="QWU1" s="122" t="s">
        <v>12109</v>
      </c>
      <c r="QWV1" s="122" t="s">
        <v>12110</v>
      </c>
      <c r="QWW1" s="122" t="s">
        <v>12111</v>
      </c>
      <c r="QWX1" s="122" t="s">
        <v>12112</v>
      </c>
      <c r="QWY1" s="122" t="s">
        <v>12113</v>
      </c>
      <c r="QWZ1" s="122" t="s">
        <v>12114</v>
      </c>
      <c r="QXA1" s="122" t="s">
        <v>12115</v>
      </c>
      <c r="QXB1" s="122" t="s">
        <v>12116</v>
      </c>
      <c r="QXC1" s="122" t="s">
        <v>12117</v>
      </c>
      <c r="QXD1" s="122" t="s">
        <v>12118</v>
      </c>
      <c r="QXE1" s="122" t="s">
        <v>12119</v>
      </c>
      <c r="QXF1" s="122" t="s">
        <v>12120</v>
      </c>
      <c r="QXG1" s="122" t="s">
        <v>12121</v>
      </c>
      <c r="QXH1" s="122" t="s">
        <v>12122</v>
      </c>
      <c r="QXI1" s="122" t="s">
        <v>12123</v>
      </c>
      <c r="QXJ1" s="122" t="s">
        <v>12124</v>
      </c>
      <c r="QXK1" s="122" t="s">
        <v>12125</v>
      </c>
      <c r="QXL1" s="122" t="s">
        <v>12126</v>
      </c>
      <c r="QXM1" s="122" t="s">
        <v>12127</v>
      </c>
      <c r="QXN1" s="122" t="s">
        <v>12128</v>
      </c>
      <c r="QXO1" s="122" t="s">
        <v>12129</v>
      </c>
      <c r="QXP1" s="122" t="s">
        <v>12130</v>
      </c>
      <c r="QXQ1" s="122" t="s">
        <v>12131</v>
      </c>
      <c r="QXR1" s="122" t="s">
        <v>12132</v>
      </c>
      <c r="QXS1" s="122" t="s">
        <v>12133</v>
      </c>
      <c r="QXT1" s="122" t="s">
        <v>12134</v>
      </c>
      <c r="QXU1" s="122" t="s">
        <v>12135</v>
      </c>
      <c r="QXV1" s="122" t="s">
        <v>12136</v>
      </c>
      <c r="QXW1" s="122" t="s">
        <v>12137</v>
      </c>
      <c r="QXX1" s="122" t="s">
        <v>12138</v>
      </c>
      <c r="QXY1" s="122" t="s">
        <v>12139</v>
      </c>
      <c r="QXZ1" s="122" t="s">
        <v>12140</v>
      </c>
      <c r="QYA1" s="122" t="s">
        <v>12141</v>
      </c>
      <c r="QYB1" s="122" t="s">
        <v>12142</v>
      </c>
      <c r="QYC1" s="122" t="s">
        <v>12143</v>
      </c>
      <c r="QYD1" s="122" t="s">
        <v>12144</v>
      </c>
      <c r="QYE1" s="122" t="s">
        <v>12145</v>
      </c>
      <c r="QYF1" s="122" t="s">
        <v>12146</v>
      </c>
      <c r="QYG1" s="122" t="s">
        <v>12147</v>
      </c>
      <c r="QYH1" s="122" t="s">
        <v>12148</v>
      </c>
      <c r="QYI1" s="122" t="s">
        <v>12149</v>
      </c>
      <c r="QYJ1" s="122" t="s">
        <v>12150</v>
      </c>
      <c r="QYK1" s="122" t="s">
        <v>12151</v>
      </c>
      <c r="QYL1" s="122" t="s">
        <v>12152</v>
      </c>
      <c r="QYM1" s="122" t="s">
        <v>12153</v>
      </c>
      <c r="QYN1" s="122" t="s">
        <v>12154</v>
      </c>
      <c r="QYO1" s="122" t="s">
        <v>12155</v>
      </c>
      <c r="QYP1" s="122" t="s">
        <v>12156</v>
      </c>
      <c r="QYQ1" s="122" t="s">
        <v>12157</v>
      </c>
      <c r="QYR1" s="122" t="s">
        <v>12158</v>
      </c>
      <c r="QYS1" s="122" t="s">
        <v>12159</v>
      </c>
      <c r="QYT1" s="122" t="s">
        <v>12160</v>
      </c>
      <c r="QYU1" s="122" t="s">
        <v>12161</v>
      </c>
      <c r="QYV1" s="122" t="s">
        <v>12162</v>
      </c>
      <c r="QYW1" s="122" t="s">
        <v>12163</v>
      </c>
      <c r="QYX1" s="122" t="s">
        <v>12164</v>
      </c>
      <c r="QYY1" s="122" t="s">
        <v>12165</v>
      </c>
      <c r="QYZ1" s="122" t="s">
        <v>12166</v>
      </c>
      <c r="QZA1" s="122" t="s">
        <v>12167</v>
      </c>
      <c r="QZB1" s="122" t="s">
        <v>12168</v>
      </c>
      <c r="QZC1" s="122" t="s">
        <v>12169</v>
      </c>
      <c r="QZD1" s="122" t="s">
        <v>12170</v>
      </c>
      <c r="QZE1" s="122" t="s">
        <v>12171</v>
      </c>
      <c r="QZF1" s="122" t="s">
        <v>12172</v>
      </c>
      <c r="QZG1" s="122" t="s">
        <v>12173</v>
      </c>
      <c r="QZH1" s="122" t="s">
        <v>12174</v>
      </c>
      <c r="QZI1" s="122" t="s">
        <v>12175</v>
      </c>
      <c r="QZJ1" s="122" t="s">
        <v>12176</v>
      </c>
      <c r="QZK1" s="122" t="s">
        <v>12177</v>
      </c>
      <c r="QZL1" s="122" t="s">
        <v>12178</v>
      </c>
      <c r="QZM1" s="122" t="s">
        <v>12179</v>
      </c>
      <c r="QZN1" s="122" t="s">
        <v>12180</v>
      </c>
      <c r="QZO1" s="122" t="s">
        <v>12181</v>
      </c>
      <c r="QZP1" s="122" t="s">
        <v>12182</v>
      </c>
      <c r="QZQ1" s="122" t="s">
        <v>12183</v>
      </c>
      <c r="QZR1" s="122" t="s">
        <v>12184</v>
      </c>
      <c r="QZS1" s="122" t="s">
        <v>12185</v>
      </c>
      <c r="QZT1" s="122" t="s">
        <v>12186</v>
      </c>
      <c r="QZU1" s="122" t="s">
        <v>12187</v>
      </c>
      <c r="QZV1" s="122" t="s">
        <v>12188</v>
      </c>
      <c r="QZW1" s="122" t="s">
        <v>12189</v>
      </c>
      <c r="QZX1" s="122" t="s">
        <v>12190</v>
      </c>
      <c r="QZY1" s="122" t="s">
        <v>12191</v>
      </c>
      <c r="QZZ1" s="122" t="s">
        <v>12192</v>
      </c>
      <c r="RAA1" s="122" t="s">
        <v>12193</v>
      </c>
      <c r="RAB1" s="122" t="s">
        <v>12194</v>
      </c>
      <c r="RAC1" s="122" t="s">
        <v>12195</v>
      </c>
      <c r="RAD1" s="122" t="s">
        <v>12196</v>
      </c>
      <c r="RAE1" s="122" t="s">
        <v>12197</v>
      </c>
      <c r="RAF1" s="122" t="s">
        <v>12198</v>
      </c>
      <c r="RAG1" s="122" t="s">
        <v>12199</v>
      </c>
      <c r="RAH1" s="122" t="s">
        <v>12200</v>
      </c>
      <c r="RAI1" s="122" t="s">
        <v>12201</v>
      </c>
      <c r="RAJ1" s="122" t="s">
        <v>12202</v>
      </c>
      <c r="RAK1" s="122" t="s">
        <v>12203</v>
      </c>
      <c r="RAL1" s="122" t="s">
        <v>12204</v>
      </c>
      <c r="RAM1" s="122" t="s">
        <v>12205</v>
      </c>
      <c r="RAN1" s="122" t="s">
        <v>12206</v>
      </c>
      <c r="RAO1" s="122" t="s">
        <v>12207</v>
      </c>
      <c r="RAP1" s="122" t="s">
        <v>12208</v>
      </c>
      <c r="RAQ1" s="122" t="s">
        <v>12209</v>
      </c>
      <c r="RAR1" s="122" t="s">
        <v>12210</v>
      </c>
      <c r="RAS1" s="122" t="s">
        <v>12211</v>
      </c>
      <c r="RAT1" s="122" t="s">
        <v>12212</v>
      </c>
      <c r="RAU1" s="122" t="s">
        <v>12213</v>
      </c>
      <c r="RAV1" s="122" t="s">
        <v>12214</v>
      </c>
      <c r="RAW1" s="122" t="s">
        <v>12215</v>
      </c>
      <c r="RAX1" s="122" t="s">
        <v>12216</v>
      </c>
      <c r="RAY1" s="122" t="s">
        <v>12217</v>
      </c>
      <c r="RAZ1" s="122" t="s">
        <v>12218</v>
      </c>
      <c r="RBA1" s="122" t="s">
        <v>12219</v>
      </c>
      <c r="RBB1" s="122" t="s">
        <v>12220</v>
      </c>
      <c r="RBC1" s="122" t="s">
        <v>12221</v>
      </c>
      <c r="RBD1" s="122" t="s">
        <v>12222</v>
      </c>
      <c r="RBE1" s="122" t="s">
        <v>12223</v>
      </c>
      <c r="RBF1" s="122" t="s">
        <v>12224</v>
      </c>
      <c r="RBG1" s="122" t="s">
        <v>12225</v>
      </c>
      <c r="RBH1" s="122" t="s">
        <v>12226</v>
      </c>
      <c r="RBI1" s="122" t="s">
        <v>12227</v>
      </c>
      <c r="RBJ1" s="122" t="s">
        <v>12228</v>
      </c>
      <c r="RBK1" s="122" t="s">
        <v>12229</v>
      </c>
      <c r="RBL1" s="122" t="s">
        <v>12230</v>
      </c>
      <c r="RBM1" s="122" t="s">
        <v>12231</v>
      </c>
      <c r="RBN1" s="122" t="s">
        <v>12232</v>
      </c>
      <c r="RBO1" s="122" t="s">
        <v>12233</v>
      </c>
      <c r="RBP1" s="122" t="s">
        <v>12234</v>
      </c>
      <c r="RBQ1" s="122" t="s">
        <v>12235</v>
      </c>
      <c r="RBR1" s="122" t="s">
        <v>12236</v>
      </c>
      <c r="RBS1" s="122" t="s">
        <v>12237</v>
      </c>
      <c r="RBT1" s="122" t="s">
        <v>12238</v>
      </c>
      <c r="RBU1" s="122" t="s">
        <v>12239</v>
      </c>
      <c r="RBV1" s="122" t="s">
        <v>12240</v>
      </c>
      <c r="RBW1" s="122" t="s">
        <v>12241</v>
      </c>
      <c r="RBX1" s="122" t="s">
        <v>12242</v>
      </c>
      <c r="RBY1" s="122" t="s">
        <v>12243</v>
      </c>
      <c r="RBZ1" s="122" t="s">
        <v>12244</v>
      </c>
      <c r="RCA1" s="122" t="s">
        <v>12245</v>
      </c>
      <c r="RCB1" s="122" t="s">
        <v>12246</v>
      </c>
      <c r="RCC1" s="122" t="s">
        <v>12247</v>
      </c>
      <c r="RCD1" s="122" t="s">
        <v>12248</v>
      </c>
      <c r="RCE1" s="122" t="s">
        <v>12249</v>
      </c>
      <c r="RCF1" s="122" t="s">
        <v>12250</v>
      </c>
      <c r="RCG1" s="122" t="s">
        <v>12251</v>
      </c>
      <c r="RCH1" s="122" t="s">
        <v>12252</v>
      </c>
      <c r="RCI1" s="122" t="s">
        <v>12253</v>
      </c>
      <c r="RCJ1" s="122" t="s">
        <v>12254</v>
      </c>
      <c r="RCK1" s="122" t="s">
        <v>12255</v>
      </c>
      <c r="RCL1" s="122" t="s">
        <v>12256</v>
      </c>
      <c r="RCM1" s="122" t="s">
        <v>12257</v>
      </c>
      <c r="RCN1" s="122" t="s">
        <v>12258</v>
      </c>
      <c r="RCO1" s="122" t="s">
        <v>12259</v>
      </c>
      <c r="RCP1" s="122" t="s">
        <v>12260</v>
      </c>
      <c r="RCQ1" s="122" t="s">
        <v>12261</v>
      </c>
      <c r="RCR1" s="122" t="s">
        <v>12262</v>
      </c>
      <c r="RCS1" s="122" t="s">
        <v>12263</v>
      </c>
      <c r="RCT1" s="122" t="s">
        <v>12264</v>
      </c>
      <c r="RCU1" s="122" t="s">
        <v>12265</v>
      </c>
      <c r="RCV1" s="122" t="s">
        <v>12266</v>
      </c>
      <c r="RCW1" s="122" t="s">
        <v>12267</v>
      </c>
      <c r="RCX1" s="122" t="s">
        <v>12268</v>
      </c>
      <c r="RCY1" s="122" t="s">
        <v>12269</v>
      </c>
      <c r="RCZ1" s="122" t="s">
        <v>12270</v>
      </c>
      <c r="RDA1" s="122" t="s">
        <v>12271</v>
      </c>
      <c r="RDB1" s="122" t="s">
        <v>12272</v>
      </c>
      <c r="RDC1" s="122" t="s">
        <v>12273</v>
      </c>
      <c r="RDD1" s="122" t="s">
        <v>12274</v>
      </c>
      <c r="RDE1" s="122" t="s">
        <v>12275</v>
      </c>
      <c r="RDF1" s="122" t="s">
        <v>12276</v>
      </c>
      <c r="RDG1" s="122" t="s">
        <v>12277</v>
      </c>
      <c r="RDH1" s="122" t="s">
        <v>12278</v>
      </c>
      <c r="RDI1" s="122" t="s">
        <v>12279</v>
      </c>
      <c r="RDJ1" s="122" t="s">
        <v>12280</v>
      </c>
      <c r="RDK1" s="122" t="s">
        <v>12281</v>
      </c>
      <c r="RDL1" s="122" t="s">
        <v>12282</v>
      </c>
      <c r="RDM1" s="122" t="s">
        <v>12283</v>
      </c>
      <c r="RDN1" s="122" t="s">
        <v>12284</v>
      </c>
      <c r="RDO1" s="122" t="s">
        <v>12285</v>
      </c>
      <c r="RDP1" s="122" t="s">
        <v>12286</v>
      </c>
      <c r="RDQ1" s="122" t="s">
        <v>12287</v>
      </c>
      <c r="RDR1" s="122" t="s">
        <v>12288</v>
      </c>
      <c r="RDS1" s="122" t="s">
        <v>12289</v>
      </c>
      <c r="RDT1" s="122" t="s">
        <v>12290</v>
      </c>
      <c r="RDU1" s="122" t="s">
        <v>12291</v>
      </c>
      <c r="RDV1" s="122" t="s">
        <v>12292</v>
      </c>
      <c r="RDW1" s="122" t="s">
        <v>12293</v>
      </c>
      <c r="RDX1" s="122" t="s">
        <v>12294</v>
      </c>
      <c r="RDY1" s="122" t="s">
        <v>12295</v>
      </c>
      <c r="RDZ1" s="122" t="s">
        <v>12296</v>
      </c>
      <c r="REA1" s="122" t="s">
        <v>12297</v>
      </c>
      <c r="REB1" s="122" t="s">
        <v>12298</v>
      </c>
      <c r="REC1" s="122" t="s">
        <v>12299</v>
      </c>
      <c r="RED1" s="122" t="s">
        <v>12300</v>
      </c>
      <c r="REE1" s="122" t="s">
        <v>12301</v>
      </c>
      <c r="REF1" s="122" t="s">
        <v>12302</v>
      </c>
      <c r="REG1" s="122" t="s">
        <v>12303</v>
      </c>
      <c r="REH1" s="122" t="s">
        <v>12304</v>
      </c>
      <c r="REI1" s="122" t="s">
        <v>12305</v>
      </c>
      <c r="REJ1" s="122" t="s">
        <v>12306</v>
      </c>
      <c r="REK1" s="122" t="s">
        <v>12307</v>
      </c>
      <c r="REL1" s="122" t="s">
        <v>12308</v>
      </c>
      <c r="REM1" s="122" t="s">
        <v>12309</v>
      </c>
      <c r="REN1" s="122" t="s">
        <v>12310</v>
      </c>
      <c r="REO1" s="122" t="s">
        <v>12311</v>
      </c>
      <c r="REP1" s="122" t="s">
        <v>12312</v>
      </c>
      <c r="REQ1" s="122" t="s">
        <v>12313</v>
      </c>
      <c r="RER1" s="122" t="s">
        <v>12314</v>
      </c>
      <c r="RES1" s="122" t="s">
        <v>12315</v>
      </c>
      <c r="RET1" s="122" t="s">
        <v>12316</v>
      </c>
      <c r="REU1" s="122" t="s">
        <v>12317</v>
      </c>
      <c r="REV1" s="122" t="s">
        <v>12318</v>
      </c>
      <c r="REW1" s="122" t="s">
        <v>12319</v>
      </c>
      <c r="REX1" s="122" t="s">
        <v>12320</v>
      </c>
      <c r="REY1" s="122" t="s">
        <v>12321</v>
      </c>
      <c r="REZ1" s="122" t="s">
        <v>12322</v>
      </c>
      <c r="RFA1" s="122" t="s">
        <v>12323</v>
      </c>
      <c r="RFB1" s="122" t="s">
        <v>12324</v>
      </c>
      <c r="RFC1" s="122" t="s">
        <v>12325</v>
      </c>
      <c r="RFD1" s="122" t="s">
        <v>12326</v>
      </c>
      <c r="RFE1" s="122" t="s">
        <v>12327</v>
      </c>
      <c r="RFF1" s="122" t="s">
        <v>12328</v>
      </c>
      <c r="RFG1" s="122" t="s">
        <v>12329</v>
      </c>
      <c r="RFH1" s="122" t="s">
        <v>12330</v>
      </c>
      <c r="RFI1" s="122" t="s">
        <v>12331</v>
      </c>
      <c r="RFJ1" s="122" t="s">
        <v>12332</v>
      </c>
      <c r="RFK1" s="122" t="s">
        <v>12333</v>
      </c>
      <c r="RFL1" s="122" t="s">
        <v>12334</v>
      </c>
      <c r="RFM1" s="122" t="s">
        <v>12335</v>
      </c>
      <c r="RFN1" s="122" t="s">
        <v>12336</v>
      </c>
      <c r="RFO1" s="122" t="s">
        <v>12337</v>
      </c>
      <c r="RFP1" s="122" t="s">
        <v>12338</v>
      </c>
      <c r="RFQ1" s="122" t="s">
        <v>12339</v>
      </c>
      <c r="RFR1" s="122" t="s">
        <v>12340</v>
      </c>
      <c r="RFS1" s="122" t="s">
        <v>12341</v>
      </c>
      <c r="RFT1" s="122" t="s">
        <v>12342</v>
      </c>
      <c r="RFU1" s="122" t="s">
        <v>12343</v>
      </c>
      <c r="RFV1" s="122" t="s">
        <v>12344</v>
      </c>
      <c r="RFW1" s="122" t="s">
        <v>12345</v>
      </c>
      <c r="RFX1" s="122" t="s">
        <v>12346</v>
      </c>
      <c r="RFY1" s="122" t="s">
        <v>12347</v>
      </c>
      <c r="RFZ1" s="122" t="s">
        <v>12348</v>
      </c>
      <c r="RGA1" s="122" t="s">
        <v>12349</v>
      </c>
      <c r="RGB1" s="122" t="s">
        <v>12350</v>
      </c>
      <c r="RGC1" s="122" t="s">
        <v>12351</v>
      </c>
      <c r="RGD1" s="122" t="s">
        <v>12352</v>
      </c>
      <c r="RGE1" s="122" t="s">
        <v>12353</v>
      </c>
      <c r="RGF1" s="122" t="s">
        <v>12354</v>
      </c>
      <c r="RGG1" s="122" t="s">
        <v>12355</v>
      </c>
      <c r="RGH1" s="122" t="s">
        <v>12356</v>
      </c>
      <c r="RGI1" s="122" t="s">
        <v>12357</v>
      </c>
      <c r="RGJ1" s="122" t="s">
        <v>12358</v>
      </c>
      <c r="RGK1" s="122" t="s">
        <v>12359</v>
      </c>
      <c r="RGL1" s="122" t="s">
        <v>12360</v>
      </c>
      <c r="RGM1" s="122" t="s">
        <v>12361</v>
      </c>
      <c r="RGN1" s="122" t="s">
        <v>12362</v>
      </c>
      <c r="RGO1" s="122" t="s">
        <v>12363</v>
      </c>
      <c r="RGP1" s="122" t="s">
        <v>12364</v>
      </c>
      <c r="RGQ1" s="122" t="s">
        <v>12365</v>
      </c>
      <c r="RGR1" s="122" t="s">
        <v>12366</v>
      </c>
      <c r="RGS1" s="122" t="s">
        <v>12367</v>
      </c>
      <c r="RGT1" s="122" t="s">
        <v>12368</v>
      </c>
      <c r="RGU1" s="122" t="s">
        <v>12369</v>
      </c>
      <c r="RGV1" s="122" t="s">
        <v>12370</v>
      </c>
      <c r="RGW1" s="122" t="s">
        <v>12371</v>
      </c>
      <c r="RGX1" s="122" t="s">
        <v>12372</v>
      </c>
      <c r="RGY1" s="122" t="s">
        <v>12373</v>
      </c>
      <c r="RGZ1" s="122" t="s">
        <v>12374</v>
      </c>
      <c r="RHA1" s="122" t="s">
        <v>12375</v>
      </c>
      <c r="RHB1" s="122" t="s">
        <v>12376</v>
      </c>
      <c r="RHC1" s="122" t="s">
        <v>12377</v>
      </c>
      <c r="RHD1" s="122" t="s">
        <v>12378</v>
      </c>
      <c r="RHE1" s="122" t="s">
        <v>12379</v>
      </c>
      <c r="RHF1" s="122" t="s">
        <v>12380</v>
      </c>
      <c r="RHG1" s="122" t="s">
        <v>12381</v>
      </c>
      <c r="RHH1" s="122" t="s">
        <v>12382</v>
      </c>
      <c r="RHI1" s="122" t="s">
        <v>12383</v>
      </c>
      <c r="RHJ1" s="122" t="s">
        <v>12384</v>
      </c>
      <c r="RHK1" s="122" t="s">
        <v>12385</v>
      </c>
      <c r="RHL1" s="122" t="s">
        <v>12386</v>
      </c>
      <c r="RHM1" s="122" t="s">
        <v>12387</v>
      </c>
      <c r="RHN1" s="122" t="s">
        <v>12388</v>
      </c>
      <c r="RHO1" s="122" t="s">
        <v>12389</v>
      </c>
      <c r="RHP1" s="122" t="s">
        <v>12390</v>
      </c>
      <c r="RHQ1" s="122" t="s">
        <v>12391</v>
      </c>
      <c r="RHR1" s="122" t="s">
        <v>12392</v>
      </c>
      <c r="RHS1" s="122" t="s">
        <v>12393</v>
      </c>
      <c r="RHT1" s="122" t="s">
        <v>12394</v>
      </c>
      <c r="RHU1" s="122" t="s">
        <v>12395</v>
      </c>
      <c r="RHV1" s="122" t="s">
        <v>12396</v>
      </c>
      <c r="RHW1" s="122" t="s">
        <v>12397</v>
      </c>
      <c r="RHX1" s="122" t="s">
        <v>12398</v>
      </c>
      <c r="RHY1" s="122" t="s">
        <v>12399</v>
      </c>
      <c r="RHZ1" s="122" t="s">
        <v>12400</v>
      </c>
      <c r="RIA1" s="122" t="s">
        <v>12401</v>
      </c>
      <c r="RIB1" s="122" t="s">
        <v>12402</v>
      </c>
      <c r="RIC1" s="122" t="s">
        <v>12403</v>
      </c>
      <c r="RID1" s="122" t="s">
        <v>12404</v>
      </c>
      <c r="RIE1" s="122" t="s">
        <v>12405</v>
      </c>
      <c r="RIF1" s="122" t="s">
        <v>12406</v>
      </c>
      <c r="RIG1" s="122" t="s">
        <v>12407</v>
      </c>
      <c r="RIH1" s="122" t="s">
        <v>12408</v>
      </c>
      <c r="RII1" s="122" t="s">
        <v>12409</v>
      </c>
      <c r="RIJ1" s="122" t="s">
        <v>12410</v>
      </c>
      <c r="RIK1" s="122" t="s">
        <v>12411</v>
      </c>
      <c r="RIL1" s="122" t="s">
        <v>12412</v>
      </c>
      <c r="RIM1" s="122" t="s">
        <v>12413</v>
      </c>
      <c r="RIN1" s="122" t="s">
        <v>12414</v>
      </c>
      <c r="RIO1" s="122" t="s">
        <v>12415</v>
      </c>
      <c r="RIP1" s="122" t="s">
        <v>12416</v>
      </c>
      <c r="RIQ1" s="122" t="s">
        <v>12417</v>
      </c>
      <c r="RIR1" s="122" t="s">
        <v>12418</v>
      </c>
      <c r="RIS1" s="122" t="s">
        <v>12419</v>
      </c>
      <c r="RIT1" s="122" t="s">
        <v>12420</v>
      </c>
      <c r="RIU1" s="122" t="s">
        <v>12421</v>
      </c>
      <c r="RIV1" s="122" t="s">
        <v>12422</v>
      </c>
      <c r="RIW1" s="122" t="s">
        <v>12423</v>
      </c>
      <c r="RIX1" s="122" t="s">
        <v>12424</v>
      </c>
      <c r="RIY1" s="122" t="s">
        <v>12425</v>
      </c>
      <c r="RIZ1" s="122" t="s">
        <v>12426</v>
      </c>
      <c r="RJA1" s="122" t="s">
        <v>12427</v>
      </c>
      <c r="RJB1" s="122" t="s">
        <v>12428</v>
      </c>
      <c r="RJC1" s="122" t="s">
        <v>12429</v>
      </c>
      <c r="RJD1" s="122" t="s">
        <v>12430</v>
      </c>
      <c r="RJE1" s="122" t="s">
        <v>12431</v>
      </c>
      <c r="RJF1" s="122" t="s">
        <v>12432</v>
      </c>
      <c r="RJG1" s="122" t="s">
        <v>12433</v>
      </c>
      <c r="RJH1" s="122" t="s">
        <v>12434</v>
      </c>
      <c r="RJI1" s="122" t="s">
        <v>12435</v>
      </c>
      <c r="RJJ1" s="122" t="s">
        <v>12436</v>
      </c>
      <c r="RJK1" s="122" t="s">
        <v>12437</v>
      </c>
      <c r="RJL1" s="122" t="s">
        <v>12438</v>
      </c>
      <c r="RJM1" s="122" t="s">
        <v>12439</v>
      </c>
      <c r="RJN1" s="122" t="s">
        <v>12440</v>
      </c>
      <c r="RJO1" s="122" t="s">
        <v>12441</v>
      </c>
      <c r="RJP1" s="122" t="s">
        <v>12442</v>
      </c>
      <c r="RJQ1" s="122" t="s">
        <v>12443</v>
      </c>
      <c r="RJR1" s="122" t="s">
        <v>12444</v>
      </c>
      <c r="RJS1" s="122" t="s">
        <v>12445</v>
      </c>
      <c r="RJT1" s="122" t="s">
        <v>12446</v>
      </c>
      <c r="RJU1" s="122" t="s">
        <v>12447</v>
      </c>
      <c r="RJV1" s="122" t="s">
        <v>12448</v>
      </c>
      <c r="RJW1" s="122" t="s">
        <v>12449</v>
      </c>
      <c r="RJX1" s="122" t="s">
        <v>12450</v>
      </c>
      <c r="RJY1" s="122" t="s">
        <v>12451</v>
      </c>
      <c r="RJZ1" s="122" t="s">
        <v>12452</v>
      </c>
      <c r="RKA1" s="122" t="s">
        <v>12453</v>
      </c>
      <c r="RKB1" s="122" t="s">
        <v>12454</v>
      </c>
      <c r="RKC1" s="122" t="s">
        <v>12455</v>
      </c>
      <c r="RKD1" s="122" t="s">
        <v>12456</v>
      </c>
      <c r="RKE1" s="122" t="s">
        <v>12457</v>
      </c>
      <c r="RKF1" s="122" t="s">
        <v>12458</v>
      </c>
      <c r="RKG1" s="122" t="s">
        <v>12459</v>
      </c>
      <c r="RKH1" s="122" t="s">
        <v>12460</v>
      </c>
      <c r="RKI1" s="122" t="s">
        <v>12461</v>
      </c>
      <c r="RKJ1" s="122" t="s">
        <v>12462</v>
      </c>
      <c r="RKK1" s="122" t="s">
        <v>12463</v>
      </c>
      <c r="RKL1" s="122" t="s">
        <v>12464</v>
      </c>
      <c r="RKM1" s="122" t="s">
        <v>12465</v>
      </c>
      <c r="RKN1" s="122" t="s">
        <v>12466</v>
      </c>
      <c r="RKO1" s="122" t="s">
        <v>12467</v>
      </c>
      <c r="RKP1" s="122" t="s">
        <v>12468</v>
      </c>
      <c r="RKQ1" s="122" t="s">
        <v>12469</v>
      </c>
      <c r="RKR1" s="122" t="s">
        <v>12470</v>
      </c>
      <c r="RKS1" s="122" t="s">
        <v>12471</v>
      </c>
      <c r="RKT1" s="122" t="s">
        <v>12472</v>
      </c>
      <c r="RKU1" s="122" t="s">
        <v>12473</v>
      </c>
      <c r="RKV1" s="122" t="s">
        <v>12474</v>
      </c>
      <c r="RKW1" s="122" t="s">
        <v>12475</v>
      </c>
      <c r="RKX1" s="122" t="s">
        <v>12476</v>
      </c>
      <c r="RKY1" s="122" t="s">
        <v>12477</v>
      </c>
      <c r="RKZ1" s="122" t="s">
        <v>12478</v>
      </c>
      <c r="RLA1" s="122" t="s">
        <v>12479</v>
      </c>
      <c r="RLB1" s="122" t="s">
        <v>12480</v>
      </c>
      <c r="RLC1" s="122" t="s">
        <v>12481</v>
      </c>
      <c r="RLD1" s="122" t="s">
        <v>12482</v>
      </c>
      <c r="RLE1" s="122" t="s">
        <v>12483</v>
      </c>
      <c r="RLF1" s="122" t="s">
        <v>12484</v>
      </c>
      <c r="RLG1" s="122" t="s">
        <v>12485</v>
      </c>
      <c r="RLH1" s="122" t="s">
        <v>12486</v>
      </c>
      <c r="RLI1" s="122" t="s">
        <v>12487</v>
      </c>
      <c r="RLJ1" s="122" t="s">
        <v>12488</v>
      </c>
      <c r="RLK1" s="122" t="s">
        <v>12489</v>
      </c>
      <c r="RLL1" s="122" t="s">
        <v>12490</v>
      </c>
      <c r="RLM1" s="122" t="s">
        <v>12491</v>
      </c>
      <c r="RLN1" s="122" t="s">
        <v>12492</v>
      </c>
      <c r="RLO1" s="122" t="s">
        <v>12493</v>
      </c>
      <c r="RLP1" s="122" t="s">
        <v>12494</v>
      </c>
      <c r="RLQ1" s="122" t="s">
        <v>12495</v>
      </c>
      <c r="RLR1" s="122" t="s">
        <v>12496</v>
      </c>
      <c r="RLS1" s="122" t="s">
        <v>12497</v>
      </c>
      <c r="RLT1" s="122" t="s">
        <v>12498</v>
      </c>
      <c r="RLU1" s="122" t="s">
        <v>12499</v>
      </c>
      <c r="RLV1" s="122" t="s">
        <v>12500</v>
      </c>
      <c r="RLW1" s="122" t="s">
        <v>12501</v>
      </c>
      <c r="RLX1" s="122" t="s">
        <v>12502</v>
      </c>
      <c r="RLY1" s="122" t="s">
        <v>12503</v>
      </c>
      <c r="RLZ1" s="122" t="s">
        <v>12504</v>
      </c>
      <c r="RMA1" s="122" t="s">
        <v>12505</v>
      </c>
      <c r="RMB1" s="122" t="s">
        <v>12506</v>
      </c>
      <c r="RMC1" s="122" t="s">
        <v>12507</v>
      </c>
      <c r="RMD1" s="122" t="s">
        <v>12508</v>
      </c>
      <c r="RME1" s="122" t="s">
        <v>12509</v>
      </c>
      <c r="RMF1" s="122" t="s">
        <v>12510</v>
      </c>
      <c r="RMG1" s="122" t="s">
        <v>12511</v>
      </c>
      <c r="RMH1" s="122" t="s">
        <v>12512</v>
      </c>
      <c r="RMI1" s="122" t="s">
        <v>12513</v>
      </c>
      <c r="RMJ1" s="122" t="s">
        <v>12514</v>
      </c>
      <c r="RMK1" s="122" t="s">
        <v>12515</v>
      </c>
      <c r="RML1" s="122" t="s">
        <v>12516</v>
      </c>
      <c r="RMM1" s="122" t="s">
        <v>12517</v>
      </c>
      <c r="RMN1" s="122" t="s">
        <v>12518</v>
      </c>
      <c r="RMO1" s="122" t="s">
        <v>12519</v>
      </c>
      <c r="RMP1" s="122" t="s">
        <v>12520</v>
      </c>
      <c r="RMQ1" s="122" t="s">
        <v>12521</v>
      </c>
      <c r="RMR1" s="122" t="s">
        <v>12522</v>
      </c>
      <c r="RMS1" s="122" t="s">
        <v>12523</v>
      </c>
      <c r="RMT1" s="122" t="s">
        <v>12524</v>
      </c>
      <c r="RMU1" s="122" t="s">
        <v>12525</v>
      </c>
      <c r="RMV1" s="122" t="s">
        <v>12526</v>
      </c>
      <c r="RMW1" s="122" t="s">
        <v>12527</v>
      </c>
      <c r="RMX1" s="122" t="s">
        <v>12528</v>
      </c>
      <c r="RMY1" s="122" t="s">
        <v>12529</v>
      </c>
      <c r="RMZ1" s="122" t="s">
        <v>12530</v>
      </c>
      <c r="RNA1" s="122" t="s">
        <v>12531</v>
      </c>
      <c r="RNB1" s="122" t="s">
        <v>12532</v>
      </c>
      <c r="RNC1" s="122" t="s">
        <v>12533</v>
      </c>
      <c r="RND1" s="122" t="s">
        <v>12534</v>
      </c>
      <c r="RNE1" s="122" t="s">
        <v>12535</v>
      </c>
      <c r="RNF1" s="122" t="s">
        <v>12536</v>
      </c>
      <c r="RNG1" s="122" t="s">
        <v>12537</v>
      </c>
      <c r="RNH1" s="122" t="s">
        <v>12538</v>
      </c>
      <c r="RNI1" s="122" t="s">
        <v>12539</v>
      </c>
      <c r="RNJ1" s="122" t="s">
        <v>12540</v>
      </c>
      <c r="RNK1" s="122" t="s">
        <v>12541</v>
      </c>
      <c r="RNL1" s="122" t="s">
        <v>12542</v>
      </c>
      <c r="RNM1" s="122" t="s">
        <v>12543</v>
      </c>
      <c r="RNN1" s="122" t="s">
        <v>12544</v>
      </c>
      <c r="RNO1" s="122" t="s">
        <v>12545</v>
      </c>
      <c r="RNP1" s="122" t="s">
        <v>12546</v>
      </c>
      <c r="RNQ1" s="122" t="s">
        <v>12547</v>
      </c>
      <c r="RNR1" s="122" t="s">
        <v>12548</v>
      </c>
      <c r="RNS1" s="122" t="s">
        <v>12549</v>
      </c>
      <c r="RNT1" s="122" t="s">
        <v>12550</v>
      </c>
      <c r="RNU1" s="122" t="s">
        <v>12551</v>
      </c>
      <c r="RNV1" s="122" t="s">
        <v>12552</v>
      </c>
      <c r="RNW1" s="122" t="s">
        <v>12553</v>
      </c>
      <c r="RNX1" s="122" t="s">
        <v>12554</v>
      </c>
      <c r="RNY1" s="122" t="s">
        <v>12555</v>
      </c>
      <c r="RNZ1" s="122" t="s">
        <v>12556</v>
      </c>
      <c r="ROA1" s="122" t="s">
        <v>12557</v>
      </c>
      <c r="ROB1" s="122" t="s">
        <v>12558</v>
      </c>
      <c r="ROC1" s="122" t="s">
        <v>12559</v>
      </c>
      <c r="ROD1" s="122" t="s">
        <v>12560</v>
      </c>
      <c r="ROE1" s="122" t="s">
        <v>12561</v>
      </c>
      <c r="ROF1" s="122" t="s">
        <v>12562</v>
      </c>
      <c r="ROG1" s="122" t="s">
        <v>12563</v>
      </c>
      <c r="ROH1" s="122" t="s">
        <v>12564</v>
      </c>
      <c r="ROI1" s="122" t="s">
        <v>12565</v>
      </c>
      <c r="ROJ1" s="122" t="s">
        <v>12566</v>
      </c>
      <c r="ROK1" s="122" t="s">
        <v>12567</v>
      </c>
      <c r="ROL1" s="122" t="s">
        <v>12568</v>
      </c>
      <c r="ROM1" s="122" t="s">
        <v>12569</v>
      </c>
      <c r="RON1" s="122" t="s">
        <v>12570</v>
      </c>
      <c r="ROO1" s="122" t="s">
        <v>12571</v>
      </c>
      <c r="ROP1" s="122" t="s">
        <v>12572</v>
      </c>
      <c r="ROQ1" s="122" t="s">
        <v>12573</v>
      </c>
      <c r="ROR1" s="122" t="s">
        <v>12574</v>
      </c>
      <c r="ROS1" s="122" t="s">
        <v>12575</v>
      </c>
      <c r="ROT1" s="122" t="s">
        <v>12576</v>
      </c>
      <c r="ROU1" s="122" t="s">
        <v>12577</v>
      </c>
      <c r="ROV1" s="122" t="s">
        <v>12578</v>
      </c>
      <c r="ROW1" s="122" t="s">
        <v>12579</v>
      </c>
      <c r="ROX1" s="122" t="s">
        <v>12580</v>
      </c>
      <c r="ROY1" s="122" t="s">
        <v>12581</v>
      </c>
      <c r="ROZ1" s="122" t="s">
        <v>12582</v>
      </c>
      <c r="RPA1" s="122" t="s">
        <v>12583</v>
      </c>
      <c r="RPB1" s="122" t="s">
        <v>12584</v>
      </c>
      <c r="RPC1" s="122" t="s">
        <v>12585</v>
      </c>
      <c r="RPD1" s="122" t="s">
        <v>12586</v>
      </c>
      <c r="RPE1" s="122" t="s">
        <v>12587</v>
      </c>
      <c r="RPF1" s="122" t="s">
        <v>12588</v>
      </c>
      <c r="RPG1" s="122" t="s">
        <v>12589</v>
      </c>
      <c r="RPH1" s="122" t="s">
        <v>12590</v>
      </c>
      <c r="RPI1" s="122" t="s">
        <v>12591</v>
      </c>
      <c r="RPJ1" s="122" t="s">
        <v>12592</v>
      </c>
      <c r="RPK1" s="122" t="s">
        <v>12593</v>
      </c>
      <c r="RPL1" s="122" t="s">
        <v>12594</v>
      </c>
      <c r="RPM1" s="122" t="s">
        <v>12595</v>
      </c>
      <c r="RPN1" s="122" t="s">
        <v>12596</v>
      </c>
      <c r="RPO1" s="122" t="s">
        <v>12597</v>
      </c>
      <c r="RPP1" s="122" t="s">
        <v>12598</v>
      </c>
      <c r="RPQ1" s="122" t="s">
        <v>12599</v>
      </c>
      <c r="RPR1" s="122" t="s">
        <v>12600</v>
      </c>
      <c r="RPS1" s="122" t="s">
        <v>12601</v>
      </c>
      <c r="RPT1" s="122" t="s">
        <v>12602</v>
      </c>
      <c r="RPU1" s="122" t="s">
        <v>12603</v>
      </c>
      <c r="RPV1" s="122" t="s">
        <v>12604</v>
      </c>
      <c r="RPW1" s="122" t="s">
        <v>12605</v>
      </c>
      <c r="RPX1" s="122" t="s">
        <v>12606</v>
      </c>
      <c r="RPY1" s="122" t="s">
        <v>12607</v>
      </c>
      <c r="RPZ1" s="122" t="s">
        <v>12608</v>
      </c>
      <c r="RQA1" s="122" t="s">
        <v>12609</v>
      </c>
      <c r="RQB1" s="122" t="s">
        <v>12610</v>
      </c>
      <c r="RQC1" s="122" t="s">
        <v>12611</v>
      </c>
      <c r="RQD1" s="122" t="s">
        <v>12612</v>
      </c>
      <c r="RQE1" s="122" t="s">
        <v>12613</v>
      </c>
      <c r="RQF1" s="122" t="s">
        <v>12614</v>
      </c>
      <c r="RQG1" s="122" t="s">
        <v>12615</v>
      </c>
      <c r="RQH1" s="122" t="s">
        <v>12616</v>
      </c>
      <c r="RQI1" s="122" t="s">
        <v>12617</v>
      </c>
      <c r="RQJ1" s="122" t="s">
        <v>12618</v>
      </c>
      <c r="RQK1" s="122" t="s">
        <v>12619</v>
      </c>
      <c r="RQL1" s="122" t="s">
        <v>12620</v>
      </c>
      <c r="RQM1" s="122" t="s">
        <v>12621</v>
      </c>
      <c r="RQN1" s="122" t="s">
        <v>12622</v>
      </c>
      <c r="RQO1" s="122" t="s">
        <v>12623</v>
      </c>
      <c r="RQP1" s="122" t="s">
        <v>12624</v>
      </c>
      <c r="RQQ1" s="122" t="s">
        <v>12625</v>
      </c>
      <c r="RQR1" s="122" t="s">
        <v>12626</v>
      </c>
      <c r="RQS1" s="122" t="s">
        <v>12627</v>
      </c>
      <c r="RQT1" s="122" t="s">
        <v>12628</v>
      </c>
      <c r="RQU1" s="122" t="s">
        <v>12629</v>
      </c>
      <c r="RQV1" s="122" t="s">
        <v>12630</v>
      </c>
      <c r="RQW1" s="122" t="s">
        <v>12631</v>
      </c>
      <c r="RQX1" s="122" t="s">
        <v>12632</v>
      </c>
      <c r="RQY1" s="122" t="s">
        <v>12633</v>
      </c>
      <c r="RQZ1" s="122" t="s">
        <v>12634</v>
      </c>
      <c r="RRA1" s="122" t="s">
        <v>12635</v>
      </c>
      <c r="RRB1" s="122" t="s">
        <v>12636</v>
      </c>
      <c r="RRC1" s="122" t="s">
        <v>12637</v>
      </c>
      <c r="RRD1" s="122" t="s">
        <v>12638</v>
      </c>
      <c r="RRE1" s="122" t="s">
        <v>12639</v>
      </c>
      <c r="RRF1" s="122" t="s">
        <v>12640</v>
      </c>
      <c r="RRG1" s="122" t="s">
        <v>12641</v>
      </c>
      <c r="RRH1" s="122" t="s">
        <v>12642</v>
      </c>
      <c r="RRI1" s="122" t="s">
        <v>12643</v>
      </c>
      <c r="RRJ1" s="122" t="s">
        <v>12644</v>
      </c>
      <c r="RRK1" s="122" t="s">
        <v>12645</v>
      </c>
      <c r="RRL1" s="122" t="s">
        <v>12646</v>
      </c>
      <c r="RRM1" s="122" t="s">
        <v>12647</v>
      </c>
      <c r="RRN1" s="122" t="s">
        <v>12648</v>
      </c>
      <c r="RRO1" s="122" t="s">
        <v>12649</v>
      </c>
      <c r="RRP1" s="122" t="s">
        <v>12650</v>
      </c>
      <c r="RRQ1" s="122" t="s">
        <v>12651</v>
      </c>
      <c r="RRR1" s="122" t="s">
        <v>12652</v>
      </c>
      <c r="RRS1" s="122" t="s">
        <v>12653</v>
      </c>
      <c r="RRT1" s="122" t="s">
        <v>12654</v>
      </c>
      <c r="RRU1" s="122" t="s">
        <v>12655</v>
      </c>
      <c r="RRV1" s="122" t="s">
        <v>12656</v>
      </c>
      <c r="RRW1" s="122" t="s">
        <v>12657</v>
      </c>
      <c r="RRX1" s="122" t="s">
        <v>12658</v>
      </c>
      <c r="RRY1" s="122" t="s">
        <v>12659</v>
      </c>
      <c r="RRZ1" s="122" t="s">
        <v>12660</v>
      </c>
      <c r="RSA1" s="122" t="s">
        <v>12661</v>
      </c>
      <c r="RSB1" s="122" t="s">
        <v>12662</v>
      </c>
      <c r="RSC1" s="122" t="s">
        <v>12663</v>
      </c>
      <c r="RSD1" s="122" t="s">
        <v>12664</v>
      </c>
      <c r="RSE1" s="122" t="s">
        <v>12665</v>
      </c>
      <c r="RSF1" s="122" t="s">
        <v>12666</v>
      </c>
      <c r="RSG1" s="122" t="s">
        <v>12667</v>
      </c>
      <c r="RSH1" s="122" t="s">
        <v>12668</v>
      </c>
      <c r="RSI1" s="122" t="s">
        <v>12669</v>
      </c>
      <c r="RSJ1" s="122" t="s">
        <v>12670</v>
      </c>
      <c r="RSK1" s="122" t="s">
        <v>12671</v>
      </c>
      <c r="RSL1" s="122" t="s">
        <v>12672</v>
      </c>
      <c r="RSM1" s="122" t="s">
        <v>12673</v>
      </c>
      <c r="RSN1" s="122" t="s">
        <v>12674</v>
      </c>
      <c r="RSO1" s="122" t="s">
        <v>12675</v>
      </c>
      <c r="RSP1" s="122" t="s">
        <v>12676</v>
      </c>
      <c r="RSQ1" s="122" t="s">
        <v>12677</v>
      </c>
      <c r="RSR1" s="122" t="s">
        <v>12678</v>
      </c>
      <c r="RSS1" s="122" t="s">
        <v>12679</v>
      </c>
      <c r="RST1" s="122" t="s">
        <v>12680</v>
      </c>
      <c r="RSU1" s="122" t="s">
        <v>12681</v>
      </c>
      <c r="RSV1" s="122" t="s">
        <v>12682</v>
      </c>
      <c r="RSW1" s="122" t="s">
        <v>12683</v>
      </c>
      <c r="RSX1" s="122" t="s">
        <v>12684</v>
      </c>
      <c r="RSY1" s="122" t="s">
        <v>12685</v>
      </c>
      <c r="RSZ1" s="122" t="s">
        <v>12686</v>
      </c>
      <c r="RTA1" s="122" t="s">
        <v>12687</v>
      </c>
      <c r="RTB1" s="122" t="s">
        <v>12688</v>
      </c>
      <c r="RTC1" s="122" t="s">
        <v>12689</v>
      </c>
      <c r="RTD1" s="122" t="s">
        <v>12690</v>
      </c>
      <c r="RTE1" s="122" t="s">
        <v>12691</v>
      </c>
      <c r="RTF1" s="122" t="s">
        <v>12692</v>
      </c>
      <c r="RTG1" s="122" t="s">
        <v>12693</v>
      </c>
      <c r="RTH1" s="122" t="s">
        <v>12694</v>
      </c>
      <c r="RTI1" s="122" t="s">
        <v>12695</v>
      </c>
      <c r="RTJ1" s="122" t="s">
        <v>12696</v>
      </c>
      <c r="RTK1" s="122" t="s">
        <v>12697</v>
      </c>
      <c r="RTL1" s="122" t="s">
        <v>12698</v>
      </c>
      <c r="RTM1" s="122" t="s">
        <v>12699</v>
      </c>
      <c r="RTN1" s="122" t="s">
        <v>12700</v>
      </c>
      <c r="RTO1" s="122" t="s">
        <v>12701</v>
      </c>
      <c r="RTP1" s="122" t="s">
        <v>12702</v>
      </c>
      <c r="RTQ1" s="122" t="s">
        <v>12703</v>
      </c>
      <c r="RTR1" s="122" t="s">
        <v>12704</v>
      </c>
      <c r="RTS1" s="122" t="s">
        <v>12705</v>
      </c>
      <c r="RTT1" s="122" t="s">
        <v>12706</v>
      </c>
      <c r="RTU1" s="122" t="s">
        <v>12707</v>
      </c>
      <c r="RTV1" s="122" t="s">
        <v>12708</v>
      </c>
      <c r="RTW1" s="122" t="s">
        <v>12709</v>
      </c>
      <c r="RTX1" s="122" t="s">
        <v>12710</v>
      </c>
      <c r="RTY1" s="122" t="s">
        <v>12711</v>
      </c>
      <c r="RTZ1" s="122" t="s">
        <v>12712</v>
      </c>
      <c r="RUA1" s="122" t="s">
        <v>12713</v>
      </c>
      <c r="RUB1" s="122" t="s">
        <v>12714</v>
      </c>
      <c r="RUC1" s="122" t="s">
        <v>12715</v>
      </c>
      <c r="RUD1" s="122" t="s">
        <v>12716</v>
      </c>
      <c r="RUE1" s="122" t="s">
        <v>12717</v>
      </c>
      <c r="RUF1" s="122" t="s">
        <v>12718</v>
      </c>
      <c r="RUG1" s="122" t="s">
        <v>12719</v>
      </c>
      <c r="RUH1" s="122" t="s">
        <v>12720</v>
      </c>
      <c r="RUI1" s="122" t="s">
        <v>12721</v>
      </c>
      <c r="RUJ1" s="122" t="s">
        <v>12722</v>
      </c>
      <c r="RUK1" s="122" t="s">
        <v>12723</v>
      </c>
      <c r="RUL1" s="122" t="s">
        <v>12724</v>
      </c>
      <c r="RUM1" s="122" t="s">
        <v>12725</v>
      </c>
      <c r="RUN1" s="122" t="s">
        <v>12726</v>
      </c>
      <c r="RUO1" s="122" t="s">
        <v>12727</v>
      </c>
      <c r="RUP1" s="122" t="s">
        <v>12728</v>
      </c>
      <c r="RUQ1" s="122" t="s">
        <v>12729</v>
      </c>
      <c r="RUR1" s="122" t="s">
        <v>12730</v>
      </c>
      <c r="RUS1" s="122" t="s">
        <v>12731</v>
      </c>
      <c r="RUT1" s="122" t="s">
        <v>12732</v>
      </c>
      <c r="RUU1" s="122" t="s">
        <v>12733</v>
      </c>
      <c r="RUV1" s="122" t="s">
        <v>12734</v>
      </c>
      <c r="RUW1" s="122" t="s">
        <v>12735</v>
      </c>
      <c r="RUX1" s="122" t="s">
        <v>12736</v>
      </c>
      <c r="RUY1" s="122" t="s">
        <v>12737</v>
      </c>
      <c r="RUZ1" s="122" t="s">
        <v>12738</v>
      </c>
      <c r="RVA1" s="122" t="s">
        <v>12739</v>
      </c>
      <c r="RVB1" s="122" t="s">
        <v>12740</v>
      </c>
      <c r="RVC1" s="122" t="s">
        <v>12741</v>
      </c>
      <c r="RVD1" s="122" t="s">
        <v>12742</v>
      </c>
      <c r="RVE1" s="122" t="s">
        <v>12743</v>
      </c>
      <c r="RVF1" s="122" t="s">
        <v>12744</v>
      </c>
      <c r="RVG1" s="122" t="s">
        <v>12745</v>
      </c>
      <c r="RVH1" s="122" t="s">
        <v>12746</v>
      </c>
      <c r="RVI1" s="122" t="s">
        <v>12747</v>
      </c>
      <c r="RVJ1" s="122" t="s">
        <v>12748</v>
      </c>
      <c r="RVK1" s="122" t="s">
        <v>12749</v>
      </c>
      <c r="RVL1" s="122" t="s">
        <v>12750</v>
      </c>
      <c r="RVM1" s="122" t="s">
        <v>12751</v>
      </c>
      <c r="RVN1" s="122" t="s">
        <v>12752</v>
      </c>
      <c r="RVO1" s="122" t="s">
        <v>12753</v>
      </c>
      <c r="RVP1" s="122" t="s">
        <v>12754</v>
      </c>
      <c r="RVQ1" s="122" t="s">
        <v>12755</v>
      </c>
      <c r="RVR1" s="122" t="s">
        <v>12756</v>
      </c>
      <c r="RVS1" s="122" t="s">
        <v>12757</v>
      </c>
      <c r="RVT1" s="122" t="s">
        <v>12758</v>
      </c>
      <c r="RVU1" s="122" t="s">
        <v>12759</v>
      </c>
      <c r="RVV1" s="122" t="s">
        <v>12760</v>
      </c>
      <c r="RVW1" s="122" t="s">
        <v>12761</v>
      </c>
      <c r="RVX1" s="122" t="s">
        <v>12762</v>
      </c>
      <c r="RVY1" s="122" t="s">
        <v>12763</v>
      </c>
      <c r="RVZ1" s="122" t="s">
        <v>12764</v>
      </c>
      <c r="RWA1" s="122" t="s">
        <v>12765</v>
      </c>
      <c r="RWB1" s="122" t="s">
        <v>12766</v>
      </c>
      <c r="RWC1" s="122" t="s">
        <v>12767</v>
      </c>
      <c r="RWD1" s="122" t="s">
        <v>12768</v>
      </c>
      <c r="RWE1" s="122" t="s">
        <v>12769</v>
      </c>
      <c r="RWF1" s="122" t="s">
        <v>12770</v>
      </c>
      <c r="RWG1" s="122" t="s">
        <v>12771</v>
      </c>
      <c r="RWH1" s="122" t="s">
        <v>12772</v>
      </c>
      <c r="RWI1" s="122" t="s">
        <v>12773</v>
      </c>
      <c r="RWJ1" s="122" t="s">
        <v>12774</v>
      </c>
      <c r="RWK1" s="122" t="s">
        <v>12775</v>
      </c>
      <c r="RWL1" s="122" t="s">
        <v>12776</v>
      </c>
      <c r="RWM1" s="122" t="s">
        <v>12777</v>
      </c>
      <c r="RWN1" s="122" t="s">
        <v>12778</v>
      </c>
      <c r="RWO1" s="122" t="s">
        <v>12779</v>
      </c>
      <c r="RWP1" s="122" t="s">
        <v>12780</v>
      </c>
      <c r="RWQ1" s="122" t="s">
        <v>12781</v>
      </c>
      <c r="RWR1" s="122" t="s">
        <v>12782</v>
      </c>
      <c r="RWS1" s="122" t="s">
        <v>12783</v>
      </c>
      <c r="RWT1" s="122" t="s">
        <v>12784</v>
      </c>
      <c r="RWU1" s="122" t="s">
        <v>12785</v>
      </c>
      <c r="RWV1" s="122" t="s">
        <v>12786</v>
      </c>
      <c r="RWW1" s="122" t="s">
        <v>12787</v>
      </c>
      <c r="RWX1" s="122" t="s">
        <v>12788</v>
      </c>
      <c r="RWY1" s="122" t="s">
        <v>12789</v>
      </c>
      <c r="RWZ1" s="122" t="s">
        <v>12790</v>
      </c>
      <c r="RXA1" s="122" t="s">
        <v>12791</v>
      </c>
      <c r="RXB1" s="122" t="s">
        <v>12792</v>
      </c>
      <c r="RXC1" s="122" t="s">
        <v>12793</v>
      </c>
      <c r="RXD1" s="122" t="s">
        <v>12794</v>
      </c>
      <c r="RXE1" s="122" t="s">
        <v>12795</v>
      </c>
      <c r="RXF1" s="122" t="s">
        <v>12796</v>
      </c>
      <c r="RXG1" s="122" t="s">
        <v>12797</v>
      </c>
      <c r="RXH1" s="122" t="s">
        <v>12798</v>
      </c>
      <c r="RXI1" s="122" t="s">
        <v>12799</v>
      </c>
      <c r="RXJ1" s="122" t="s">
        <v>12800</v>
      </c>
      <c r="RXK1" s="122" t="s">
        <v>12801</v>
      </c>
      <c r="RXL1" s="122" t="s">
        <v>12802</v>
      </c>
      <c r="RXM1" s="122" t="s">
        <v>12803</v>
      </c>
      <c r="RXN1" s="122" t="s">
        <v>12804</v>
      </c>
      <c r="RXO1" s="122" t="s">
        <v>12805</v>
      </c>
      <c r="RXP1" s="122" t="s">
        <v>12806</v>
      </c>
      <c r="RXQ1" s="122" t="s">
        <v>12807</v>
      </c>
      <c r="RXR1" s="122" t="s">
        <v>12808</v>
      </c>
      <c r="RXS1" s="122" t="s">
        <v>12809</v>
      </c>
      <c r="RXT1" s="122" t="s">
        <v>12810</v>
      </c>
      <c r="RXU1" s="122" t="s">
        <v>12811</v>
      </c>
      <c r="RXV1" s="122" t="s">
        <v>12812</v>
      </c>
      <c r="RXW1" s="122" t="s">
        <v>12813</v>
      </c>
      <c r="RXX1" s="122" t="s">
        <v>12814</v>
      </c>
      <c r="RXY1" s="122" t="s">
        <v>12815</v>
      </c>
      <c r="RXZ1" s="122" t="s">
        <v>12816</v>
      </c>
      <c r="RYA1" s="122" t="s">
        <v>12817</v>
      </c>
      <c r="RYB1" s="122" t="s">
        <v>12818</v>
      </c>
      <c r="RYC1" s="122" t="s">
        <v>12819</v>
      </c>
      <c r="RYD1" s="122" t="s">
        <v>12820</v>
      </c>
      <c r="RYE1" s="122" t="s">
        <v>12821</v>
      </c>
      <c r="RYF1" s="122" t="s">
        <v>12822</v>
      </c>
      <c r="RYG1" s="122" t="s">
        <v>12823</v>
      </c>
      <c r="RYH1" s="122" t="s">
        <v>12824</v>
      </c>
      <c r="RYI1" s="122" t="s">
        <v>12825</v>
      </c>
      <c r="RYJ1" s="122" t="s">
        <v>12826</v>
      </c>
      <c r="RYK1" s="122" t="s">
        <v>12827</v>
      </c>
      <c r="RYL1" s="122" t="s">
        <v>12828</v>
      </c>
      <c r="RYM1" s="122" t="s">
        <v>12829</v>
      </c>
      <c r="RYN1" s="122" t="s">
        <v>12830</v>
      </c>
      <c r="RYO1" s="122" t="s">
        <v>12831</v>
      </c>
      <c r="RYP1" s="122" t="s">
        <v>12832</v>
      </c>
      <c r="RYQ1" s="122" t="s">
        <v>12833</v>
      </c>
      <c r="RYR1" s="122" t="s">
        <v>12834</v>
      </c>
      <c r="RYS1" s="122" t="s">
        <v>12835</v>
      </c>
      <c r="RYT1" s="122" t="s">
        <v>12836</v>
      </c>
      <c r="RYU1" s="122" t="s">
        <v>12837</v>
      </c>
      <c r="RYV1" s="122" t="s">
        <v>12838</v>
      </c>
      <c r="RYW1" s="122" t="s">
        <v>12839</v>
      </c>
      <c r="RYX1" s="122" t="s">
        <v>12840</v>
      </c>
      <c r="RYY1" s="122" t="s">
        <v>12841</v>
      </c>
      <c r="RYZ1" s="122" t="s">
        <v>12842</v>
      </c>
      <c r="RZA1" s="122" t="s">
        <v>12843</v>
      </c>
      <c r="RZB1" s="122" t="s">
        <v>12844</v>
      </c>
      <c r="RZC1" s="122" t="s">
        <v>12845</v>
      </c>
      <c r="RZD1" s="122" t="s">
        <v>12846</v>
      </c>
      <c r="RZE1" s="122" t="s">
        <v>12847</v>
      </c>
      <c r="RZF1" s="122" t="s">
        <v>12848</v>
      </c>
      <c r="RZG1" s="122" t="s">
        <v>12849</v>
      </c>
      <c r="RZH1" s="122" t="s">
        <v>12850</v>
      </c>
      <c r="RZI1" s="122" t="s">
        <v>12851</v>
      </c>
      <c r="RZJ1" s="122" t="s">
        <v>12852</v>
      </c>
      <c r="RZK1" s="122" t="s">
        <v>12853</v>
      </c>
      <c r="RZL1" s="122" t="s">
        <v>12854</v>
      </c>
      <c r="RZM1" s="122" t="s">
        <v>12855</v>
      </c>
      <c r="RZN1" s="122" t="s">
        <v>12856</v>
      </c>
      <c r="RZO1" s="122" t="s">
        <v>12857</v>
      </c>
      <c r="RZP1" s="122" t="s">
        <v>12858</v>
      </c>
      <c r="RZQ1" s="122" t="s">
        <v>12859</v>
      </c>
      <c r="RZR1" s="122" t="s">
        <v>12860</v>
      </c>
      <c r="RZS1" s="122" t="s">
        <v>12861</v>
      </c>
      <c r="RZT1" s="122" t="s">
        <v>12862</v>
      </c>
      <c r="RZU1" s="122" t="s">
        <v>12863</v>
      </c>
      <c r="RZV1" s="122" t="s">
        <v>12864</v>
      </c>
      <c r="RZW1" s="122" t="s">
        <v>12865</v>
      </c>
      <c r="RZX1" s="122" t="s">
        <v>12866</v>
      </c>
      <c r="RZY1" s="122" t="s">
        <v>12867</v>
      </c>
      <c r="RZZ1" s="122" t="s">
        <v>12868</v>
      </c>
      <c r="SAA1" s="122" t="s">
        <v>12869</v>
      </c>
      <c r="SAB1" s="122" t="s">
        <v>12870</v>
      </c>
      <c r="SAC1" s="122" t="s">
        <v>12871</v>
      </c>
      <c r="SAD1" s="122" t="s">
        <v>12872</v>
      </c>
      <c r="SAE1" s="122" t="s">
        <v>12873</v>
      </c>
      <c r="SAF1" s="122" t="s">
        <v>12874</v>
      </c>
      <c r="SAG1" s="122" t="s">
        <v>12875</v>
      </c>
      <c r="SAH1" s="122" t="s">
        <v>12876</v>
      </c>
      <c r="SAI1" s="122" t="s">
        <v>12877</v>
      </c>
      <c r="SAJ1" s="122" t="s">
        <v>12878</v>
      </c>
      <c r="SAK1" s="122" t="s">
        <v>12879</v>
      </c>
      <c r="SAL1" s="122" t="s">
        <v>12880</v>
      </c>
      <c r="SAM1" s="122" t="s">
        <v>12881</v>
      </c>
      <c r="SAN1" s="122" t="s">
        <v>12882</v>
      </c>
      <c r="SAO1" s="122" t="s">
        <v>12883</v>
      </c>
      <c r="SAP1" s="122" t="s">
        <v>12884</v>
      </c>
      <c r="SAQ1" s="122" t="s">
        <v>12885</v>
      </c>
      <c r="SAR1" s="122" t="s">
        <v>12886</v>
      </c>
      <c r="SAS1" s="122" t="s">
        <v>12887</v>
      </c>
      <c r="SAT1" s="122" t="s">
        <v>12888</v>
      </c>
      <c r="SAU1" s="122" t="s">
        <v>12889</v>
      </c>
      <c r="SAV1" s="122" t="s">
        <v>12890</v>
      </c>
      <c r="SAW1" s="122" t="s">
        <v>12891</v>
      </c>
      <c r="SAX1" s="122" t="s">
        <v>12892</v>
      </c>
      <c r="SAY1" s="122" t="s">
        <v>12893</v>
      </c>
      <c r="SAZ1" s="122" t="s">
        <v>12894</v>
      </c>
      <c r="SBA1" s="122" t="s">
        <v>12895</v>
      </c>
      <c r="SBB1" s="122" t="s">
        <v>12896</v>
      </c>
      <c r="SBC1" s="122" t="s">
        <v>12897</v>
      </c>
      <c r="SBD1" s="122" t="s">
        <v>12898</v>
      </c>
      <c r="SBE1" s="122" t="s">
        <v>12899</v>
      </c>
      <c r="SBF1" s="122" t="s">
        <v>12900</v>
      </c>
      <c r="SBG1" s="122" t="s">
        <v>12901</v>
      </c>
      <c r="SBH1" s="122" t="s">
        <v>12902</v>
      </c>
      <c r="SBI1" s="122" t="s">
        <v>12903</v>
      </c>
      <c r="SBJ1" s="122" t="s">
        <v>12904</v>
      </c>
      <c r="SBK1" s="122" t="s">
        <v>12905</v>
      </c>
      <c r="SBL1" s="122" t="s">
        <v>12906</v>
      </c>
      <c r="SBM1" s="122" t="s">
        <v>12907</v>
      </c>
      <c r="SBN1" s="122" t="s">
        <v>12908</v>
      </c>
      <c r="SBO1" s="122" t="s">
        <v>12909</v>
      </c>
      <c r="SBP1" s="122" t="s">
        <v>12910</v>
      </c>
      <c r="SBQ1" s="122" t="s">
        <v>12911</v>
      </c>
      <c r="SBR1" s="122" t="s">
        <v>12912</v>
      </c>
      <c r="SBS1" s="122" t="s">
        <v>12913</v>
      </c>
      <c r="SBT1" s="122" t="s">
        <v>12914</v>
      </c>
      <c r="SBU1" s="122" t="s">
        <v>12915</v>
      </c>
      <c r="SBV1" s="122" t="s">
        <v>12916</v>
      </c>
      <c r="SBW1" s="122" t="s">
        <v>12917</v>
      </c>
      <c r="SBX1" s="122" t="s">
        <v>12918</v>
      </c>
      <c r="SBY1" s="122" t="s">
        <v>12919</v>
      </c>
      <c r="SBZ1" s="122" t="s">
        <v>12920</v>
      </c>
      <c r="SCA1" s="122" t="s">
        <v>12921</v>
      </c>
      <c r="SCB1" s="122" t="s">
        <v>12922</v>
      </c>
      <c r="SCC1" s="122" t="s">
        <v>12923</v>
      </c>
      <c r="SCD1" s="122" t="s">
        <v>12924</v>
      </c>
      <c r="SCE1" s="122" t="s">
        <v>12925</v>
      </c>
      <c r="SCF1" s="122" t="s">
        <v>12926</v>
      </c>
      <c r="SCG1" s="122" t="s">
        <v>12927</v>
      </c>
      <c r="SCH1" s="122" t="s">
        <v>12928</v>
      </c>
      <c r="SCI1" s="122" t="s">
        <v>12929</v>
      </c>
      <c r="SCJ1" s="122" t="s">
        <v>12930</v>
      </c>
      <c r="SCK1" s="122" t="s">
        <v>12931</v>
      </c>
      <c r="SCL1" s="122" t="s">
        <v>12932</v>
      </c>
      <c r="SCM1" s="122" t="s">
        <v>12933</v>
      </c>
      <c r="SCN1" s="122" t="s">
        <v>12934</v>
      </c>
      <c r="SCO1" s="122" t="s">
        <v>12935</v>
      </c>
      <c r="SCP1" s="122" t="s">
        <v>12936</v>
      </c>
      <c r="SCQ1" s="122" t="s">
        <v>12937</v>
      </c>
      <c r="SCR1" s="122" t="s">
        <v>12938</v>
      </c>
      <c r="SCS1" s="122" t="s">
        <v>12939</v>
      </c>
      <c r="SCT1" s="122" t="s">
        <v>12940</v>
      </c>
      <c r="SCU1" s="122" t="s">
        <v>12941</v>
      </c>
      <c r="SCV1" s="122" t="s">
        <v>12942</v>
      </c>
      <c r="SCW1" s="122" t="s">
        <v>12943</v>
      </c>
      <c r="SCX1" s="122" t="s">
        <v>12944</v>
      </c>
      <c r="SCY1" s="122" t="s">
        <v>12945</v>
      </c>
      <c r="SCZ1" s="122" t="s">
        <v>12946</v>
      </c>
      <c r="SDA1" s="122" t="s">
        <v>12947</v>
      </c>
      <c r="SDB1" s="122" t="s">
        <v>12948</v>
      </c>
      <c r="SDC1" s="122" t="s">
        <v>12949</v>
      </c>
      <c r="SDD1" s="122" t="s">
        <v>12950</v>
      </c>
      <c r="SDE1" s="122" t="s">
        <v>12951</v>
      </c>
      <c r="SDF1" s="122" t="s">
        <v>12952</v>
      </c>
      <c r="SDG1" s="122" t="s">
        <v>12953</v>
      </c>
      <c r="SDH1" s="122" t="s">
        <v>12954</v>
      </c>
      <c r="SDI1" s="122" t="s">
        <v>12955</v>
      </c>
      <c r="SDJ1" s="122" t="s">
        <v>12956</v>
      </c>
      <c r="SDK1" s="122" t="s">
        <v>12957</v>
      </c>
      <c r="SDL1" s="122" t="s">
        <v>12958</v>
      </c>
      <c r="SDM1" s="122" t="s">
        <v>12959</v>
      </c>
      <c r="SDN1" s="122" t="s">
        <v>12960</v>
      </c>
      <c r="SDO1" s="122" t="s">
        <v>12961</v>
      </c>
      <c r="SDP1" s="122" t="s">
        <v>12962</v>
      </c>
      <c r="SDQ1" s="122" t="s">
        <v>12963</v>
      </c>
      <c r="SDR1" s="122" t="s">
        <v>12964</v>
      </c>
      <c r="SDS1" s="122" t="s">
        <v>12965</v>
      </c>
      <c r="SDT1" s="122" t="s">
        <v>12966</v>
      </c>
      <c r="SDU1" s="122" t="s">
        <v>12967</v>
      </c>
      <c r="SDV1" s="122" t="s">
        <v>12968</v>
      </c>
      <c r="SDW1" s="122" t="s">
        <v>12969</v>
      </c>
      <c r="SDX1" s="122" t="s">
        <v>12970</v>
      </c>
      <c r="SDY1" s="122" t="s">
        <v>12971</v>
      </c>
      <c r="SDZ1" s="122" t="s">
        <v>12972</v>
      </c>
      <c r="SEA1" s="122" t="s">
        <v>12973</v>
      </c>
      <c r="SEB1" s="122" t="s">
        <v>12974</v>
      </c>
      <c r="SEC1" s="122" t="s">
        <v>12975</v>
      </c>
      <c r="SED1" s="122" t="s">
        <v>12976</v>
      </c>
      <c r="SEE1" s="122" t="s">
        <v>12977</v>
      </c>
      <c r="SEF1" s="122" t="s">
        <v>12978</v>
      </c>
      <c r="SEG1" s="122" t="s">
        <v>12979</v>
      </c>
      <c r="SEH1" s="122" t="s">
        <v>12980</v>
      </c>
      <c r="SEI1" s="122" t="s">
        <v>12981</v>
      </c>
      <c r="SEJ1" s="122" t="s">
        <v>12982</v>
      </c>
      <c r="SEK1" s="122" t="s">
        <v>12983</v>
      </c>
      <c r="SEL1" s="122" t="s">
        <v>12984</v>
      </c>
      <c r="SEM1" s="122" t="s">
        <v>12985</v>
      </c>
      <c r="SEN1" s="122" t="s">
        <v>12986</v>
      </c>
      <c r="SEO1" s="122" t="s">
        <v>12987</v>
      </c>
      <c r="SEP1" s="122" t="s">
        <v>12988</v>
      </c>
      <c r="SEQ1" s="122" t="s">
        <v>12989</v>
      </c>
      <c r="SER1" s="122" t="s">
        <v>12990</v>
      </c>
      <c r="SES1" s="122" t="s">
        <v>12991</v>
      </c>
      <c r="SET1" s="122" t="s">
        <v>12992</v>
      </c>
      <c r="SEU1" s="122" t="s">
        <v>12993</v>
      </c>
      <c r="SEV1" s="122" t="s">
        <v>12994</v>
      </c>
      <c r="SEW1" s="122" t="s">
        <v>12995</v>
      </c>
      <c r="SEX1" s="122" t="s">
        <v>12996</v>
      </c>
      <c r="SEY1" s="122" t="s">
        <v>12997</v>
      </c>
      <c r="SEZ1" s="122" t="s">
        <v>12998</v>
      </c>
      <c r="SFA1" s="122" t="s">
        <v>12999</v>
      </c>
      <c r="SFB1" s="122" t="s">
        <v>13000</v>
      </c>
      <c r="SFC1" s="122" t="s">
        <v>13001</v>
      </c>
      <c r="SFD1" s="122" t="s">
        <v>13002</v>
      </c>
      <c r="SFE1" s="122" t="s">
        <v>13003</v>
      </c>
      <c r="SFF1" s="122" t="s">
        <v>13004</v>
      </c>
      <c r="SFG1" s="122" t="s">
        <v>13005</v>
      </c>
      <c r="SFH1" s="122" t="s">
        <v>13006</v>
      </c>
      <c r="SFI1" s="122" t="s">
        <v>13007</v>
      </c>
      <c r="SFJ1" s="122" t="s">
        <v>13008</v>
      </c>
      <c r="SFK1" s="122" t="s">
        <v>13009</v>
      </c>
      <c r="SFL1" s="122" t="s">
        <v>13010</v>
      </c>
      <c r="SFM1" s="122" t="s">
        <v>13011</v>
      </c>
      <c r="SFN1" s="122" t="s">
        <v>13012</v>
      </c>
      <c r="SFO1" s="122" t="s">
        <v>13013</v>
      </c>
      <c r="SFP1" s="122" t="s">
        <v>13014</v>
      </c>
      <c r="SFQ1" s="122" t="s">
        <v>13015</v>
      </c>
      <c r="SFR1" s="122" t="s">
        <v>13016</v>
      </c>
      <c r="SFS1" s="122" t="s">
        <v>13017</v>
      </c>
      <c r="SFT1" s="122" t="s">
        <v>13018</v>
      </c>
      <c r="SFU1" s="122" t="s">
        <v>13019</v>
      </c>
      <c r="SFV1" s="122" t="s">
        <v>13020</v>
      </c>
      <c r="SFW1" s="122" t="s">
        <v>13021</v>
      </c>
      <c r="SFX1" s="122" t="s">
        <v>13022</v>
      </c>
      <c r="SFY1" s="122" t="s">
        <v>13023</v>
      </c>
      <c r="SFZ1" s="122" t="s">
        <v>13024</v>
      </c>
      <c r="SGA1" s="122" t="s">
        <v>13025</v>
      </c>
      <c r="SGB1" s="122" t="s">
        <v>13026</v>
      </c>
      <c r="SGC1" s="122" t="s">
        <v>13027</v>
      </c>
      <c r="SGD1" s="122" t="s">
        <v>13028</v>
      </c>
      <c r="SGE1" s="122" t="s">
        <v>13029</v>
      </c>
      <c r="SGF1" s="122" t="s">
        <v>13030</v>
      </c>
      <c r="SGG1" s="122" t="s">
        <v>13031</v>
      </c>
      <c r="SGH1" s="122" t="s">
        <v>13032</v>
      </c>
      <c r="SGI1" s="122" t="s">
        <v>13033</v>
      </c>
      <c r="SGJ1" s="122" t="s">
        <v>13034</v>
      </c>
      <c r="SGK1" s="122" t="s">
        <v>13035</v>
      </c>
      <c r="SGL1" s="122" t="s">
        <v>13036</v>
      </c>
      <c r="SGM1" s="122" t="s">
        <v>13037</v>
      </c>
      <c r="SGN1" s="122" t="s">
        <v>13038</v>
      </c>
      <c r="SGO1" s="122" t="s">
        <v>13039</v>
      </c>
      <c r="SGP1" s="122" t="s">
        <v>13040</v>
      </c>
      <c r="SGQ1" s="122" t="s">
        <v>13041</v>
      </c>
      <c r="SGR1" s="122" t="s">
        <v>13042</v>
      </c>
      <c r="SGS1" s="122" t="s">
        <v>13043</v>
      </c>
      <c r="SGT1" s="122" t="s">
        <v>13044</v>
      </c>
      <c r="SGU1" s="122" t="s">
        <v>13045</v>
      </c>
      <c r="SGV1" s="122" t="s">
        <v>13046</v>
      </c>
      <c r="SGW1" s="122" t="s">
        <v>13047</v>
      </c>
      <c r="SGX1" s="122" t="s">
        <v>13048</v>
      </c>
      <c r="SGY1" s="122" t="s">
        <v>13049</v>
      </c>
      <c r="SGZ1" s="122" t="s">
        <v>13050</v>
      </c>
      <c r="SHA1" s="122" t="s">
        <v>13051</v>
      </c>
      <c r="SHB1" s="122" t="s">
        <v>13052</v>
      </c>
      <c r="SHC1" s="122" t="s">
        <v>13053</v>
      </c>
      <c r="SHD1" s="122" t="s">
        <v>13054</v>
      </c>
      <c r="SHE1" s="122" t="s">
        <v>13055</v>
      </c>
      <c r="SHF1" s="122" t="s">
        <v>13056</v>
      </c>
      <c r="SHG1" s="122" t="s">
        <v>13057</v>
      </c>
      <c r="SHH1" s="122" t="s">
        <v>13058</v>
      </c>
      <c r="SHI1" s="122" t="s">
        <v>13059</v>
      </c>
      <c r="SHJ1" s="122" t="s">
        <v>13060</v>
      </c>
      <c r="SHK1" s="122" t="s">
        <v>13061</v>
      </c>
      <c r="SHL1" s="122" t="s">
        <v>13062</v>
      </c>
      <c r="SHM1" s="122" t="s">
        <v>13063</v>
      </c>
      <c r="SHN1" s="122" t="s">
        <v>13064</v>
      </c>
      <c r="SHO1" s="122" t="s">
        <v>13065</v>
      </c>
      <c r="SHP1" s="122" t="s">
        <v>13066</v>
      </c>
      <c r="SHQ1" s="122" t="s">
        <v>13067</v>
      </c>
      <c r="SHR1" s="122" t="s">
        <v>13068</v>
      </c>
      <c r="SHS1" s="122" t="s">
        <v>13069</v>
      </c>
      <c r="SHT1" s="122" t="s">
        <v>13070</v>
      </c>
      <c r="SHU1" s="122" t="s">
        <v>13071</v>
      </c>
      <c r="SHV1" s="122" t="s">
        <v>13072</v>
      </c>
      <c r="SHW1" s="122" t="s">
        <v>13073</v>
      </c>
      <c r="SHX1" s="122" t="s">
        <v>13074</v>
      </c>
      <c r="SHY1" s="122" t="s">
        <v>13075</v>
      </c>
      <c r="SHZ1" s="122" t="s">
        <v>13076</v>
      </c>
      <c r="SIA1" s="122" t="s">
        <v>13077</v>
      </c>
      <c r="SIB1" s="122" t="s">
        <v>13078</v>
      </c>
      <c r="SIC1" s="122" t="s">
        <v>13079</v>
      </c>
      <c r="SID1" s="122" t="s">
        <v>13080</v>
      </c>
      <c r="SIE1" s="122" t="s">
        <v>13081</v>
      </c>
      <c r="SIF1" s="122" t="s">
        <v>13082</v>
      </c>
      <c r="SIG1" s="122" t="s">
        <v>13083</v>
      </c>
      <c r="SIH1" s="122" t="s">
        <v>13084</v>
      </c>
      <c r="SII1" s="122" t="s">
        <v>13085</v>
      </c>
      <c r="SIJ1" s="122" t="s">
        <v>13086</v>
      </c>
      <c r="SIK1" s="122" t="s">
        <v>13087</v>
      </c>
      <c r="SIL1" s="122" t="s">
        <v>13088</v>
      </c>
      <c r="SIM1" s="122" t="s">
        <v>13089</v>
      </c>
      <c r="SIN1" s="122" t="s">
        <v>13090</v>
      </c>
      <c r="SIO1" s="122" t="s">
        <v>13091</v>
      </c>
      <c r="SIP1" s="122" t="s">
        <v>13092</v>
      </c>
      <c r="SIQ1" s="122" t="s">
        <v>13093</v>
      </c>
      <c r="SIR1" s="122" t="s">
        <v>13094</v>
      </c>
      <c r="SIS1" s="122" t="s">
        <v>13095</v>
      </c>
      <c r="SIT1" s="122" t="s">
        <v>13096</v>
      </c>
      <c r="SIU1" s="122" t="s">
        <v>13097</v>
      </c>
      <c r="SIV1" s="122" t="s">
        <v>13098</v>
      </c>
      <c r="SIW1" s="122" t="s">
        <v>13099</v>
      </c>
      <c r="SIX1" s="122" t="s">
        <v>13100</v>
      </c>
      <c r="SIY1" s="122" t="s">
        <v>13101</v>
      </c>
      <c r="SIZ1" s="122" t="s">
        <v>13102</v>
      </c>
      <c r="SJA1" s="122" t="s">
        <v>13103</v>
      </c>
      <c r="SJB1" s="122" t="s">
        <v>13104</v>
      </c>
      <c r="SJC1" s="122" t="s">
        <v>13105</v>
      </c>
      <c r="SJD1" s="122" t="s">
        <v>13106</v>
      </c>
      <c r="SJE1" s="122" t="s">
        <v>13107</v>
      </c>
      <c r="SJF1" s="122" t="s">
        <v>13108</v>
      </c>
      <c r="SJG1" s="122" t="s">
        <v>13109</v>
      </c>
      <c r="SJH1" s="122" t="s">
        <v>13110</v>
      </c>
      <c r="SJI1" s="122" t="s">
        <v>13111</v>
      </c>
      <c r="SJJ1" s="122" t="s">
        <v>13112</v>
      </c>
      <c r="SJK1" s="122" t="s">
        <v>13113</v>
      </c>
      <c r="SJL1" s="122" t="s">
        <v>13114</v>
      </c>
      <c r="SJM1" s="122" t="s">
        <v>13115</v>
      </c>
      <c r="SJN1" s="122" t="s">
        <v>13116</v>
      </c>
      <c r="SJO1" s="122" t="s">
        <v>13117</v>
      </c>
      <c r="SJP1" s="122" t="s">
        <v>13118</v>
      </c>
      <c r="SJQ1" s="122" t="s">
        <v>13119</v>
      </c>
      <c r="SJR1" s="122" t="s">
        <v>13120</v>
      </c>
      <c r="SJS1" s="122" t="s">
        <v>13121</v>
      </c>
      <c r="SJT1" s="122" t="s">
        <v>13122</v>
      </c>
      <c r="SJU1" s="122" t="s">
        <v>13123</v>
      </c>
      <c r="SJV1" s="122" t="s">
        <v>13124</v>
      </c>
      <c r="SJW1" s="122" t="s">
        <v>13125</v>
      </c>
      <c r="SJX1" s="122" t="s">
        <v>13126</v>
      </c>
      <c r="SJY1" s="122" t="s">
        <v>13127</v>
      </c>
      <c r="SJZ1" s="122" t="s">
        <v>13128</v>
      </c>
      <c r="SKA1" s="122" t="s">
        <v>13129</v>
      </c>
      <c r="SKB1" s="122" t="s">
        <v>13130</v>
      </c>
      <c r="SKC1" s="122" t="s">
        <v>13131</v>
      </c>
      <c r="SKD1" s="122" t="s">
        <v>13132</v>
      </c>
      <c r="SKE1" s="122" t="s">
        <v>13133</v>
      </c>
      <c r="SKF1" s="122" t="s">
        <v>13134</v>
      </c>
      <c r="SKG1" s="122" t="s">
        <v>13135</v>
      </c>
      <c r="SKH1" s="122" t="s">
        <v>13136</v>
      </c>
      <c r="SKI1" s="122" t="s">
        <v>13137</v>
      </c>
      <c r="SKJ1" s="122" t="s">
        <v>13138</v>
      </c>
      <c r="SKK1" s="122" t="s">
        <v>13139</v>
      </c>
      <c r="SKL1" s="122" t="s">
        <v>13140</v>
      </c>
      <c r="SKM1" s="122" t="s">
        <v>13141</v>
      </c>
      <c r="SKN1" s="122" t="s">
        <v>13142</v>
      </c>
      <c r="SKO1" s="122" t="s">
        <v>13143</v>
      </c>
      <c r="SKP1" s="122" t="s">
        <v>13144</v>
      </c>
      <c r="SKQ1" s="122" t="s">
        <v>13145</v>
      </c>
      <c r="SKR1" s="122" t="s">
        <v>13146</v>
      </c>
      <c r="SKS1" s="122" t="s">
        <v>13147</v>
      </c>
      <c r="SKT1" s="122" t="s">
        <v>13148</v>
      </c>
      <c r="SKU1" s="122" t="s">
        <v>13149</v>
      </c>
      <c r="SKV1" s="122" t="s">
        <v>13150</v>
      </c>
      <c r="SKW1" s="122" t="s">
        <v>13151</v>
      </c>
      <c r="SKX1" s="122" t="s">
        <v>13152</v>
      </c>
      <c r="SKY1" s="122" t="s">
        <v>13153</v>
      </c>
      <c r="SKZ1" s="122" t="s">
        <v>13154</v>
      </c>
      <c r="SLA1" s="122" t="s">
        <v>13155</v>
      </c>
      <c r="SLB1" s="122" t="s">
        <v>13156</v>
      </c>
      <c r="SLC1" s="122" t="s">
        <v>13157</v>
      </c>
      <c r="SLD1" s="122" t="s">
        <v>13158</v>
      </c>
      <c r="SLE1" s="122" t="s">
        <v>13159</v>
      </c>
      <c r="SLF1" s="122" t="s">
        <v>13160</v>
      </c>
      <c r="SLG1" s="122" t="s">
        <v>13161</v>
      </c>
      <c r="SLH1" s="122" t="s">
        <v>13162</v>
      </c>
      <c r="SLI1" s="122" t="s">
        <v>13163</v>
      </c>
      <c r="SLJ1" s="122" t="s">
        <v>13164</v>
      </c>
      <c r="SLK1" s="122" t="s">
        <v>13165</v>
      </c>
      <c r="SLL1" s="122" t="s">
        <v>13166</v>
      </c>
      <c r="SLM1" s="122" t="s">
        <v>13167</v>
      </c>
      <c r="SLN1" s="122" t="s">
        <v>13168</v>
      </c>
      <c r="SLO1" s="122" t="s">
        <v>13169</v>
      </c>
      <c r="SLP1" s="122" t="s">
        <v>13170</v>
      </c>
      <c r="SLQ1" s="122" t="s">
        <v>13171</v>
      </c>
      <c r="SLR1" s="122" t="s">
        <v>13172</v>
      </c>
      <c r="SLS1" s="122" t="s">
        <v>13173</v>
      </c>
      <c r="SLT1" s="122" t="s">
        <v>13174</v>
      </c>
      <c r="SLU1" s="122" t="s">
        <v>13175</v>
      </c>
      <c r="SLV1" s="122" t="s">
        <v>13176</v>
      </c>
      <c r="SLW1" s="122" t="s">
        <v>13177</v>
      </c>
      <c r="SLX1" s="122" t="s">
        <v>13178</v>
      </c>
      <c r="SLY1" s="122" t="s">
        <v>13179</v>
      </c>
      <c r="SLZ1" s="122" t="s">
        <v>13180</v>
      </c>
      <c r="SMA1" s="122" t="s">
        <v>13181</v>
      </c>
      <c r="SMB1" s="122" t="s">
        <v>13182</v>
      </c>
      <c r="SMC1" s="122" t="s">
        <v>13183</v>
      </c>
      <c r="SMD1" s="122" t="s">
        <v>13184</v>
      </c>
      <c r="SME1" s="122" t="s">
        <v>13185</v>
      </c>
      <c r="SMF1" s="122" t="s">
        <v>13186</v>
      </c>
      <c r="SMG1" s="122" t="s">
        <v>13187</v>
      </c>
      <c r="SMH1" s="122" t="s">
        <v>13188</v>
      </c>
      <c r="SMI1" s="122" t="s">
        <v>13189</v>
      </c>
      <c r="SMJ1" s="122" t="s">
        <v>13190</v>
      </c>
      <c r="SMK1" s="122" t="s">
        <v>13191</v>
      </c>
      <c r="SML1" s="122" t="s">
        <v>13192</v>
      </c>
      <c r="SMM1" s="122" t="s">
        <v>13193</v>
      </c>
      <c r="SMN1" s="122" t="s">
        <v>13194</v>
      </c>
      <c r="SMO1" s="122" t="s">
        <v>13195</v>
      </c>
      <c r="SMP1" s="122" t="s">
        <v>13196</v>
      </c>
      <c r="SMQ1" s="122" t="s">
        <v>13197</v>
      </c>
      <c r="SMR1" s="122" t="s">
        <v>13198</v>
      </c>
      <c r="SMS1" s="122" t="s">
        <v>13199</v>
      </c>
      <c r="SMT1" s="122" t="s">
        <v>13200</v>
      </c>
      <c r="SMU1" s="122" t="s">
        <v>13201</v>
      </c>
      <c r="SMV1" s="122" t="s">
        <v>13202</v>
      </c>
      <c r="SMW1" s="122" t="s">
        <v>13203</v>
      </c>
      <c r="SMX1" s="122" t="s">
        <v>13204</v>
      </c>
      <c r="SMY1" s="122" t="s">
        <v>13205</v>
      </c>
      <c r="SMZ1" s="122" t="s">
        <v>13206</v>
      </c>
      <c r="SNA1" s="122" t="s">
        <v>13207</v>
      </c>
      <c r="SNB1" s="122" t="s">
        <v>13208</v>
      </c>
      <c r="SNC1" s="122" t="s">
        <v>13209</v>
      </c>
      <c r="SND1" s="122" t="s">
        <v>13210</v>
      </c>
      <c r="SNE1" s="122" t="s">
        <v>13211</v>
      </c>
      <c r="SNF1" s="122" t="s">
        <v>13212</v>
      </c>
      <c r="SNG1" s="122" t="s">
        <v>13213</v>
      </c>
      <c r="SNH1" s="122" t="s">
        <v>13214</v>
      </c>
      <c r="SNI1" s="122" t="s">
        <v>13215</v>
      </c>
      <c r="SNJ1" s="122" t="s">
        <v>13216</v>
      </c>
      <c r="SNK1" s="122" t="s">
        <v>13217</v>
      </c>
      <c r="SNL1" s="122" t="s">
        <v>13218</v>
      </c>
      <c r="SNM1" s="122" t="s">
        <v>13219</v>
      </c>
      <c r="SNN1" s="122" t="s">
        <v>13220</v>
      </c>
      <c r="SNO1" s="122" t="s">
        <v>13221</v>
      </c>
      <c r="SNP1" s="122" t="s">
        <v>13222</v>
      </c>
      <c r="SNQ1" s="122" t="s">
        <v>13223</v>
      </c>
      <c r="SNR1" s="122" t="s">
        <v>13224</v>
      </c>
      <c r="SNS1" s="122" t="s">
        <v>13225</v>
      </c>
      <c r="SNT1" s="122" t="s">
        <v>13226</v>
      </c>
      <c r="SNU1" s="122" t="s">
        <v>13227</v>
      </c>
      <c r="SNV1" s="122" t="s">
        <v>13228</v>
      </c>
      <c r="SNW1" s="122" t="s">
        <v>13229</v>
      </c>
      <c r="SNX1" s="122" t="s">
        <v>13230</v>
      </c>
      <c r="SNY1" s="122" t="s">
        <v>13231</v>
      </c>
      <c r="SNZ1" s="122" t="s">
        <v>13232</v>
      </c>
      <c r="SOA1" s="122" t="s">
        <v>13233</v>
      </c>
      <c r="SOB1" s="122" t="s">
        <v>13234</v>
      </c>
      <c r="SOC1" s="122" t="s">
        <v>13235</v>
      </c>
      <c r="SOD1" s="122" t="s">
        <v>13236</v>
      </c>
      <c r="SOE1" s="122" t="s">
        <v>13237</v>
      </c>
      <c r="SOF1" s="122" t="s">
        <v>13238</v>
      </c>
      <c r="SOG1" s="122" t="s">
        <v>13239</v>
      </c>
      <c r="SOH1" s="122" t="s">
        <v>13240</v>
      </c>
      <c r="SOI1" s="122" t="s">
        <v>13241</v>
      </c>
      <c r="SOJ1" s="122" t="s">
        <v>13242</v>
      </c>
      <c r="SOK1" s="122" t="s">
        <v>13243</v>
      </c>
      <c r="SOL1" s="122" t="s">
        <v>13244</v>
      </c>
      <c r="SOM1" s="122" t="s">
        <v>13245</v>
      </c>
      <c r="SON1" s="122" t="s">
        <v>13246</v>
      </c>
      <c r="SOO1" s="122" t="s">
        <v>13247</v>
      </c>
      <c r="SOP1" s="122" t="s">
        <v>13248</v>
      </c>
      <c r="SOQ1" s="122" t="s">
        <v>13249</v>
      </c>
      <c r="SOR1" s="122" t="s">
        <v>13250</v>
      </c>
      <c r="SOS1" s="122" t="s">
        <v>13251</v>
      </c>
      <c r="SOT1" s="122" t="s">
        <v>13252</v>
      </c>
      <c r="SOU1" s="122" t="s">
        <v>13253</v>
      </c>
      <c r="SOV1" s="122" t="s">
        <v>13254</v>
      </c>
      <c r="SOW1" s="122" t="s">
        <v>13255</v>
      </c>
      <c r="SOX1" s="122" t="s">
        <v>13256</v>
      </c>
      <c r="SOY1" s="122" t="s">
        <v>13257</v>
      </c>
      <c r="SOZ1" s="122" t="s">
        <v>13258</v>
      </c>
      <c r="SPA1" s="122" t="s">
        <v>13259</v>
      </c>
      <c r="SPB1" s="122" t="s">
        <v>13260</v>
      </c>
      <c r="SPC1" s="122" t="s">
        <v>13261</v>
      </c>
      <c r="SPD1" s="122" t="s">
        <v>13262</v>
      </c>
      <c r="SPE1" s="122" t="s">
        <v>13263</v>
      </c>
      <c r="SPF1" s="122" t="s">
        <v>13264</v>
      </c>
      <c r="SPG1" s="122" t="s">
        <v>13265</v>
      </c>
      <c r="SPH1" s="122" t="s">
        <v>13266</v>
      </c>
      <c r="SPI1" s="122" t="s">
        <v>13267</v>
      </c>
      <c r="SPJ1" s="122" t="s">
        <v>13268</v>
      </c>
      <c r="SPK1" s="122" t="s">
        <v>13269</v>
      </c>
      <c r="SPL1" s="122" t="s">
        <v>13270</v>
      </c>
      <c r="SPM1" s="122" t="s">
        <v>13271</v>
      </c>
      <c r="SPN1" s="122" t="s">
        <v>13272</v>
      </c>
      <c r="SPO1" s="122" t="s">
        <v>13273</v>
      </c>
      <c r="SPP1" s="122" t="s">
        <v>13274</v>
      </c>
      <c r="SPQ1" s="122" t="s">
        <v>13275</v>
      </c>
      <c r="SPR1" s="122" t="s">
        <v>13276</v>
      </c>
      <c r="SPS1" s="122" t="s">
        <v>13277</v>
      </c>
      <c r="SPT1" s="122" t="s">
        <v>13278</v>
      </c>
      <c r="SPU1" s="122" t="s">
        <v>13279</v>
      </c>
      <c r="SPV1" s="122" t="s">
        <v>13280</v>
      </c>
      <c r="SPW1" s="122" t="s">
        <v>13281</v>
      </c>
      <c r="SPX1" s="122" t="s">
        <v>13282</v>
      </c>
      <c r="SPY1" s="122" t="s">
        <v>13283</v>
      </c>
      <c r="SPZ1" s="122" t="s">
        <v>13284</v>
      </c>
      <c r="SQA1" s="122" t="s">
        <v>13285</v>
      </c>
      <c r="SQB1" s="122" t="s">
        <v>13286</v>
      </c>
      <c r="SQC1" s="122" t="s">
        <v>13287</v>
      </c>
      <c r="SQD1" s="122" t="s">
        <v>13288</v>
      </c>
      <c r="SQE1" s="122" t="s">
        <v>13289</v>
      </c>
      <c r="SQF1" s="122" t="s">
        <v>13290</v>
      </c>
      <c r="SQG1" s="122" t="s">
        <v>13291</v>
      </c>
      <c r="SQH1" s="122" t="s">
        <v>13292</v>
      </c>
      <c r="SQI1" s="122" t="s">
        <v>13293</v>
      </c>
      <c r="SQJ1" s="122" t="s">
        <v>13294</v>
      </c>
      <c r="SQK1" s="122" t="s">
        <v>13295</v>
      </c>
      <c r="SQL1" s="122" t="s">
        <v>13296</v>
      </c>
      <c r="SQM1" s="122" t="s">
        <v>13297</v>
      </c>
      <c r="SQN1" s="122" t="s">
        <v>13298</v>
      </c>
      <c r="SQO1" s="122" t="s">
        <v>13299</v>
      </c>
      <c r="SQP1" s="122" t="s">
        <v>13300</v>
      </c>
      <c r="SQQ1" s="122" t="s">
        <v>13301</v>
      </c>
      <c r="SQR1" s="122" t="s">
        <v>13302</v>
      </c>
      <c r="SQS1" s="122" t="s">
        <v>13303</v>
      </c>
      <c r="SQT1" s="122" t="s">
        <v>13304</v>
      </c>
      <c r="SQU1" s="122" t="s">
        <v>13305</v>
      </c>
      <c r="SQV1" s="122" t="s">
        <v>13306</v>
      </c>
      <c r="SQW1" s="122" t="s">
        <v>13307</v>
      </c>
      <c r="SQX1" s="122" t="s">
        <v>13308</v>
      </c>
      <c r="SQY1" s="122" t="s">
        <v>13309</v>
      </c>
      <c r="SQZ1" s="122" t="s">
        <v>13310</v>
      </c>
      <c r="SRA1" s="122" t="s">
        <v>13311</v>
      </c>
      <c r="SRB1" s="122" t="s">
        <v>13312</v>
      </c>
      <c r="SRC1" s="122" t="s">
        <v>13313</v>
      </c>
      <c r="SRD1" s="122" t="s">
        <v>13314</v>
      </c>
      <c r="SRE1" s="122" t="s">
        <v>13315</v>
      </c>
      <c r="SRF1" s="122" t="s">
        <v>13316</v>
      </c>
      <c r="SRG1" s="122" t="s">
        <v>13317</v>
      </c>
      <c r="SRH1" s="122" t="s">
        <v>13318</v>
      </c>
      <c r="SRI1" s="122" t="s">
        <v>13319</v>
      </c>
      <c r="SRJ1" s="122" t="s">
        <v>13320</v>
      </c>
      <c r="SRK1" s="122" t="s">
        <v>13321</v>
      </c>
      <c r="SRL1" s="122" t="s">
        <v>13322</v>
      </c>
      <c r="SRM1" s="122" t="s">
        <v>13323</v>
      </c>
      <c r="SRN1" s="122" t="s">
        <v>13324</v>
      </c>
      <c r="SRO1" s="122" t="s">
        <v>13325</v>
      </c>
      <c r="SRP1" s="122" t="s">
        <v>13326</v>
      </c>
      <c r="SRQ1" s="122" t="s">
        <v>13327</v>
      </c>
      <c r="SRR1" s="122" t="s">
        <v>13328</v>
      </c>
      <c r="SRS1" s="122" t="s">
        <v>13329</v>
      </c>
      <c r="SRT1" s="122" t="s">
        <v>13330</v>
      </c>
      <c r="SRU1" s="122" t="s">
        <v>13331</v>
      </c>
      <c r="SRV1" s="122" t="s">
        <v>13332</v>
      </c>
      <c r="SRW1" s="122" t="s">
        <v>13333</v>
      </c>
      <c r="SRX1" s="122" t="s">
        <v>13334</v>
      </c>
      <c r="SRY1" s="122" t="s">
        <v>13335</v>
      </c>
      <c r="SRZ1" s="122" t="s">
        <v>13336</v>
      </c>
      <c r="SSA1" s="122" t="s">
        <v>13337</v>
      </c>
      <c r="SSB1" s="122" t="s">
        <v>13338</v>
      </c>
      <c r="SSC1" s="122" t="s">
        <v>13339</v>
      </c>
      <c r="SSD1" s="122" t="s">
        <v>13340</v>
      </c>
      <c r="SSE1" s="122" t="s">
        <v>13341</v>
      </c>
      <c r="SSF1" s="122" t="s">
        <v>13342</v>
      </c>
      <c r="SSG1" s="122" t="s">
        <v>13343</v>
      </c>
      <c r="SSH1" s="122" t="s">
        <v>13344</v>
      </c>
      <c r="SSI1" s="122" t="s">
        <v>13345</v>
      </c>
      <c r="SSJ1" s="122" t="s">
        <v>13346</v>
      </c>
      <c r="SSK1" s="122" t="s">
        <v>13347</v>
      </c>
      <c r="SSL1" s="122" t="s">
        <v>13348</v>
      </c>
      <c r="SSM1" s="122" t="s">
        <v>13349</v>
      </c>
      <c r="SSN1" s="122" t="s">
        <v>13350</v>
      </c>
      <c r="SSO1" s="122" t="s">
        <v>13351</v>
      </c>
      <c r="SSP1" s="122" t="s">
        <v>13352</v>
      </c>
      <c r="SSQ1" s="122" t="s">
        <v>13353</v>
      </c>
      <c r="SSR1" s="122" t="s">
        <v>13354</v>
      </c>
      <c r="SSS1" s="122" t="s">
        <v>13355</v>
      </c>
      <c r="SST1" s="122" t="s">
        <v>13356</v>
      </c>
      <c r="SSU1" s="122" t="s">
        <v>13357</v>
      </c>
      <c r="SSV1" s="122" t="s">
        <v>13358</v>
      </c>
      <c r="SSW1" s="122" t="s">
        <v>13359</v>
      </c>
      <c r="SSX1" s="122" t="s">
        <v>13360</v>
      </c>
      <c r="SSY1" s="122" t="s">
        <v>13361</v>
      </c>
      <c r="SSZ1" s="122" t="s">
        <v>13362</v>
      </c>
      <c r="STA1" s="122" t="s">
        <v>13363</v>
      </c>
      <c r="STB1" s="122" t="s">
        <v>13364</v>
      </c>
      <c r="STC1" s="122" t="s">
        <v>13365</v>
      </c>
      <c r="STD1" s="122" t="s">
        <v>13366</v>
      </c>
      <c r="STE1" s="122" t="s">
        <v>13367</v>
      </c>
      <c r="STF1" s="122" t="s">
        <v>13368</v>
      </c>
      <c r="STG1" s="122" t="s">
        <v>13369</v>
      </c>
      <c r="STH1" s="122" t="s">
        <v>13370</v>
      </c>
      <c r="STI1" s="122" t="s">
        <v>13371</v>
      </c>
      <c r="STJ1" s="122" t="s">
        <v>13372</v>
      </c>
      <c r="STK1" s="122" t="s">
        <v>13373</v>
      </c>
      <c r="STL1" s="122" t="s">
        <v>13374</v>
      </c>
      <c r="STM1" s="122" t="s">
        <v>13375</v>
      </c>
      <c r="STN1" s="122" t="s">
        <v>13376</v>
      </c>
      <c r="STO1" s="122" t="s">
        <v>13377</v>
      </c>
      <c r="STP1" s="122" t="s">
        <v>13378</v>
      </c>
      <c r="STQ1" s="122" t="s">
        <v>13379</v>
      </c>
      <c r="STR1" s="122" t="s">
        <v>13380</v>
      </c>
      <c r="STS1" s="122" t="s">
        <v>13381</v>
      </c>
      <c r="STT1" s="122" t="s">
        <v>13382</v>
      </c>
      <c r="STU1" s="122" t="s">
        <v>13383</v>
      </c>
      <c r="STV1" s="122" t="s">
        <v>13384</v>
      </c>
      <c r="STW1" s="122" t="s">
        <v>13385</v>
      </c>
      <c r="STX1" s="122" t="s">
        <v>13386</v>
      </c>
      <c r="STY1" s="122" t="s">
        <v>13387</v>
      </c>
      <c r="STZ1" s="122" t="s">
        <v>13388</v>
      </c>
      <c r="SUA1" s="122" t="s">
        <v>13389</v>
      </c>
      <c r="SUB1" s="122" t="s">
        <v>13390</v>
      </c>
      <c r="SUC1" s="122" t="s">
        <v>13391</v>
      </c>
      <c r="SUD1" s="122" t="s">
        <v>13392</v>
      </c>
      <c r="SUE1" s="122" t="s">
        <v>13393</v>
      </c>
      <c r="SUF1" s="122" t="s">
        <v>13394</v>
      </c>
      <c r="SUG1" s="122" t="s">
        <v>13395</v>
      </c>
      <c r="SUH1" s="122" t="s">
        <v>13396</v>
      </c>
      <c r="SUI1" s="122" t="s">
        <v>13397</v>
      </c>
      <c r="SUJ1" s="122" t="s">
        <v>13398</v>
      </c>
      <c r="SUK1" s="122" t="s">
        <v>13399</v>
      </c>
      <c r="SUL1" s="122" t="s">
        <v>13400</v>
      </c>
      <c r="SUM1" s="122" t="s">
        <v>13401</v>
      </c>
      <c r="SUN1" s="122" t="s">
        <v>13402</v>
      </c>
      <c r="SUO1" s="122" t="s">
        <v>13403</v>
      </c>
      <c r="SUP1" s="122" t="s">
        <v>13404</v>
      </c>
      <c r="SUQ1" s="122" t="s">
        <v>13405</v>
      </c>
      <c r="SUR1" s="122" t="s">
        <v>13406</v>
      </c>
      <c r="SUS1" s="122" t="s">
        <v>13407</v>
      </c>
      <c r="SUT1" s="122" t="s">
        <v>13408</v>
      </c>
      <c r="SUU1" s="122" t="s">
        <v>13409</v>
      </c>
      <c r="SUV1" s="122" t="s">
        <v>13410</v>
      </c>
      <c r="SUW1" s="122" t="s">
        <v>13411</v>
      </c>
      <c r="SUX1" s="122" t="s">
        <v>13412</v>
      </c>
      <c r="SUY1" s="122" t="s">
        <v>13413</v>
      </c>
      <c r="SUZ1" s="122" t="s">
        <v>13414</v>
      </c>
      <c r="SVA1" s="122" t="s">
        <v>13415</v>
      </c>
      <c r="SVB1" s="122" t="s">
        <v>13416</v>
      </c>
      <c r="SVC1" s="122" t="s">
        <v>13417</v>
      </c>
      <c r="SVD1" s="122" t="s">
        <v>13418</v>
      </c>
      <c r="SVE1" s="122" t="s">
        <v>13419</v>
      </c>
      <c r="SVF1" s="122" t="s">
        <v>13420</v>
      </c>
      <c r="SVG1" s="122" t="s">
        <v>13421</v>
      </c>
      <c r="SVH1" s="122" t="s">
        <v>13422</v>
      </c>
      <c r="SVI1" s="122" t="s">
        <v>13423</v>
      </c>
      <c r="SVJ1" s="122" t="s">
        <v>13424</v>
      </c>
      <c r="SVK1" s="122" t="s">
        <v>13425</v>
      </c>
      <c r="SVL1" s="122" t="s">
        <v>13426</v>
      </c>
      <c r="SVM1" s="122" t="s">
        <v>13427</v>
      </c>
      <c r="SVN1" s="122" t="s">
        <v>13428</v>
      </c>
      <c r="SVO1" s="122" t="s">
        <v>13429</v>
      </c>
      <c r="SVP1" s="122" t="s">
        <v>13430</v>
      </c>
      <c r="SVQ1" s="122" t="s">
        <v>13431</v>
      </c>
      <c r="SVR1" s="122" t="s">
        <v>13432</v>
      </c>
      <c r="SVS1" s="122" t="s">
        <v>13433</v>
      </c>
      <c r="SVT1" s="122" t="s">
        <v>13434</v>
      </c>
      <c r="SVU1" s="122" t="s">
        <v>13435</v>
      </c>
      <c r="SVV1" s="122" t="s">
        <v>13436</v>
      </c>
      <c r="SVW1" s="122" t="s">
        <v>13437</v>
      </c>
      <c r="SVX1" s="122" t="s">
        <v>13438</v>
      </c>
      <c r="SVY1" s="122" t="s">
        <v>13439</v>
      </c>
      <c r="SVZ1" s="122" t="s">
        <v>13440</v>
      </c>
      <c r="SWA1" s="122" t="s">
        <v>13441</v>
      </c>
      <c r="SWB1" s="122" t="s">
        <v>13442</v>
      </c>
      <c r="SWC1" s="122" t="s">
        <v>13443</v>
      </c>
      <c r="SWD1" s="122" t="s">
        <v>13444</v>
      </c>
      <c r="SWE1" s="122" t="s">
        <v>13445</v>
      </c>
      <c r="SWF1" s="122" t="s">
        <v>13446</v>
      </c>
      <c r="SWG1" s="122" t="s">
        <v>13447</v>
      </c>
      <c r="SWH1" s="122" t="s">
        <v>13448</v>
      </c>
      <c r="SWI1" s="122" t="s">
        <v>13449</v>
      </c>
      <c r="SWJ1" s="122" t="s">
        <v>13450</v>
      </c>
      <c r="SWK1" s="122" t="s">
        <v>13451</v>
      </c>
      <c r="SWL1" s="122" t="s">
        <v>13452</v>
      </c>
      <c r="SWM1" s="122" t="s">
        <v>13453</v>
      </c>
      <c r="SWN1" s="122" t="s">
        <v>13454</v>
      </c>
      <c r="SWO1" s="122" t="s">
        <v>13455</v>
      </c>
      <c r="SWP1" s="122" t="s">
        <v>13456</v>
      </c>
      <c r="SWQ1" s="122" t="s">
        <v>13457</v>
      </c>
      <c r="SWR1" s="122" t="s">
        <v>13458</v>
      </c>
      <c r="SWS1" s="122" t="s">
        <v>13459</v>
      </c>
      <c r="SWT1" s="122" t="s">
        <v>13460</v>
      </c>
      <c r="SWU1" s="122" t="s">
        <v>13461</v>
      </c>
      <c r="SWV1" s="122" t="s">
        <v>13462</v>
      </c>
      <c r="SWW1" s="122" t="s">
        <v>13463</v>
      </c>
      <c r="SWX1" s="122" t="s">
        <v>13464</v>
      </c>
      <c r="SWY1" s="122" t="s">
        <v>13465</v>
      </c>
      <c r="SWZ1" s="122" t="s">
        <v>13466</v>
      </c>
      <c r="SXA1" s="122" t="s">
        <v>13467</v>
      </c>
      <c r="SXB1" s="122" t="s">
        <v>13468</v>
      </c>
      <c r="SXC1" s="122" t="s">
        <v>13469</v>
      </c>
      <c r="SXD1" s="122" t="s">
        <v>13470</v>
      </c>
      <c r="SXE1" s="122" t="s">
        <v>13471</v>
      </c>
      <c r="SXF1" s="122" t="s">
        <v>13472</v>
      </c>
      <c r="SXG1" s="122" t="s">
        <v>13473</v>
      </c>
      <c r="SXH1" s="122" t="s">
        <v>13474</v>
      </c>
      <c r="SXI1" s="122" t="s">
        <v>13475</v>
      </c>
      <c r="SXJ1" s="122" t="s">
        <v>13476</v>
      </c>
      <c r="SXK1" s="122" t="s">
        <v>13477</v>
      </c>
      <c r="SXL1" s="122" t="s">
        <v>13478</v>
      </c>
      <c r="SXM1" s="122" t="s">
        <v>13479</v>
      </c>
      <c r="SXN1" s="122" t="s">
        <v>13480</v>
      </c>
      <c r="SXO1" s="122" t="s">
        <v>13481</v>
      </c>
      <c r="SXP1" s="122" t="s">
        <v>13482</v>
      </c>
      <c r="SXQ1" s="122" t="s">
        <v>13483</v>
      </c>
      <c r="SXR1" s="122" t="s">
        <v>13484</v>
      </c>
      <c r="SXS1" s="122" t="s">
        <v>13485</v>
      </c>
      <c r="SXT1" s="122" t="s">
        <v>13486</v>
      </c>
      <c r="SXU1" s="122" t="s">
        <v>13487</v>
      </c>
      <c r="SXV1" s="122" t="s">
        <v>13488</v>
      </c>
      <c r="SXW1" s="122" t="s">
        <v>13489</v>
      </c>
      <c r="SXX1" s="122" t="s">
        <v>13490</v>
      </c>
      <c r="SXY1" s="122" t="s">
        <v>13491</v>
      </c>
      <c r="SXZ1" s="122" t="s">
        <v>13492</v>
      </c>
      <c r="SYA1" s="122" t="s">
        <v>13493</v>
      </c>
      <c r="SYB1" s="122" t="s">
        <v>13494</v>
      </c>
      <c r="SYC1" s="122" t="s">
        <v>13495</v>
      </c>
      <c r="SYD1" s="122" t="s">
        <v>13496</v>
      </c>
      <c r="SYE1" s="122" t="s">
        <v>13497</v>
      </c>
      <c r="SYF1" s="122" t="s">
        <v>13498</v>
      </c>
      <c r="SYG1" s="122" t="s">
        <v>13499</v>
      </c>
      <c r="SYH1" s="122" t="s">
        <v>13500</v>
      </c>
      <c r="SYI1" s="122" t="s">
        <v>13501</v>
      </c>
      <c r="SYJ1" s="122" t="s">
        <v>13502</v>
      </c>
      <c r="SYK1" s="122" t="s">
        <v>13503</v>
      </c>
      <c r="SYL1" s="122" t="s">
        <v>13504</v>
      </c>
      <c r="SYM1" s="122" t="s">
        <v>13505</v>
      </c>
      <c r="SYN1" s="122" t="s">
        <v>13506</v>
      </c>
      <c r="SYO1" s="122" t="s">
        <v>13507</v>
      </c>
      <c r="SYP1" s="122" t="s">
        <v>13508</v>
      </c>
      <c r="SYQ1" s="122" t="s">
        <v>13509</v>
      </c>
      <c r="SYR1" s="122" t="s">
        <v>13510</v>
      </c>
      <c r="SYS1" s="122" t="s">
        <v>13511</v>
      </c>
      <c r="SYT1" s="122" t="s">
        <v>13512</v>
      </c>
      <c r="SYU1" s="122" t="s">
        <v>13513</v>
      </c>
      <c r="SYV1" s="122" t="s">
        <v>13514</v>
      </c>
      <c r="SYW1" s="122" t="s">
        <v>13515</v>
      </c>
      <c r="SYX1" s="122" t="s">
        <v>13516</v>
      </c>
      <c r="SYY1" s="122" t="s">
        <v>13517</v>
      </c>
      <c r="SYZ1" s="122" t="s">
        <v>13518</v>
      </c>
      <c r="SZA1" s="122" t="s">
        <v>13519</v>
      </c>
      <c r="SZB1" s="122" t="s">
        <v>13520</v>
      </c>
      <c r="SZC1" s="122" t="s">
        <v>13521</v>
      </c>
      <c r="SZD1" s="122" t="s">
        <v>13522</v>
      </c>
      <c r="SZE1" s="122" t="s">
        <v>13523</v>
      </c>
      <c r="SZF1" s="122" t="s">
        <v>13524</v>
      </c>
      <c r="SZG1" s="122" t="s">
        <v>13525</v>
      </c>
      <c r="SZH1" s="122" t="s">
        <v>13526</v>
      </c>
      <c r="SZI1" s="122" t="s">
        <v>13527</v>
      </c>
      <c r="SZJ1" s="122" t="s">
        <v>13528</v>
      </c>
      <c r="SZK1" s="122" t="s">
        <v>13529</v>
      </c>
      <c r="SZL1" s="122" t="s">
        <v>13530</v>
      </c>
      <c r="SZM1" s="122" t="s">
        <v>13531</v>
      </c>
      <c r="SZN1" s="122" t="s">
        <v>13532</v>
      </c>
      <c r="SZO1" s="122" t="s">
        <v>13533</v>
      </c>
      <c r="SZP1" s="122" t="s">
        <v>13534</v>
      </c>
      <c r="SZQ1" s="122" t="s">
        <v>13535</v>
      </c>
      <c r="SZR1" s="122" t="s">
        <v>13536</v>
      </c>
      <c r="SZS1" s="122" t="s">
        <v>13537</v>
      </c>
      <c r="SZT1" s="122" t="s">
        <v>13538</v>
      </c>
      <c r="SZU1" s="122" t="s">
        <v>13539</v>
      </c>
      <c r="SZV1" s="122" t="s">
        <v>13540</v>
      </c>
      <c r="SZW1" s="122" t="s">
        <v>13541</v>
      </c>
      <c r="SZX1" s="122" t="s">
        <v>13542</v>
      </c>
      <c r="SZY1" s="122" t="s">
        <v>13543</v>
      </c>
      <c r="SZZ1" s="122" t="s">
        <v>13544</v>
      </c>
      <c r="TAA1" s="122" t="s">
        <v>13545</v>
      </c>
      <c r="TAB1" s="122" t="s">
        <v>13546</v>
      </c>
      <c r="TAC1" s="122" t="s">
        <v>13547</v>
      </c>
      <c r="TAD1" s="122" t="s">
        <v>13548</v>
      </c>
      <c r="TAE1" s="122" t="s">
        <v>13549</v>
      </c>
      <c r="TAF1" s="122" t="s">
        <v>13550</v>
      </c>
      <c r="TAG1" s="122" t="s">
        <v>13551</v>
      </c>
      <c r="TAH1" s="122" t="s">
        <v>13552</v>
      </c>
      <c r="TAI1" s="122" t="s">
        <v>13553</v>
      </c>
      <c r="TAJ1" s="122" t="s">
        <v>13554</v>
      </c>
      <c r="TAK1" s="122" t="s">
        <v>13555</v>
      </c>
      <c r="TAL1" s="122" t="s">
        <v>13556</v>
      </c>
      <c r="TAM1" s="122" t="s">
        <v>13557</v>
      </c>
      <c r="TAN1" s="122" t="s">
        <v>13558</v>
      </c>
      <c r="TAO1" s="122" t="s">
        <v>13559</v>
      </c>
      <c r="TAP1" s="122" t="s">
        <v>13560</v>
      </c>
      <c r="TAQ1" s="122" t="s">
        <v>13561</v>
      </c>
      <c r="TAR1" s="122" t="s">
        <v>13562</v>
      </c>
      <c r="TAS1" s="122" t="s">
        <v>13563</v>
      </c>
      <c r="TAT1" s="122" t="s">
        <v>13564</v>
      </c>
      <c r="TAU1" s="122" t="s">
        <v>13565</v>
      </c>
      <c r="TAV1" s="122" t="s">
        <v>13566</v>
      </c>
      <c r="TAW1" s="122" t="s">
        <v>13567</v>
      </c>
      <c r="TAX1" s="122" t="s">
        <v>13568</v>
      </c>
      <c r="TAY1" s="122" t="s">
        <v>13569</v>
      </c>
      <c r="TAZ1" s="122" t="s">
        <v>13570</v>
      </c>
      <c r="TBA1" s="122" t="s">
        <v>13571</v>
      </c>
      <c r="TBB1" s="122" t="s">
        <v>13572</v>
      </c>
      <c r="TBC1" s="122" t="s">
        <v>13573</v>
      </c>
      <c r="TBD1" s="122" t="s">
        <v>13574</v>
      </c>
      <c r="TBE1" s="122" t="s">
        <v>13575</v>
      </c>
      <c r="TBF1" s="122" t="s">
        <v>13576</v>
      </c>
      <c r="TBG1" s="122" t="s">
        <v>13577</v>
      </c>
      <c r="TBH1" s="122" t="s">
        <v>13578</v>
      </c>
      <c r="TBI1" s="122" t="s">
        <v>13579</v>
      </c>
      <c r="TBJ1" s="122" t="s">
        <v>13580</v>
      </c>
      <c r="TBK1" s="122" t="s">
        <v>13581</v>
      </c>
      <c r="TBL1" s="122" t="s">
        <v>13582</v>
      </c>
      <c r="TBM1" s="122" t="s">
        <v>13583</v>
      </c>
      <c r="TBN1" s="122" t="s">
        <v>13584</v>
      </c>
      <c r="TBO1" s="122" t="s">
        <v>13585</v>
      </c>
      <c r="TBP1" s="122" t="s">
        <v>13586</v>
      </c>
      <c r="TBQ1" s="122" t="s">
        <v>13587</v>
      </c>
      <c r="TBR1" s="122" t="s">
        <v>13588</v>
      </c>
      <c r="TBS1" s="122" t="s">
        <v>13589</v>
      </c>
      <c r="TBT1" s="122" t="s">
        <v>13590</v>
      </c>
      <c r="TBU1" s="122" t="s">
        <v>13591</v>
      </c>
      <c r="TBV1" s="122" t="s">
        <v>13592</v>
      </c>
      <c r="TBW1" s="122" t="s">
        <v>13593</v>
      </c>
      <c r="TBX1" s="122" t="s">
        <v>13594</v>
      </c>
      <c r="TBY1" s="122" t="s">
        <v>13595</v>
      </c>
      <c r="TBZ1" s="122" t="s">
        <v>13596</v>
      </c>
      <c r="TCA1" s="122" t="s">
        <v>13597</v>
      </c>
      <c r="TCB1" s="122" t="s">
        <v>13598</v>
      </c>
      <c r="TCC1" s="122" t="s">
        <v>13599</v>
      </c>
      <c r="TCD1" s="122" t="s">
        <v>13600</v>
      </c>
      <c r="TCE1" s="122" t="s">
        <v>13601</v>
      </c>
      <c r="TCF1" s="122" t="s">
        <v>13602</v>
      </c>
      <c r="TCG1" s="122" t="s">
        <v>13603</v>
      </c>
      <c r="TCH1" s="122" t="s">
        <v>13604</v>
      </c>
      <c r="TCI1" s="122" t="s">
        <v>13605</v>
      </c>
      <c r="TCJ1" s="122" t="s">
        <v>13606</v>
      </c>
      <c r="TCK1" s="122" t="s">
        <v>13607</v>
      </c>
      <c r="TCL1" s="122" t="s">
        <v>13608</v>
      </c>
      <c r="TCM1" s="122" t="s">
        <v>13609</v>
      </c>
      <c r="TCN1" s="122" t="s">
        <v>13610</v>
      </c>
      <c r="TCO1" s="122" t="s">
        <v>13611</v>
      </c>
      <c r="TCP1" s="122" t="s">
        <v>13612</v>
      </c>
      <c r="TCQ1" s="122" t="s">
        <v>13613</v>
      </c>
      <c r="TCR1" s="122" t="s">
        <v>13614</v>
      </c>
      <c r="TCS1" s="122" t="s">
        <v>13615</v>
      </c>
      <c r="TCT1" s="122" t="s">
        <v>13616</v>
      </c>
      <c r="TCU1" s="122" t="s">
        <v>13617</v>
      </c>
      <c r="TCV1" s="122" t="s">
        <v>13618</v>
      </c>
      <c r="TCW1" s="122" t="s">
        <v>13619</v>
      </c>
      <c r="TCX1" s="122" t="s">
        <v>13620</v>
      </c>
      <c r="TCY1" s="122" t="s">
        <v>13621</v>
      </c>
      <c r="TCZ1" s="122" t="s">
        <v>13622</v>
      </c>
      <c r="TDA1" s="122" t="s">
        <v>13623</v>
      </c>
      <c r="TDB1" s="122" t="s">
        <v>13624</v>
      </c>
      <c r="TDC1" s="122" t="s">
        <v>13625</v>
      </c>
      <c r="TDD1" s="122" t="s">
        <v>13626</v>
      </c>
      <c r="TDE1" s="122" t="s">
        <v>13627</v>
      </c>
      <c r="TDF1" s="122" t="s">
        <v>13628</v>
      </c>
      <c r="TDG1" s="122" t="s">
        <v>13629</v>
      </c>
      <c r="TDH1" s="122" t="s">
        <v>13630</v>
      </c>
      <c r="TDI1" s="122" t="s">
        <v>13631</v>
      </c>
      <c r="TDJ1" s="122" t="s">
        <v>13632</v>
      </c>
      <c r="TDK1" s="122" t="s">
        <v>13633</v>
      </c>
      <c r="TDL1" s="122" t="s">
        <v>13634</v>
      </c>
      <c r="TDM1" s="122" t="s">
        <v>13635</v>
      </c>
      <c r="TDN1" s="122" t="s">
        <v>13636</v>
      </c>
      <c r="TDO1" s="122" t="s">
        <v>13637</v>
      </c>
      <c r="TDP1" s="122" t="s">
        <v>13638</v>
      </c>
      <c r="TDQ1" s="122" t="s">
        <v>13639</v>
      </c>
      <c r="TDR1" s="122" t="s">
        <v>13640</v>
      </c>
      <c r="TDS1" s="122" t="s">
        <v>13641</v>
      </c>
      <c r="TDT1" s="122" t="s">
        <v>13642</v>
      </c>
      <c r="TDU1" s="122" t="s">
        <v>13643</v>
      </c>
      <c r="TDV1" s="122" t="s">
        <v>13644</v>
      </c>
      <c r="TDW1" s="122" t="s">
        <v>13645</v>
      </c>
      <c r="TDX1" s="122" t="s">
        <v>13646</v>
      </c>
      <c r="TDY1" s="122" t="s">
        <v>13647</v>
      </c>
      <c r="TDZ1" s="122" t="s">
        <v>13648</v>
      </c>
      <c r="TEA1" s="122" t="s">
        <v>13649</v>
      </c>
      <c r="TEB1" s="122" t="s">
        <v>13650</v>
      </c>
      <c r="TEC1" s="122" t="s">
        <v>13651</v>
      </c>
      <c r="TED1" s="122" t="s">
        <v>13652</v>
      </c>
      <c r="TEE1" s="122" t="s">
        <v>13653</v>
      </c>
      <c r="TEF1" s="122" t="s">
        <v>13654</v>
      </c>
      <c r="TEG1" s="122" t="s">
        <v>13655</v>
      </c>
      <c r="TEH1" s="122" t="s">
        <v>13656</v>
      </c>
      <c r="TEI1" s="122" t="s">
        <v>13657</v>
      </c>
      <c r="TEJ1" s="122" t="s">
        <v>13658</v>
      </c>
      <c r="TEK1" s="122" t="s">
        <v>13659</v>
      </c>
      <c r="TEL1" s="122" t="s">
        <v>13660</v>
      </c>
      <c r="TEM1" s="122" t="s">
        <v>13661</v>
      </c>
      <c r="TEN1" s="122" t="s">
        <v>13662</v>
      </c>
      <c r="TEO1" s="122" t="s">
        <v>13663</v>
      </c>
      <c r="TEP1" s="122" t="s">
        <v>13664</v>
      </c>
      <c r="TEQ1" s="122" t="s">
        <v>13665</v>
      </c>
      <c r="TER1" s="122" t="s">
        <v>13666</v>
      </c>
      <c r="TES1" s="122" t="s">
        <v>13667</v>
      </c>
      <c r="TET1" s="122" t="s">
        <v>13668</v>
      </c>
      <c r="TEU1" s="122" t="s">
        <v>13669</v>
      </c>
      <c r="TEV1" s="122" t="s">
        <v>13670</v>
      </c>
      <c r="TEW1" s="122" t="s">
        <v>13671</v>
      </c>
      <c r="TEX1" s="122" t="s">
        <v>13672</v>
      </c>
      <c r="TEY1" s="122" t="s">
        <v>13673</v>
      </c>
      <c r="TEZ1" s="122" t="s">
        <v>13674</v>
      </c>
      <c r="TFA1" s="122" t="s">
        <v>13675</v>
      </c>
      <c r="TFB1" s="122" t="s">
        <v>13676</v>
      </c>
      <c r="TFC1" s="122" t="s">
        <v>13677</v>
      </c>
      <c r="TFD1" s="122" t="s">
        <v>13678</v>
      </c>
      <c r="TFE1" s="122" t="s">
        <v>13679</v>
      </c>
      <c r="TFF1" s="122" t="s">
        <v>13680</v>
      </c>
      <c r="TFG1" s="122" t="s">
        <v>13681</v>
      </c>
      <c r="TFH1" s="122" t="s">
        <v>13682</v>
      </c>
      <c r="TFI1" s="122" t="s">
        <v>13683</v>
      </c>
      <c r="TFJ1" s="122" t="s">
        <v>13684</v>
      </c>
      <c r="TFK1" s="122" t="s">
        <v>13685</v>
      </c>
      <c r="TFL1" s="122" t="s">
        <v>13686</v>
      </c>
      <c r="TFM1" s="122" t="s">
        <v>13687</v>
      </c>
      <c r="TFN1" s="122" t="s">
        <v>13688</v>
      </c>
      <c r="TFO1" s="122" t="s">
        <v>13689</v>
      </c>
      <c r="TFP1" s="122" t="s">
        <v>13690</v>
      </c>
      <c r="TFQ1" s="122" t="s">
        <v>13691</v>
      </c>
      <c r="TFR1" s="122" t="s">
        <v>13692</v>
      </c>
      <c r="TFS1" s="122" t="s">
        <v>13693</v>
      </c>
      <c r="TFT1" s="122" t="s">
        <v>13694</v>
      </c>
      <c r="TFU1" s="122" t="s">
        <v>13695</v>
      </c>
      <c r="TFV1" s="122" t="s">
        <v>13696</v>
      </c>
      <c r="TFW1" s="122" t="s">
        <v>13697</v>
      </c>
      <c r="TFX1" s="122" t="s">
        <v>13698</v>
      </c>
      <c r="TFY1" s="122" t="s">
        <v>13699</v>
      </c>
      <c r="TFZ1" s="122" t="s">
        <v>13700</v>
      </c>
      <c r="TGA1" s="122" t="s">
        <v>13701</v>
      </c>
      <c r="TGB1" s="122" t="s">
        <v>13702</v>
      </c>
      <c r="TGC1" s="122" t="s">
        <v>13703</v>
      </c>
      <c r="TGD1" s="122" t="s">
        <v>13704</v>
      </c>
      <c r="TGE1" s="122" t="s">
        <v>13705</v>
      </c>
      <c r="TGF1" s="122" t="s">
        <v>13706</v>
      </c>
      <c r="TGG1" s="122" t="s">
        <v>13707</v>
      </c>
      <c r="TGH1" s="122" t="s">
        <v>13708</v>
      </c>
      <c r="TGI1" s="122" t="s">
        <v>13709</v>
      </c>
      <c r="TGJ1" s="122" t="s">
        <v>13710</v>
      </c>
      <c r="TGK1" s="122" t="s">
        <v>13711</v>
      </c>
      <c r="TGL1" s="122" t="s">
        <v>13712</v>
      </c>
      <c r="TGM1" s="122" t="s">
        <v>13713</v>
      </c>
      <c r="TGN1" s="122" t="s">
        <v>13714</v>
      </c>
      <c r="TGO1" s="122" t="s">
        <v>13715</v>
      </c>
      <c r="TGP1" s="122" t="s">
        <v>13716</v>
      </c>
      <c r="TGQ1" s="122" t="s">
        <v>13717</v>
      </c>
      <c r="TGR1" s="122" t="s">
        <v>13718</v>
      </c>
      <c r="TGS1" s="122" t="s">
        <v>13719</v>
      </c>
      <c r="TGT1" s="122" t="s">
        <v>13720</v>
      </c>
      <c r="TGU1" s="122" t="s">
        <v>13721</v>
      </c>
      <c r="TGV1" s="122" t="s">
        <v>13722</v>
      </c>
      <c r="TGW1" s="122" t="s">
        <v>13723</v>
      </c>
      <c r="TGX1" s="122" t="s">
        <v>13724</v>
      </c>
      <c r="TGY1" s="122" t="s">
        <v>13725</v>
      </c>
      <c r="TGZ1" s="122" t="s">
        <v>13726</v>
      </c>
      <c r="THA1" s="122" t="s">
        <v>13727</v>
      </c>
      <c r="THB1" s="122" t="s">
        <v>13728</v>
      </c>
      <c r="THC1" s="122" t="s">
        <v>13729</v>
      </c>
      <c r="THD1" s="122" t="s">
        <v>13730</v>
      </c>
      <c r="THE1" s="122" t="s">
        <v>13731</v>
      </c>
      <c r="THF1" s="122" t="s">
        <v>13732</v>
      </c>
      <c r="THG1" s="122" t="s">
        <v>13733</v>
      </c>
      <c r="THH1" s="122" t="s">
        <v>13734</v>
      </c>
      <c r="THI1" s="122" t="s">
        <v>13735</v>
      </c>
      <c r="THJ1" s="122" t="s">
        <v>13736</v>
      </c>
      <c r="THK1" s="122" t="s">
        <v>13737</v>
      </c>
      <c r="THL1" s="122" t="s">
        <v>13738</v>
      </c>
      <c r="THM1" s="122" t="s">
        <v>13739</v>
      </c>
      <c r="THN1" s="122" t="s">
        <v>13740</v>
      </c>
      <c r="THO1" s="122" t="s">
        <v>13741</v>
      </c>
      <c r="THP1" s="122" t="s">
        <v>13742</v>
      </c>
      <c r="THQ1" s="122" t="s">
        <v>13743</v>
      </c>
      <c r="THR1" s="122" t="s">
        <v>13744</v>
      </c>
      <c r="THS1" s="122" t="s">
        <v>13745</v>
      </c>
      <c r="THT1" s="122" t="s">
        <v>13746</v>
      </c>
      <c r="THU1" s="122" t="s">
        <v>13747</v>
      </c>
      <c r="THV1" s="122" t="s">
        <v>13748</v>
      </c>
      <c r="THW1" s="122" t="s">
        <v>13749</v>
      </c>
      <c r="THX1" s="122" t="s">
        <v>13750</v>
      </c>
      <c r="THY1" s="122" t="s">
        <v>13751</v>
      </c>
      <c r="THZ1" s="122" t="s">
        <v>13752</v>
      </c>
      <c r="TIA1" s="122" t="s">
        <v>13753</v>
      </c>
      <c r="TIB1" s="122" t="s">
        <v>13754</v>
      </c>
      <c r="TIC1" s="122" t="s">
        <v>13755</v>
      </c>
      <c r="TID1" s="122" t="s">
        <v>13756</v>
      </c>
      <c r="TIE1" s="122" t="s">
        <v>13757</v>
      </c>
      <c r="TIF1" s="122" t="s">
        <v>13758</v>
      </c>
      <c r="TIG1" s="122" t="s">
        <v>13759</v>
      </c>
      <c r="TIH1" s="122" t="s">
        <v>13760</v>
      </c>
      <c r="TII1" s="122" t="s">
        <v>13761</v>
      </c>
      <c r="TIJ1" s="122" t="s">
        <v>13762</v>
      </c>
      <c r="TIK1" s="122" t="s">
        <v>13763</v>
      </c>
      <c r="TIL1" s="122" t="s">
        <v>13764</v>
      </c>
      <c r="TIM1" s="122" t="s">
        <v>13765</v>
      </c>
      <c r="TIN1" s="122" t="s">
        <v>13766</v>
      </c>
      <c r="TIO1" s="122" t="s">
        <v>13767</v>
      </c>
      <c r="TIP1" s="122" t="s">
        <v>13768</v>
      </c>
      <c r="TIQ1" s="122" t="s">
        <v>13769</v>
      </c>
      <c r="TIR1" s="122" t="s">
        <v>13770</v>
      </c>
      <c r="TIS1" s="122" t="s">
        <v>13771</v>
      </c>
      <c r="TIT1" s="122" t="s">
        <v>13772</v>
      </c>
      <c r="TIU1" s="122" t="s">
        <v>13773</v>
      </c>
      <c r="TIV1" s="122" t="s">
        <v>13774</v>
      </c>
      <c r="TIW1" s="122" t="s">
        <v>13775</v>
      </c>
      <c r="TIX1" s="122" t="s">
        <v>13776</v>
      </c>
      <c r="TIY1" s="122" t="s">
        <v>13777</v>
      </c>
      <c r="TIZ1" s="122" t="s">
        <v>13778</v>
      </c>
      <c r="TJA1" s="122" t="s">
        <v>13779</v>
      </c>
      <c r="TJB1" s="122" t="s">
        <v>13780</v>
      </c>
      <c r="TJC1" s="122" t="s">
        <v>13781</v>
      </c>
      <c r="TJD1" s="122" t="s">
        <v>13782</v>
      </c>
      <c r="TJE1" s="122" t="s">
        <v>13783</v>
      </c>
      <c r="TJF1" s="122" t="s">
        <v>13784</v>
      </c>
      <c r="TJG1" s="122" t="s">
        <v>13785</v>
      </c>
      <c r="TJH1" s="122" t="s">
        <v>13786</v>
      </c>
      <c r="TJI1" s="122" t="s">
        <v>13787</v>
      </c>
      <c r="TJJ1" s="122" t="s">
        <v>13788</v>
      </c>
      <c r="TJK1" s="122" t="s">
        <v>13789</v>
      </c>
      <c r="TJL1" s="122" t="s">
        <v>13790</v>
      </c>
      <c r="TJM1" s="122" t="s">
        <v>13791</v>
      </c>
      <c r="TJN1" s="122" t="s">
        <v>13792</v>
      </c>
      <c r="TJO1" s="122" t="s">
        <v>13793</v>
      </c>
      <c r="TJP1" s="122" t="s">
        <v>13794</v>
      </c>
      <c r="TJQ1" s="122" t="s">
        <v>13795</v>
      </c>
      <c r="TJR1" s="122" t="s">
        <v>13796</v>
      </c>
      <c r="TJS1" s="122" t="s">
        <v>13797</v>
      </c>
      <c r="TJT1" s="122" t="s">
        <v>13798</v>
      </c>
      <c r="TJU1" s="122" t="s">
        <v>13799</v>
      </c>
      <c r="TJV1" s="122" t="s">
        <v>13800</v>
      </c>
      <c r="TJW1" s="122" t="s">
        <v>13801</v>
      </c>
      <c r="TJX1" s="122" t="s">
        <v>13802</v>
      </c>
      <c r="TJY1" s="122" t="s">
        <v>13803</v>
      </c>
      <c r="TJZ1" s="122" t="s">
        <v>13804</v>
      </c>
      <c r="TKA1" s="122" t="s">
        <v>13805</v>
      </c>
      <c r="TKB1" s="122" t="s">
        <v>13806</v>
      </c>
      <c r="TKC1" s="122" t="s">
        <v>13807</v>
      </c>
      <c r="TKD1" s="122" t="s">
        <v>13808</v>
      </c>
      <c r="TKE1" s="122" t="s">
        <v>13809</v>
      </c>
      <c r="TKF1" s="122" t="s">
        <v>13810</v>
      </c>
      <c r="TKG1" s="122" t="s">
        <v>13811</v>
      </c>
      <c r="TKH1" s="122" t="s">
        <v>13812</v>
      </c>
      <c r="TKI1" s="122" t="s">
        <v>13813</v>
      </c>
      <c r="TKJ1" s="122" t="s">
        <v>13814</v>
      </c>
      <c r="TKK1" s="122" t="s">
        <v>13815</v>
      </c>
      <c r="TKL1" s="122" t="s">
        <v>13816</v>
      </c>
      <c r="TKM1" s="122" t="s">
        <v>13817</v>
      </c>
      <c r="TKN1" s="122" t="s">
        <v>13818</v>
      </c>
      <c r="TKO1" s="122" t="s">
        <v>13819</v>
      </c>
      <c r="TKP1" s="122" t="s">
        <v>13820</v>
      </c>
      <c r="TKQ1" s="122" t="s">
        <v>13821</v>
      </c>
      <c r="TKR1" s="122" t="s">
        <v>13822</v>
      </c>
      <c r="TKS1" s="122" t="s">
        <v>13823</v>
      </c>
      <c r="TKT1" s="122" t="s">
        <v>13824</v>
      </c>
      <c r="TKU1" s="122" t="s">
        <v>13825</v>
      </c>
      <c r="TKV1" s="122" t="s">
        <v>13826</v>
      </c>
      <c r="TKW1" s="122" t="s">
        <v>13827</v>
      </c>
      <c r="TKX1" s="122" t="s">
        <v>13828</v>
      </c>
      <c r="TKY1" s="122" t="s">
        <v>13829</v>
      </c>
      <c r="TKZ1" s="122" t="s">
        <v>13830</v>
      </c>
      <c r="TLA1" s="122" t="s">
        <v>13831</v>
      </c>
      <c r="TLB1" s="122" t="s">
        <v>13832</v>
      </c>
      <c r="TLC1" s="122" t="s">
        <v>13833</v>
      </c>
      <c r="TLD1" s="122" t="s">
        <v>13834</v>
      </c>
      <c r="TLE1" s="122" t="s">
        <v>13835</v>
      </c>
      <c r="TLF1" s="122" t="s">
        <v>13836</v>
      </c>
      <c r="TLG1" s="122" t="s">
        <v>13837</v>
      </c>
      <c r="TLH1" s="122" t="s">
        <v>13838</v>
      </c>
      <c r="TLI1" s="122" t="s">
        <v>13839</v>
      </c>
      <c r="TLJ1" s="122" t="s">
        <v>13840</v>
      </c>
      <c r="TLK1" s="122" t="s">
        <v>13841</v>
      </c>
      <c r="TLL1" s="122" t="s">
        <v>13842</v>
      </c>
      <c r="TLM1" s="122" t="s">
        <v>13843</v>
      </c>
      <c r="TLN1" s="122" t="s">
        <v>13844</v>
      </c>
      <c r="TLO1" s="122" t="s">
        <v>13845</v>
      </c>
      <c r="TLP1" s="122" t="s">
        <v>13846</v>
      </c>
      <c r="TLQ1" s="122" t="s">
        <v>13847</v>
      </c>
      <c r="TLR1" s="122" t="s">
        <v>13848</v>
      </c>
      <c r="TLS1" s="122" t="s">
        <v>13849</v>
      </c>
      <c r="TLT1" s="122" t="s">
        <v>13850</v>
      </c>
      <c r="TLU1" s="122" t="s">
        <v>13851</v>
      </c>
      <c r="TLV1" s="122" t="s">
        <v>13852</v>
      </c>
      <c r="TLW1" s="122" t="s">
        <v>13853</v>
      </c>
      <c r="TLX1" s="122" t="s">
        <v>13854</v>
      </c>
      <c r="TLY1" s="122" t="s">
        <v>13855</v>
      </c>
      <c r="TLZ1" s="122" t="s">
        <v>13856</v>
      </c>
      <c r="TMA1" s="122" t="s">
        <v>13857</v>
      </c>
      <c r="TMB1" s="122" t="s">
        <v>13858</v>
      </c>
      <c r="TMC1" s="122" t="s">
        <v>13859</v>
      </c>
      <c r="TMD1" s="122" t="s">
        <v>13860</v>
      </c>
      <c r="TME1" s="122" t="s">
        <v>13861</v>
      </c>
      <c r="TMF1" s="122" t="s">
        <v>13862</v>
      </c>
      <c r="TMG1" s="122" t="s">
        <v>13863</v>
      </c>
      <c r="TMH1" s="122" t="s">
        <v>13864</v>
      </c>
      <c r="TMI1" s="122" t="s">
        <v>13865</v>
      </c>
      <c r="TMJ1" s="122" t="s">
        <v>13866</v>
      </c>
      <c r="TMK1" s="122" t="s">
        <v>13867</v>
      </c>
      <c r="TML1" s="122" t="s">
        <v>13868</v>
      </c>
      <c r="TMM1" s="122" t="s">
        <v>13869</v>
      </c>
      <c r="TMN1" s="122" t="s">
        <v>13870</v>
      </c>
      <c r="TMO1" s="122" t="s">
        <v>13871</v>
      </c>
      <c r="TMP1" s="122" t="s">
        <v>13872</v>
      </c>
      <c r="TMQ1" s="122" t="s">
        <v>13873</v>
      </c>
      <c r="TMR1" s="122" t="s">
        <v>13874</v>
      </c>
      <c r="TMS1" s="122" t="s">
        <v>13875</v>
      </c>
      <c r="TMT1" s="122" t="s">
        <v>13876</v>
      </c>
      <c r="TMU1" s="122" t="s">
        <v>13877</v>
      </c>
      <c r="TMV1" s="122" t="s">
        <v>13878</v>
      </c>
      <c r="TMW1" s="122" t="s">
        <v>13879</v>
      </c>
      <c r="TMX1" s="122" t="s">
        <v>13880</v>
      </c>
      <c r="TMY1" s="122" t="s">
        <v>13881</v>
      </c>
      <c r="TMZ1" s="122" t="s">
        <v>13882</v>
      </c>
      <c r="TNA1" s="122" t="s">
        <v>13883</v>
      </c>
      <c r="TNB1" s="122" t="s">
        <v>13884</v>
      </c>
      <c r="TNC1" s="122" t="s">
        <v>13885</v>
      </c>
      <c r="TND1" s="122" t="s">
        <v>13886</v>
      </c>
      <c r="TNE1" s="122" t="s">
        <v>13887</v>
      </c>
      <c r="TNF1" s="122" t="s">
        <v>13888</v>
      </c>
      <c r="TNG1" s="122" t="s">
        <v>13889</v>
      </c>
      <c r="TNH1" s="122" t="s">
        <v>13890</v>
      </c>
      <c r="TNI1" s="122" t="s">
        <v>13891</v>
      </c>
      <c r="TNJ1" s="122" t="s">
        <v>13892</v>
      </c>
      <c r="TNK1" s="122" t="s">
        <v>13893</v>
      </c>
      <c r="TNL1" s="122" t="s">
        <v>13894</v>
      </c>
      <c r="TNM1" s="122" t="s">
        <v>13895</v>
      </c>
      <c r="TNN1" s="122" t="s">
        <v>13896</v>
      </c>
      <c r="TNO1" s="122" t="s">
        <v>13897</v>
      </c>
      <c r="TNP1" s="122" t="s">
        <v>13898</v>
      </c>
      <c r="TNQ1" s="122" t="s">
        <v>13899</v>
      </c>
      <c r="TNR1" s="122" t="s">
        <v>13900</v>
      </c>
      <c r="TNS1" s="122" t="s">
        <v>13901</v>
      </c>
      <c r="TNT1" s="122" t="s">
        <v>13902</v>
      </c>
      <c r="TNU1" s="122" t="s">
        <v>13903</v>
      </c>
      <c r="TNV1" s="122" t="s">
        <v>13904</v>
      </c>
      <c r="TNW1" s="122" t="s">
        <v>13905</v>
      </c>
      <c r="TNX1" s="122" t="s">
        <v>13906</v>
      </c>
      <c r="TNY1" s="122" t="s">
        <v>13907</v>
      </c>
      <c r="TNZ1" s="122" t="s">
        <v>13908</v>
      </c>
      <c r="TOA1" s="122" t="s">
        <v>13909</v>
      </c>
      <c r="TOB1" s="122" t="s">
        <v>13910</v>
      </c>
      <c r="TOC1" s="122" t="s">
        <v>13911</v>
      </c>
      <c r="TOD1" s="122" t="s">
        <v>13912</v>
      </c>
      <c r="TOE1" s="122" t="s">
        <v>13913</v>
      </c>
      <c r="TOF1" s="122" t="s">
        <v>13914</v>
      </c>
      <c r="TOG1" s="122" t="s">
        <v>13915</v>
      </c>
      <c r="TOH1" s="122" t="s">
        <v>13916</v>
      </c>
      <c r="TOI1" s="122" t="s">
        <v>13917</v>
      </c>
      <c r="TOJ1" s="122" t="s">
        <v>13918</v>
      </c>
      <c r="TOK1" s="122" t="s">
        <v>13919</v>
      </c>
      <c r="TOL1" s="122" t="s">
        <v>13920</v>
      </c>
      <c r="TOM1" s="122" t="s">
        <v>13921</v>
      </c>
      <c r="TON1" s="122" t="s">
        <v>13922</v>
      </c>
      <c r="TOO1" s="122" t="s">
        <v>13923</v>
      </c>
      <c r="TOP1" s="122" t="s">
        <v>13924</v>
      </c>
      <c r="TOQ1" s="122" t="s">
        <v>13925</v>
      </c>
      <c r="TOR1" s="122" t="s">
        <v>13926</v>
      </c>
      <c r="TOS1" s="122" t="s">
        <v>13927</v>
      </c>
      <c r="TOT1" s="122" t="s">
        <v>13928</v>
      </c>
      <c r="TOU1" s="122" t="s">
        <v>13929</v>
      </c>
      <c r="TOV1" s="122" t="s">
        <v>13930</v>
      </c>
      <c r="TOW1" s="122" t="s">
        <v>13931</v>
      </c>
      <c r="TOX1" s="122" t="s">
        <v>13932</v>
      </c>
      <c r="TOY1" s="122" t="s">
        <v>13933</v>
      </c>
      <c r="TOZ1" s="122" t="s">
        <v>13934</v>
      </c>
      <c r="TPA1" s="122" t="s">
        <v>13935</v>
      </c>
      <c r="TPB1" s="122" t="s">
        <v>13936</v>
      </c>
      <c r="TPC1" s="122" t="s">
        <v>13937</v>
      </c>
      <c r="TPD1" s="122" t="s">
        <v>13938</v>
      </c>
      <c r="TPE1" s="122" t="s">
        <v>13939</v>
      </c>
      <c r="TPF1" s="122" t="s">
        <v>13940</v>
      </c>
      <c r="TPG1" s="122" t="s">
        <v>13941</v>
      </c>
      <c r="TPH1" s="122" t="s">
        <v>13942</v>
      </c>
      <c r="TPI1" s="122" t="s">
        <v>13943</v>
      </c>
      <c r="TPJ1" s="122" t="s">
        <v>13944</v>
      </c>
      <c r="TPK1" s="122" t="s">
        <v>13945</v>
      </c>
      <c r="TPL1" s="122" t="s">
        <v>13946</v>
      </c>
      <c r="TPM1" s="122" t="s">
        <v>13947</v>
      </c>
      <c r="TPN1" s="122" t="s">
        <v>13948</v>
      </c>
      <c r="TPO1" s="122" t="s">
        <v>13949</v>
      </c>
      <c r="TPP1" s="122" t="s">
        <v>13950</v>
      </c>
      <c r="TPQ1" s="122" t="s">
        <v>13951</v>
      </c>
      <c r="TPR1" s="122" t="s">
        <v>13952</v>
      </c>
      <c r="TPS1" s="122" t="s">
        <v>13953</v>
      </c>
      <c r="TPT1" s="122" t="s">
        <v>13954</v>
      </c>
      <c r="TPU1" s="122" t="s">
        <v>13955</v>
      </c>
      <c r="TPV1" s="122" t="s">
        <v>13956</v>
      </c>
      <c r="TPW1" s="122" t="s">
        <v>13957</v>
      </c>
      <c r="TPX1" s="122" t="s">
        <v>13958</v>
      </c>
      <c r="TPY1" s="122" t="s">
        <v>13959</v>
      </c>
      <c r="TPZ1" s="122" t="s">
        <v>13960</v>
      </c>
      <c r="TQA1" s="122" t="s">
        <v>13961</v>
      </c>
      <c r="TQB1" s="122" t="s">
        <v>13962</v>
      </c>
      <c r="TQC1" s="122" t="s">
        <v>13963</v>
      </c>
      <c r="TQD1" s="122" t="s">
        <v>13964</v>
      </c>
      <c r="TQE1" s="122" t="s">
        <v>13965</v>
      </c>
      <c r="TQF1" s="122" t="s">
        <v>13966</v>
      </c>
      <c r="TQG1" s="122" t="s">
        <v>13967</v>
      </c>
      <c r="TQH1" s="122" t="s">
        <v>13968</v>
      </c>
      <c r="TQI1" s="122" t="s">
        <v>13969</v>
      </c>
      <c r="TQJ1" s="122" t="s">
        <v>13970</v>
      </c>
      <c r="TQK1" s="122" t="s">
        <v>13971</v>
      </c>
      <c r="TQL1" s="122" t="s">
        <v>13972</v>
      </c>
      <c r="TQM1" s="122" t="s">
        <v>13973</v>
      </c>
      <c r="TQN1" s="122" t="s">
        <v>13974</v>
      </c>
      <c r="TQO1" s="122" t="s">
        <v>13975</v>
      </c>
      <c r="TQP1" s="122" t="s">
        <v>13976</v>
      </c>
      <c r="TQQ1" s="122" t="s">
        <v>13977</v>
      </c>
      <c r="TQR1" s="122" t="s">
        <v>13978</v>
      </c>
      <c r="TQS1" s="122" t="s">
        <v>13979</v>
      </c>
      <c r="TQT1" s="122" t="s">
        <v>13980</v>
      </c>
      <c r="TQU1" s="122" t="s">
        <v>13981</v>
      </c>
      <c r="TQV1" s="122" t="s">
        <v>13982</v>
      </c>
      <c r="TQW1" s="122" t="s">
        <v>13983</v>
      </c>
      <c r="TQX1" s="122" t="s">
        <v>13984</v>
      </c>
      <c r="TQY1" s="122" t="s">
        <v>13985</v>
      </c>
      <c r="TQZ1" s="122" t="s">
        <v>13986</v>
      </c>
      <c r="TRA1" s="122" t="s">
        <v>13987</v>
      </c>
      <c r="TRB1" s="122" t="s">
        <v>13988</v>
      </c>
      <c r="TRC1" s="122" t="s">
        <v>13989</v>
      </c>
      <c r="TRD1" s="122" t="s">
        <v>13990</v>
      </c>
      <c r="TRE1" s="122" t="s">
        <v>13991</v>
      </c>
      <c r="TRF1" s="122" t="s">
        <v>13992</v>
      </c>
      <c r="TRG1" s="122" t="s">
        <v>13993</v>
      </c>
      <c r="TRH1" s="122" t="s">
        <v>13994</v>
      </c>
      <c r="TRI1" s="122" t="s">
        <v>13995</v>
      </c>
      <c r="TRJ1" s="122" t="s">
        <v>13996</v>
      </c>
      <c r="TRK1" s="122" t="s">
        <v>13997</v>
      </c>
      <c r="TRL1" s="122" t="s">
        <v>13998</v>
      </c>
      <c r="TRM1" s="122" t="s">
        <v>13999</v>
      </c>
      <c r="TRN1" s="122" t="s">
        <v>14000</v>
      </c>
      <c r="TRO1" s="122" t="s">
        <v>14001</v>
      </c>
      <c r="TRP1" s="122" t="s">
        <v>14002</v>
      </c>
      <c r="TRQ1" s="122" t="s">
        <v>14003</v>
      </c>
      <c r="TRR1" s="122" t="s">
        <v>14004</v>
      </c>
      <c r="TRS1" s="122" t="s">
        <v>14005</v>
      </c>
      <c r="TRT1" s="122" t="s">
        <v>14006</v>
      </c>
      <c r="TRU1" s="122" t="s">
        <v>14007</v>
      </c>
      <c r="TRV1" s="122" t="s">
        <v>14008</v>
      </c>
      <c r="TRW1" s="122" t="s">
        <v>14009</v>
      </c>
      <c r="TRX1" s="122" t="s">
        <v>14010</v>
      </c>
      <c r="TRY1" s="122" t="s">
        <v>14011</v>
      </c>
      <c r="TRZ1" s="122" t="s">
        <v>14012</v>
      </c>
      <c r="TSA1" s="122" t="s">
        <v>14013</v>
      </c>
      <c r="TSB1" s="122" t="s">
        <v>14014</v>
      </c>
      <c r="TSC1" s="122" t="s">
        <v>14015</v>
      </c>
      <c r="TSD1" s="122" t="s">
        <v>14016</v>
      </c>
      <c r="TSE1" s="122" t="s">
        <v>14017</v>
      </c>
      <c r="TSF1" s="122" t="s">
        <v>14018</v>
      </c>
      <c r="TSG1" s="122" t="s">
        <v>14019</v>
      </c>
      <c r="TSH1" s="122" t="s">
        <v>14020</v>
      </c>
      <c r="TSI1" s="122" t="s">
        <v>14021</v>
      </c>
      <c r="TSJ1" s="122" t="s">
        <v>14022</v>
      </c>
      <c r="TSK1" s="122" t="s">
        <v>14023</v>
      </c>
      <c r="TSL1" s="122" t="s">
        <v>14024</v>
      </c>
      <c r="TSM1" s="122" t="s">
        <v>14025</v>
      </c>
      <c r="TSN1" s="122" t="s">
        <v>14026</v>
      </c>
      <c r="TSO1" s="122" t="s">
        <v>14027</v>
      </c>
      <c r="TSP1" s="122" t="s">
        <v>14028</v>
      </c>
      <c r="TSQ1" s="122" t="s">
        <v>14029</v>
      </c>
      <c r="TSR1" s="122" t="s">
        <v>14030</v>
      </c>
      <c r="TSS1" s="122" t="s">
        <v>14031</v>
      </c>
      <c r="TST1" s="122" t="s">
        <v>14032</v>
      </c>
      <c r="TSU1" s="122" t="s">
        <v>14033</v>
      </c>
      <c r="TSV1" s="122" t="s">
        <v>14034</v>
      </c>
      <c r="TSW1" s="122" t="s">
        <v>14035</v>
      </c>
      <c r="TSX1" s="122" t="s">
        <v>14036</v>
      </c>
      <c r="TSY1" s="122" t="s">
        <v>14037</v>
      </c>
      <c r="TSZ1" s="122" t="s">
        <v>14038</v>
      </c>
      <c r="TTA1" s="122" t="s">
        <v>14039</v>
      </c>
      <c r="TTB1" s="122" t="s">
        <v>14040</v>
      </c>
      <c r="TTC1" s="122" t="s">
        <v>14041</v>
      </c>
      <c r="TTD1" s="122" t="s">
        <v>14042</v>
      </c>
      <c r="TTE1" s="122" t="s">
        <v>14043</v>
      </c>
      <c r="TTF1" s="122" t="s">
        <v>14044</v>
      </c>
      <c r="TTG1" s="122" t="s">
        <v>14045</v>
      </c>
      <c r="TTH1" s="122" t="s">
        <v>14046</v>
      </c>
      <c r="TTI1" s="122" t="s">
        <v>14047</v>
      </c>
      <c r="TTJ1" s="122" t="s">
        <v>14048</v>
      </c>
      <c r="TTK1" s="122" t="s">
        <v>14049</v>
      </c>
      <c r="TTL1" s="122" t="s">
        <v>14050</v>
      </c>
      <c r="TTM1" s="122" t="s">
        <v>14051</v>
      </c>
      <c r="TTN1" s="122" t="s">
        <v>14052</v>
      </c>
      <c r="TTO1" s="122" t="s">
        <v>14053</v>
      </c>
      <c r="TTP1" s="122" t="s">
        <v>14054</v>
      </c>
      <c r="TTQ1" s="122" t="s">
        <v>14055</v>
      </c>
      <c r="TTR1" s="122" t="s">
        <v>14056</v>
      </c>
      <c r="TTS1" s="122" t="s">
        <v>14057</v>
      </c>
      <c r="TTT1" s="122" t="s">
        <v>14058</v>
      </c>
      <c r="TTU1" s="122" t="s">
        <v>14059</v>
      </c>
      <c r="TTV1" s="122" t="s">
        <v>14060</v>
      </c>
      <c r="TTW1" s="122" t="s">
        <v>14061</v>
      </c>
      <c r="TTX1" s="122" t="s">
        <v>14062</v>
      </c>
      <c r="TTY1" s="122" t="s">
        <v>14063</v>
      </c>
      <c r="TTZ1" s="122" t="s">
        <v>14064</v>
      </c>
      <c r="TUA1" s="122" t="s">
        <v>14065</v>
      </c>
      <c r="TUB1" s="122" t="s">
        <v>14066</v>
      </c>
      <c r="TUC1" s="122" t="s">
        <v>14067</v>
      </c>
      <c r="TUD1" s="122" t="s">
        <v>14068</v>
      </c>
      <c r="TUE1" s="122" t="s">
        <v>14069</v>
      </c>
      <c r="TUF1" s="122" t="s">
        <v>14070</v>
      </c>
      <c r="TUG1" s="122" t="s">
        <v>14071</v>
      </c>
      <c r="TUH1" s="122" t="s">
        <v>14072</v>
      </c>
      <c r="TUI1" s="122" t="s">
        <v>14073</v>
      </c>
      <c r="TUJ1" s="122" t="s">
        <v>14074</v>
      </c>
      <c r="TUK1" s="122" t="s">
        <v>14075</v>
      </c>
      <c r="TUL1" s="122" t="s">
        <v>14076</v>
      </c>
      <c r="TUM1" s="122" t="s">
        <v>14077</v>
      </c>
      <c r="TUN1" s="122" t="s">
        <v>14078</v>
      </c>
      <c r="TUO1" s="122" t="s">
        <v>14079</v>
      </c>
      <c r="TUP1" s="122" t="s">
        <v>14080</v>
      </c>
      <c r="TUQ1" s="122" t="s">
        <v>14081</v>
      </c>
      <c r="TUR1" s="122" t="s">
        <v>14082</v>
      </c>
      <c r="TUS1" s="122" t="s">
        <v>14083</v>
      </c>
      <c r="TUT1" s="122" t="s">
        <v>14084</v>
      </c>
      <c r="TUU1" s="122" t="s">
        <v>14085</v>
      </c>
      <c r="TUV1" s="122" t="s">
        <v>14086</v>
      </c>
      <c r="TUW1" s="122" t="s">
        <v>14087</v>
      </c>
      <c r="TUX1" s="122" t="s">
        <v>14088</v>
      </c>
      <c r="TUY1" s="122" t="s">
        <v>14089</v>
      </c>
      <c r="TUZ1" s="122" t="s">
        <v>14090</v>
      </c>
      <c r="TVA1" s="122" t="s">
        <v>14091</v>
      </c>
      <c r="TVB1" s="122" t="s">
        <v>14092</v>
      </c>
      <c r="TVC1" s="122" t="s">
        <v>14093</v>
      </c>
      <c r="TVD1" s="122" t="s">
        <v>14094</v>
      </c>
      <c r="TVE1" s="122" t="s">
        <v>14095</v>
      </c>
      <c r="TVF1" s="122" t="s">
        <v>14096</v>
      </c>
      <c r="TVG1" s="122" t="s">
        <v>14097</v>
      </c>
      <c r="TVH1" s="122" t="s">
        <v>14098</v>
      </c>
      <c r="TVI1" s="122" t="s">
        <v>14099</v>
      </c>
      <c r="TVJ1" s="122" t="s">
        <v>14100</v>
      </c>
      <c r="TVK1" s="122" t="s">
        <v>14101</v>
      </c>
      <c r="TVL1" s="122" t="s">
        <v>14102</v>
      </c>
      <c r="TVM1" s="122" t="s">
        <v>14103</v>
      </c>
      <c r="TVN1" s="122" t="s">
        <v>14104</v>
      </c>
      <c r="TVO1" s="122" t="s">
        <v>14105</v>
      </c>
      <c r="TVP1" s="122" t="s">
        <v>14106</v>
      </c>
      <c r="TVQ1" s="122" t="s">
        <v>14107</v>
      </c>
      <c r="TVR1" s="122" t="s">
        <v>14108</v>
      </c>
      <c r="TVS1" s="122" t="s">
        <v>14109</v>
      </c>
      <c r="TVT1" s="122" t="s">
        <v>14110</v>
      </c>
      <c r="TVU1" s="122" t="s">
        <v>14111</v>
      </c>
      <c r="TVV1" s="122" t="s">
        <v>14112</v>
      </c>
      <c r="TVW1" s="122" t="s">
        <v>14113</v>
      </c>
      <c r="TVX1" s="122" t="s">
        <v>14114</v>
      </c>
      <c r="TVY1" s="122" t="s">
        <v>14115</v>
      </c>
      <c r="TVZ1" s="122" t="s">
        <v>14116</v>
      </c>
      <c r="TWA1" s="122" t="s">
        <v>14117</v>
      </c>
      <c r="TWB1" s="122" t="s">
        <v>14118</v>
      </c>
      <c r="TWC1" s="122" t="s">
        <v>14119</v>
      </c>
      <c r="TWD1" s="122" t="s">
        <v>14120</v>
      </c>
      <c r="TWE1" s="122" t="s">
        <v>14121</v>
      </c>
      <c r="TWF1" s="122" t="s">
        <v>14122</v>
      </c>
      <c r="TWG1" s="122" t="s">
        <v>14123</v>
      </c>
      <c r="TWH1" s="122" t="s">
        <v>14124</v>
      </c>
      <c r="TWI1" s="122" t="s">
        <v>14125</v>
      </c>
      <c r="TWJ1" s="122" t="s">
        <v>14126</v>
      </c>
      <c r="TWK1" s="122" t="s">
        <v>14127</v>
      </c>
      <c r="TWL1" s="122" t="s">
        <v>14128</v>
      </c>
      <c r="TWM1" s="122" t="s">
        <v>14129</v>
      </c>
      <c r="TWN1" s="122" t="s">
        <v>14130</v>
      </c>
      <c r="TWO1" s="122" t="s">
        <v>14131</v>
      </c>
      <c r="TWP1" s="122" t="s">
        <v>14132</v>
      </c>
      <c r="TWQ1" s="122" t="s">
        <v>14133</v>
      </c>
      <c r="TWR1" s="122" t="s">
        <v>14134</v>
      </c>
      <c r="TWS1" s="122" t="s">
        <v>14135</v>
      </c>
      <c r="TWT1" s="122" t="s">
        <v>14136</v>
      </c>
      <c r="TWU1" s="122" t="s">
        <v>14137</v>
      </c>
      <c r="TWV1" s="122" t="s">
        <v>14138</v>
      </c>
      <c r="TWW1" s="122" t="s">
        <v>14139</v>
      </c>
      <c r="TWX1" s="122" t="s">
        <v>14140</v>
      </c>
      <c r="TWY1" s="122" t="s">
        <v>14141</v>
      </c>
      <c r="TWZ1" s="122" t="s">
        <v>14142</v>
      </c>
      <c r="TXA1" s="122" t="s">
        <v>14143</v>
      </c>
      <c r="TXB1" s="122" t="s">
        <v>14144</v>
      </c>
      <c r="TXC1" s="122" t="s">
        <v>14145</v>
      </c>
      <c r="TXD1" s="122" t="s">
        <v>14146</v>
      </c>
      <c r="TXE1" s="122" t="s">
        <v>14147</v>
      </c>
      <c r="TXF1" s="122" t="s">
        <v>14148</v>
      </c>
      <c r="TXG1" s="122" t="s">
        <v>14149</v>
      </c>
      <c r="TXH1" s="122" t="s">
        <v>14150</v>
      </c>
      <c r="TXI1" s="122" t="s">
        <v>14151</v>
      </c>
      <c r="TXJ1" s="122" t="s">
        <v>14152</v>
      </c>
      <c r="TXK1" s="122" t="s">
        <v>14153</v>
      </c>
      <c r="TXL1" s="122" t="s">
        <v>14154</v>
      </c>
      <c r="TXM1" s="122" t="s">
        <v>14155</v>
      </c>
      <c r="TXN1" s="122" t="s">
        <v>14156</v>
      </c>
      <c r="TXO1" s="122" t="s">
        <v>14157</v>
      </c>
      <c r="TXP1" s="122" t="s">
        <v>14158</v>
      </c>
      <c r="TXQ1" s="122" t="s">
        <v>14159</v>
      </c>
      <c r="TXR1" s="122" t="s">
        <v>14160</v>
      </c>
      <c r="TXS1" s="122" t="s">
        <v>14161</v>
      </c>
      <c r="TXT1" s="122" t="s">
        <v>14162</v>
      </c>
      <c r="TXU1" s="122" t="s">
        <v>14163</v>
      </c>
      <c r="TXV1" s="122" t="s">
        <v>14164</v>
      </c>
      <c r="TXW1" s="122" t="s">
        <v>14165</v>
      </c>
      <c r="TXX1" s="122" t="s">
        <v>14166</v>
      </c>
      <c r="TXY1" s="122" t="s">
        <v>14167</v>
      </c>
      <c r="TXZ1" s="122" t="s">
        <v>14168</v>
      </c>
      <c r="TYA1" s="122" t="s">
        <v>14169</v>
      </c>
      <c r="TYB1" s="122" t="s">
        <v>14170</v>
      </c>
      <c r="TYC1" s="122" t="s">
        <v>14171</v>
      </c>
      <c r="TYD1" s="122" t="s">
        <v>14172</v>
      </c>
      <c r="TYE1" s="122" t="s">
        <v>14173</v>
      </c>
      <c r="TYF1" s="122" t="s">
        <v>14174</v>
      </c>
      <c r="TYG1" s="122" t="s">
        <v>14175</v>
      </c>
      <c r="TYH1" s="122" t="s">
        <v>14176</v>
      </c>
      <c r="TYI1" s="122" t="s">
        <v>14177</v>
      </c>
      <c r="TYJ1" s="122" t="s">
        <v>14178</v>
      </c>
      <c r="TYK1" s="122" t="s">
        <v>14179</v>
      </c>
      <c r="TYL1" s="122" t="s">
        <v>14180</v>
      </c>
      <c r="TYM1" s="122" t="s">
        <v>14181</v>
      </c>
      <c r="TYN1" s="122" t="s">
        <v>14182</v>
      </c>
      <c r="TYO1" s="122" t="s">
        <v>14183</v>
      </c>
      <c r="TYP1" s="122" t="s">
        <v>14184</v>
      </c>
      <c r="TYQ1" s="122" t="s">
        <v>14185</v>
      </c>
      <c r="TYR1" s="122" t="s">
        <v>14186</v>
      </c>
      <c r="TYS1" s="122" t="s">
        <v>14187</v>
      </c>
      <c r="TYT1" s="122" t="s">
        <v>14188</v>
      </c>
      <c r="TYU1" s="122" t="s">
        <v>14189</v>
      </c>
      <c r="TYV1" s="122" t="s">
        <v>14190</v>
      </c>
      <c r="TYW1" s="122" t="s">
        <v>14191</v>
      </c>
      <c r="TYX1" s="122" t="s">
        <v>14192</v>
      </c>
      <c r="TYY1" s="122" t="s">
        <v>14193</v>
      </c>
      <c r="TYZ1" s="122" t="s">
        <v>14194</v>
      </c>
      <c r="TZA1" s="122" t="s">
        <v>14195</v>
      </c>
      <c r="TZB1" s="122" t="s">
        <v>14196</v>
      </c>
      <c r="TZC1" s="122" t="s">
        <v>14197</v>
      </c>
      <c r="TZD1" s="122" t="s">
        <v>14198</v>
      </c>
      <c r="TZE1" s="122" t="s">
        <v>14199</v>
      </c>
      <c r="TZF1" s="122" t="s">
        <v>14200</v>
      </c>
      <c r="TZG1" s="122" t="s">
        <v>14201</v>
      </c>
      <c r="TZH1" s="122" t="s">
        <v>14202</v>
      </c>
      <c r="TZI1" s="122" t="s">
        <v>14203</v>
      </c>
      <c r="TZJ1" s="122" t="s">
        <v>14204</v>
      </c>
      <c r="TZK1" s="122" t="s">
        <v>14205</v>
      </c>
      <c r="TZL1" s="122" t="s">
        <v>14206</v>
      </c>
      <c r="TZM1" s="122" t="s">
        <v>14207</v>
      </c>
      <c r="TZN1" s="122" t="s">
        <v>14208</v>
      </c>
      <c r="TZO1" s="122" t="s">
        <v>14209</v>
      </c>
      <c r="TZP1" s="122" t="s">
        <v>14210</v>
      </c>
      <c r="TZQ1" s="122" t="s">
        <v>14211</v>
      </c>
      <c r="TZR1" s="122" t="s">
        <v>14212</v>
      </c>
      <c r="TZS1" s="122" t="s">
        <v>14213</v>
      </c>
      <c r="TZT1" s="122" t="s">
        <v>14214</v>
      </c>
      <c r="TZU1" s="122" t="s">
        <v>14215</v>
      </c>
      <c r="TZV1" s="122" t="s">
        <v>14216</v>
      </c>
      <c r="TZW1" s="122" t="s">
        <v>14217</v>
      </c>
      <c r="TZX1" s="122" t="s">
        <v>14218</v>
      </c>
      <c r="TZY1" s="122" t="s">
        <v>14219</v>
      </c>
      <c r="TZZ1" s="122" t="s">
        <v>14220</v>
      </c>
      <c r="UAA1" s="122" t="s">
        <v>14221</v>
      </c>
      <c r="UAB1" s="122" t="s">
        <v>14222</v>
      </c>
      <c r="UAC1" s="122" t="s">
        <v>14223</v>
      </c>
      <c r="UAD1" s="122" t="s">
        <v>14224</v>
      </c>
      <c r="UAE1" s="122" t="s">
        <v>14225</v>
      </c>
      <c r="UAF1" s="122" t="s">
        <v>14226</v>
      </c>
      <c r="UAG1" s="122" t="s">
        <v>14227</v>
      </c>
      <c r="UAH1" s="122" t="s">
        <v>14228</v>
      </c>
      <c r="UAI1" s="122" t="s">
        <v>14229</v>
      </c>
      <c r="UAJ1" s="122" t="s">
        <v>14230</v>
      </c>
      <c r="UAK1" s="122" t="s">
        <v>14231</v>
      </c>
      <c r="UAL1" s="122" t="s">
        <v>14232</v>
      </c>
      <c r="UAM1" s="122" t="s">
        <v>14233</v>
      </c>
      <c r="UAN1" s="122" t="s">
        <v>14234</v>
      </c>
      <c r="UAO1" s="122" t="s">
        <v>14235</v>
      </c>
      <c r="UAP1" s="122" t="s">
        <v>14236</v>
      </c>
      <c r="UAQ1" s="122" t="s">
        <v>14237</v>
      </c>
      <c r="UAR1" s="122" t="s">
        <v>14238</v>
      </c>
      <c r="UAS1" s="122" t="s">
        <v>14239</v>
      </c>
      <c r="UAT1" s="122" t="s">
        <v>14240</v>
      </c>
      <c r="UAU1" s="122" t="s">
        <v>14241</v>
      </c>
      <c r="UAV1" s="122" t="s">
        <v>14242</v>
      </c>
      <c r="UAW1" s="122" t="s">
        <v>14243</v>
      </c>
      <c r="UAX1" s="122" t="s">
        <v>14244</v>
      </c>
      <c r="UAY1" s="122" t="s">
        <v>14245</v>
      </c>
      <c r="UAZ1" s="122" t="s">
        <v>14246</v>
      </c>
      <c r="UBA1" s="122" t="s">
        <v>14247</v>
      </c>
      <c r="UBB1" s="122" t="s">
        <v>14248</v>
      </c>
      <c r="UBC1" s="122" t="s">
        <v>14249</v>
      </c>
      <c r="UBD1" s="122" t="s">
        <v>14250</v>
      </c>
      <c r="UBE1" s="122" t="s">
        <v>14251</v>
      </c>
      <c r="UBF1" s="122" t="s">
        <v>14252</v>
      </c>
      <c r="UBG1" s="122" t="s">
        <v>14253</v>
      </c>
      <c r="UBH1" s="122" t="s">
        <v>14254</v>
      </c>
      <c r="UBI1" s="122" t="s">
        <v>14255</v>
      </c>
      <c r="UBJ1" s="122" t="s">
        <v>14256</v>
      </c>
      <c r="UBK1" s="122" t="s">
        <v>14257</v>
      </c>
      <c r="UBL1" s="122" t="s">
        <v>14258</v>
      </c>
      <c r="UBM1" s="122" t="s">
        <v>14259</v>
      </c>
      <c r="UBN1" s="122" t="s">
        <v>14260</v>
      </c>
      <c r="UBO1" s="122" t="s">
        <v>14261</v>
      </c>
      <c r="UBP1" s="122" t="s">
        <v>14262</v>
      </c>
      <c r="UBQ1" s="122" t="s">
        <v>14263</v>
      </c>
      <c r="UBR1" s="122" t="s">
        <v>14264</v>
      </c>
      <c r="UBS1" s="122" t="s">
        <v>14265</v>
      </c>
      <c r="UBT1" s="122" t="s">
        <v>14266</v>
      </c>
      <c r="UBU1" s="122" t="s">
        <v>14267</v>
      </c>
      <c r="UBV1" s="122" t="s">
        <v>14268</v>
      </c>
      <c r="UBW1" s="122" t="s">
        <v>14269</v>
      </c>
      <c r="UBX1" s="122" t="s">
        <v>14270</v>
      </c>
      <c r="UBY1" s="122" t="s">
        <v>14271</v>
      </c>
      <c r="UBZ1" s="122" t="s">
        <v>14272</v>
      </c>
      <c r="UCA1" s="122" t="s">
        <v>14273</v>
      </c>
      <c r="UCB1" s="122" t="s">
        <v>14274</v>
      </c>
      <c r="UCC1" s="122" t="s">
        <v>14275</v>
      </c>
      <c r="UCD1" s="122" t="s">
        <v>14276</v>
      </c>
      <c r="UCE1" s="122" t="s">
        <v>14277</v>
      </c>
      <c r="UCF1" s="122" t="s">
        <v>14278</v>
      </c>
      <c r="UCG1" s="122" t="s">
        <v>14279</v>
      </c>
      <c r="UCH1" s="122" t="s">
        <v>14280</v>
      </c>
      <c r="UCI1" s="122" t="s">
        <v>14281</v>
      </c>
      <c r="UCJ1" s="122" t="s">
        <v>14282</v>
      </c>
      <c r="UCK1" s="122" t="s">
        <v>14283</v>
      </c>
      <c r="UCL1" s="122" t="s">
        <v>14284</v>
      </c>
      <c r="UCM1" s="122" t="s">
        <v>14285</v>
      </c>
      <c r="UCN1" s="122" t="s">
        <v>14286</v>
      </c>
      <c r="UCO1" s="122" t="s">
        <v>14287</v>
      </c>
      <c r="UCP1" s="122" t="s">
        <v>14288</v>
      </c>
      <c r="UCQ1" s="122" t="s">
        <v>14289</v>
      </c>
      <c r="UCR1" s="122" t="s">
        <v>14290</v>
      </c>
      <c r="UCS1" s="122" t="s">
        <v>14291</v>
      </c>
      <c r="UCT1" s="122" t="s">
        <v>14292</v>
      </c>
      <c r="UCU1" s="122" t="s">
        <v>14293</v>
      </c>
      <c r="UCV1" s="122" t="s">
        <v>14294</v>
      </c>
      <c r="UCW1" s="122" t="s">
        <v>14295</v>
      </c>
      <c r="UCX1" s="122" t="s">
        <v>14296</v>
      </c>
      <c r="UCY1" s="122" t="s">
        <v>14297</v>
      </c>
      <c r="UCZ1" s="122" t="s">
        <v>14298</v>
      </c>
      <c r="UDA1" s="122" t="s">
        <v>14299</v>
      </c>
      <c r="UDB1" s="122" t="s">
        <v>14300</v>
      </c>
      <c r="UDC1" s="122" t="s">
        <v>14301</v>
      </c>
      <c r="UDD1" s="122" t="s">
        <v>14302</v>
      </c>
      <c r="UDE1" s="122" t="s">
        <v>14303</v>
      </c>
      <c r="UDF1" s="122" t="s">
        <v>14304</v>
      </c>
      <c r="UDG1" s="122" t="s">
        <v>14305</v>
      </c>
      <c r="UDH1" s="122" t="s">
        <v>14306</v>
      </c>
      <c r="UDI1" s="122" t="s">
        <v>14307</v>
      </c>
      <c r="UDJ1" s="122" t="s">
        <v>14308</v>
      </c>
      <c r="UDK1" s="122" t="s">
        <v>14309</v>
      </c>
      <c r="UDL1" s="122" t="s">
        <v>14310</v>
      </c>
      <c r="UDM1" s="122" t="s">
        <v>14311</v>
      </c>
      <c r="UDN1" s="122" t="s">
        <v>14312</v>
      </c>
      <c r="UDO1" s="122" t="s">
        <v>14313</v>
      </c>
      <c r="UDP1" s="122" t="s">
        <v>14314</v>
      </c>
      <c r="UDQ1" s="122" t="s">
        <v>14315</v>
      </c>
      <c r="UDR1" s="122" t="s">
        <v>14316</v>
      </c>
      <c r="UDS1" s="122" t="s">
        <v>14317</v>
      </c>
      <c r="UDT1" s="122" t="s">
        <v>14318</v>
      </c>
      <c r="UDU1" s="122" t="s">
        <v>14319</v>
      </c>
      <c r="UDV1" s="122" t="s">
        <v>14320</v>
      </c>
      <c r="UDW1" s="122" t="s">
        <v>14321</v>
      </c>
      <c r="UDX1" s="122" t="s">
        <v>14322</v>
      </c>
      <c r="UDY1" s="122" t="s">
        <v>14323</v>
      </c>
      <c r="UDZ1" s="122" t="s">
        <v>14324</v>
      </c>
      <c r="UEA1" s="122" t="s">
        <v>14325</v>
      </c>
      <c r="UEB1" s="122" t="s">
        <v>14326</v>
      </c>
      <c r="UEC1" s="122" t="s">
        <v>14327</v>
      </c>
      <c r="UED1" s="122" t="s">
        <v>14328</v>
      </c>
      <c r="UEE1" s="122" t="s">
        <v>14329</v>
      </c>
      <c r="UEF1" s="122" t="s">
        <v>14330</v>
      </c>
      <c r="UEG1" s="122" t="s">
        <v>14331</v>
      </c>
      <c r="UEH1" s="122" t="s">
        <v>14332</v>
      </c>
      <c r="UEI1" s="122" t="s">
        <v>14333</v>
      </c>
      <c r="UEJ1" s="122" t="s">
        <v>14334</v>
      </c>
      <c r="UEK1" s="122" t="s">
        <v>14335</v>
      </c>
      <c r="UEL1" s="122" t="s">
        <v>14336</v>
      </c>
      <c r="UEM1" s="122" t="s">
        <v>14337</v>
      </c>
      <c r="UEN1" s="122" t="s">
        <v>14338</v>
      </c>
      <c r="UEO1" s="122" t="s">
        <v>14339</v>
      </c>
      <c r="UEP1" s="122" t="s">
        <v>14340</v>
      </c>
      <c r="UEQ1" s="122" t="s">
        <v>14341</v>
      </c>
      <c r="UER1" s="122" t="s">
        <v>14342</v>
      </c>
      <c r="UES1" s="122" t="s">
        <v>14343</v>
      </c>
      <c r="UET1" s="122" t="s">
        <v>14344</v>
      </c>
      <c r="UEU1" s="122" t="s">
        <v>14345</v>
      </c>
      <c r="UEV1" s="122" t="s">
        <v>14346</v>
      </c>
      <c r="UEW1" s="122" t="s">
        <v>14347</v>
      </c>
      <c r="UEX1" s="122" t="s">
        <v>14348</v>
      </c>
      <c r="UEY1" s="122" t="s">
        <v>14349</v>
      </c>
      <c r="UEZ1" s="122" t="s">
        <v>14350</v>
      </c>
      <c r="UFA1" s="122" t="s">
        <v>14351</v>
      </c>
      <c r="UFB1" s="122" t="s">
        <v>14352</v>
      </c>
      <c r="UFC1" s="122" t="s">
        <v>14353</v>
      </c>
      <c r="UFD1" s="122" t="s">
        <v>14354</v>
      </c>
      <c r="UFE1" s="122" t="s">
        <v>14355</v>
      </c>
      <c r="UFF1" s="122" t="s">
        <v>14356</v>
      </c>
      <c r="UFG1" s="122" t="s">
        <v>14357</v>
      </c>
      <c r="UFH1" s="122" t="s">
        <v>14358</v>
      </c>
      <c r="UFI1" s="122" t="s">
        <v>14359</v>
      </c>
      <c r="UFJ1" s="122" t="s">
        <v>14360</v>
      </c>
      <c r="UFK1" s="122" t="s">
        <v>14361</v>
      </c>
      <c r="UFL1" s="122" t="s">
        <v>14362</v>
      </c>
      <c r="UFM1" s="122" t="s">
        <v>14363</v>
      </c>
      <c r="UFN1" s="122" t="s">
        <v>14364</v>
      </c>
      <c r="UFO1" s="122" t="s">
        <v>14365</v>
      </c>
      <c r="UFP1" s="122" t="s">
        <v>14366</v>
      </c>
      <c r="UFQ1" s="122" t="s">
        <v>14367</v>
      </c>
      <c r="UFR1" s="122" t="s">
        <v>14368</v>
      </c>
      <c r="UFS1" s="122" t="s">
        <v>14369</v>
      </c>
      <c r="UFT1" s="122" t="s">
        <v>14370</v>
      </c>
      <c r="UFU1" s="122" t="s">
        <v>14371</v>
      </c>
      <c r="UFV1" s="122" t="s">
        <v>14372</v>
      </c>
      <c r="UFW1" s="122" t="s">
        <v>14373</v>
      </c>
      <c r="UFX1" s="122" t="s">
        <v>14374</v>
      </c>
      <c r="UFY1" s="122" t="s">
        <v>14375</v>
      </c>
      <c r="UFZ1" s="122" t="s">
        <v>14376</v>
      </c>
      <c r="UGA1" s="122" t="s">
        <v>14377</v>
      </c>
      <c r="UGB1" s="122" t="s">
        <v>14378</v>
      </c>
      <c r="UGC1" s="122" t="s">
        <v>14379</v>
      </c>
      <c r="UGD1" s="122" t="s">
        <v>14380</v>
      </c>
      <c r="UGE1" s="122" t="s">
        <v>14381</v>
      </c>
      <c r="UGF1" s="122" t="s">
        <v>14382</v>
      </c>
      <c r="UGG1" s="122" t="s">
        <v>14383</v>
      </c>
      <c r="UGH1" s="122" t="s">
        <v>14384</v>
      </c>
      <c r="UGI1" s="122" t="s">
        <v>14385</v>
      </c>
      <c r="UGJ1" s="122" t="s">
        <v>14386</v>
      </c>
      <c r="UGK1" s="122" t="s">
        <v>14387</v>
      </c>
      <c r="UGL1" s="122" t="s">
        <v>14388</v>
      </c>
      <c r="UGM1" s="122" t="s">
        <v>14389</v>
      </c>
      <c r="UGN1" s="122" t="s">
        <v>14390</v>
      </c>
      <c r="UGO1" s="122" t="s">
        <v>14391</v>
      </c>
      <c r="UGP1" s="122" t="s">
        <v>14392</v>
      </c>
      <c r="UGQ1" s="122" t="s">
        <v>14393</v>
      </c>
      <c r="UGR1" s="122" t="s">
        <v>14394</v>
      </c>
      <c r="UGS1" s="122" t="s">
        <v>14395</v>
      </c>
      <c r="UGT1" s="122" t="s">
        <v>14396</v>
      </c>
      <c r="UGU1" s="122" t="s">
        <v>14397</v>
      </c>
      <c r="UGV1" s="122" t="s">
        <v>14398</v>
      </c>
      <c r="UGW1" s="122" t="s">
        <v>14399</v>
      </c>
      <c r="UGX1" s="122" t="s">
        <v>14400</v>
      </c>
      <c r="UGY1" s="122" t="s">
        <v>14401</v>
      </c>
      <c r="UGZ1" s="122" t="s">
        <v>14402</v>
      </c>
      <c r="UHA1" s="122" t="s">
        <v>14403</v>
      </c>
      <c r="UHB1" s="122" t="s">
        <v>14404</v>
      </c>
      <c r="UHC1" s="122" t="s">
        <v>14405</v>
      </c>
      <c r="UHD1" s="122" t="s">
        <v>14406</v>
      </c>
      <c r="UHE1" s="122" t="s">
        <v>14407</v>
      </c>
      <c r="UHF1" s="122" t="s">
        <v>14408</v>
      </c>
      <c r="UHG1" s="122" t="s">
        <v>14409</v>
      </c>
      <c r="UHH1" s="122" t="s">
        <v>14410</v>
      </c>
      <c r="UHI1" s="122" t="s">
        <v>14411</v>
      </c>
      <c r="UHJ1" s="122" t="s">
        <v>14412</v>
      </c>
      <c r="UHK1" s="122" t="s">
        <v>14413</v>
      </c>
      <c r="UHL1" s="122" t="s">
        <v>14414</v>
      </c>
      <c r="UHM1" s="122" t="s">
        <v>14415</v>
      </c>
      <c r="UHN1" s="122" t="s">
        <v>14416</v>
      </c>
      <c r="UHO1" s="122" t="s">
        <v>14417</v>
      </c>
      <c r="UHP1" s="122" t="s">
        <v>14418</v>
      </c>
      <c r="UHQ1" s="122" t="s">
        <v>14419</v>
      </c>
      <c r="UHR1" s="122" t="s">
        <v>14420</v>
      </c>
      <c r="UHS1" s="122" t="s">
        <v>14421</v>
      </c>
      <c r="UHT1" s="122" t="s">
        <v>14422</v>
      </c>
      <c r="UHU1" s="122" t="s">
        <v>14423</v>
      </c>
      <c r="UHV1" s="122" t="s">
        <v>14424</v>
      </c>
      <c r="UHW1" s="122" t="s">
        <v>14425</v>
      </c>
      <c r="UHX1" s="122" t="s">
        <v>14426</v>
      </c>
      <c r="UHY1" s="122" t="s">
        <v>14427</v>
      </c>
      <c r="UHZ1" s="122" t="s">
        <v>14428</v>
      </c>
      <c r="UIA1" s="122" t="s">
        <v>14429</v>
      </c>
      <c r="UIB1" s="122" t="s">
        <v>14430</v>
      </c>
      <c r="UIC1" s="122" t="s">
        <v>14431</v>
      </c>
      <c r="UID1" s="122" t="s">
        <v>14432</v>
      </c>
      <c r="UIE1" s="122" t="s">
        <v>14433</v>
      </c>
      <c r="UIF1" s="122" t="s">
        <v>14434</v>
      </c>
      <c r="UIG1" s="122" t="s">
        <v>14435</v>
      </c>
      <c r="UIH1" s="122" t="s">
        <v>14436</v>
      </c>
      <c r="UII1" s="122" t="s">
        <v>14437</v>
      </c>
      <c r="UIJ1" s="122" t="s">
        <v>14438</v>
      </c>
      <c r="UIK1" s="122" t="s">
        <v>14439</v>
      </c>
      <c r="UIL1" s="122" t="s">
        <v>14440</v>
      </c>
      <c r="UIM1" s="122" t="s">
        <v>14441</v>
      </c>
      <c r="UIN1" s="122" t="s">
        <v>14442</v>
      </c>
      <c r="UIO1" s="122" t="s">
        <v>14443</v>
      </c>
      <c r="UIP1" s="122" t="s">
        <v>14444</v>
      </c>
      <c r="UIQ1" s="122" t="s">
        <v>14445</v>
      </c>
      <c r="UIR1" s="122" t="s">
        <v>14446</v>
      </c>
      <c r="UIS1" s="122" t="s">
        <v>14447</v>
      </c>
      <c r="UIT1" s="122" t="s">
        <v>14448</v>
      </c>
      <c r="UIU1" s="122" t="s">
        <v>14449</v>
      </c>
      <c r="UIV1" s="122" t="s">
        <v>14450</v>
      </c>
      <c r="UIW1" s="122" t="s">
        <v>14451</v>
      </c>
      <c r="UIX1" s="122" t="s">
        <v>14452</v>
      </c>
      <c r="UIY1" s="122" t="s">
        <v>14453</v>
      </c>
      <c r="UIZ1" s="122" t="s">
        <v>14454</v>
      </c>
      <c r="UJA1" s="122" t="s">
        <v>14455</v>
      </c>
      <c r="UJB1" s="122" t="s">
        <v>14456</v>
      </c>
      <c r="UJC1" s="122" t="s">
        <v>14457</v>
      </c>
      <c r="UJD1" s="122" t="s">
        <v>14458</v>
      </c>
      <c r="UJE1" s="122" t="s">
        <v>14459</v>
      </c>
      <c r="UJF1" s="122" t="s">
        <v>14460</v>
      </c>
      <c r="UJG1" s="122" t="s">
        <v>14461</v>
      </c>
      <c r="UJH1" s="122" t="s">
        <v>14462</v>
      </c>
      <c r="UJI1" s="122" t="s">
        <v>14463</v>
      </c>
      <c r="UJJ1" s="122" t="s">
        <v>14464</v>
      </c>
      <c r="UJK1" s="122" t="s">
        <v>14465</v>
      </c>
      <c r="UJL1" s="122" t="s">
        <v>14466</v>
      </c>
      <c r="UJM1" s="122" t="s">
        <v>14467</v>
      </c>
      <c r="UJN1" s="122" t="s">
        <v>14468</v>
      </c>
      <c r="UJO1" s="122" t="s">
        <v>14469</v>
      </c>
      <c r="UJP1" s="122" t="s">
        <v>14470</v>
      </c>
      <c r="UJQ1" s="122" t="s">
        <v>14471</v>
      </c>
      <c r="UJR1" s="122" t="s">
        <v>14472</v>
      </c>
      <c r="UJS1" s="122" t="s">
        <v>14473</v>
      </c>
      <c r="UJT1" s="122" t="s">
        <v>14474</v>
      </c>
      <c r="UJU1" s="122" t="s">
        <v>14475</v>
      </c>
      <c r="UJV1" s="122" t="s">
        <v>14476</v>
      </c>
      <c r="UJW1" s="122" t="s">
        <v>14477</v>
      </c>
      <c r="UJX1" s="122" t="s">
        <v>14478</v>
      </c>
      <c r="UJY1" s="122" t="s">
        <v>14479</v>
      </c>
      <c r="UJZ1" s="122" t="s">
        <v>14480</v>
      </c>
      <c r="UKA1" s="122" t="s">
        <v>14481</v>
      </c>
      <c r="UKB1" s="122" t="s">
        <v>14482</v>
      </c>
      <c r="UKC1" s="122" t="s">
        <v>14483</v>
      </c>
      <c r="UKD1" s="122" t="s">
        <v>14484</v>
      </c>
      <c r="UKE1" s="122" t="s">
        <v>14485</v>
      </c>
      <c r="UKF1" s="122" t="s">
        <v>14486</v>
      </c>
      <c r="UKG1" s="122" t="s">
        <v>14487</v>
      </c>
      <c r="UKH1" s="122" t="s">
        <v>14488</v>
      </c>
      <c r="UKI1" s="122" t="s">
        <v>14489</v>
      </c>
      <c r="UKJ1" s="122" t="s">
        <v>14490</v>
      </c>
      <c r="UKK1" s="122" t="s">
        <v>14491</v>
      </c>
      <c r="UKL1" s="122" t="s">
        <v>14492</v>
      </c>
      <c r="UKM1" s="122" t="s">
        <v>14493</v>
      </c>
      <c r="UKN1" s="122" t="s">
        <v>14494</v>
      </c>
      <c r="UKO1" s="122" t="s">
        <v>14495</v>
      </c>
      <c r="UKP1" s="122" t="s">
        <v>14496</v>
      </c>
      <c r="UKQ1" s="122" t="s">
        <v>14497</v>
      </c>
      <c r="UKR1" s="122" t="s">
        <v>14498</v>
      </c>
      <c r="UKS1" s="122" t="s">
        <v>14499</v>
      </c>
      <c r="UKT1" s="122" t="s">
        <v>14500</v>
      </c>
      <c r="UKU1" s="122" t="s">
        <v>14501</v>
      </c>
      <c r="UKV1" s="122" t="s">
        <v>14502</v>
      </c>
      <c r="UKW1" s="122" t="s">
        <v>14503</v>
      </c>
      <c r="UKX1" s="122" t="s">
        <v>14504</v>
      </c>
      <c r="UKY1" s="122" t="s">
        <v>14505</v>
      </c>
      <c r="UKZ1" s="122" t="s">
        <v>14506</v>
      </c>
      <c r="ULA1" s="122" t="s">
        <v>14507</v>
      </c>
      <c r="ULB1" s="122" t="s">
        <v>14508</v>
      </c>
      <c r="ULC1" s="122" t="s">
        <v>14509</v>
      </c>
      <c r="ULD1" s="122" t="s">
        <v>14510</v>
      </c>
      <c r="ULE1" s="122" t="s">
        <v>14511</v>
      </c>
      <c r="ULF1" s="122" t="s">
        <v>14512</v>
      </c>
      <c r="ULG1" s="122" t="s">
        <v>14513</v>
      </c>
      <c r="ULH1" s="122" t="s">
        <v>14514</v>
      </c>
      <c r="ULI1" s="122" t="s">
        <v>14515</v>
      </c>
      <c r="ULJ1" s="122" t="s">
        <v>14516</v>
      </c>
      <c r="ULK1" s="122" t="s">
        <v>14517</v>
      </c>
      <c r="ULL1" s="122" t="s">
        <v>14518</v>
      </c>
      <c r="ULM1" s="122" t="s">
        <v>14519</v>
      </c>
      <c r="ULN1" s="122" t="s">
        <v>14520</v>
      </c>
      <c r="ULO1" s="122" t="s">
        <v>14521</v>
      </c>
      <c r="ULP1" s="122" t="s">
        <v>14522</v>
      </c>
      <c r="ULQ1" s="122" t="s">
        <v>14523</v>
      </c>
      <c r="ULR1" s="122" t="s">
        <v>14524</v>
      </c>
      <c r="ULS1" s="122" t="s">
        <v>14525</v>
      </c>
      <c r="ULT1" s="122" t="s">
        <v>14526</v>
      </c>
      <c r="ULU1" s="122" t="s">
        <v>14527</v>
      </c>
      <c r="ULV1" s="122" t="s">
        <v>14528</v>
      </c>
      <c r="ULW1" s="122" t="s">
        <v>14529</v>
      </c>
      <c r="ULX1" s="122" t="s">
        <v>14530</v>
      </c>
      <c r="ULY1" s="122" t="s">
        <v>14531</v>
      </c>
      <c r="ULZ1" s="122" t="s">
        <v>14532</v>
      </c>
      <c r="UMA1" s="122" t="s">
        <v>14533</v>
      </c>
      <c r="UMB1" s="122" t="s">
        <v>14534</v>
      </c>
      <c r="UMC1" s="122" t="s">
        <v>14535</v>
      </c>
      <c r="UMD1" s="122" t="s">
        <v>14536</v>
      </c>
      <c r="UME1" s="122" t="s">
        <v>14537</v>
      </c>
      <c r="UMF1" s="122" t="s">
        <v>14538</v>
      </c>
      <c r="UMG1" s="122" t="s">
        <v>14539</v>
      </c>
      <c r="UMH1" s="122" t="s">
        <v>14540</v>
      </c>
      <c r="UMI1" s="122" t="s">
        <v>14541</v>
      </c>
      <c r="UMJ1" s="122" t="s">
        <v>14542</v>
      </c>
      <c r="UMK1" s="122" t="s">
        <v>14543</v>
      </c>
      <c r="UML1" s="122" t="s">
        <v>14544</v>
      </c>
      <c r="UMM1" s="122" t="s">
        <v>14545</v>
      </c>
      <c r="UMN1" s="122" t="s">
        <v>14546</v>
      </c>
      <c r="UMO1" s="122" t="s">
        <v>14547</v>
      </c>
      <c r="UMP1" s="122" t="s">
        <v>14548</v>
      </c>
      <c r="UMQ1" s="122" t="s">
        <v>14549</v>
      </c>
      <c r="UMR1" s="122" t="s">
        <v>14550</v>
      </c>
      <c r="UMS1" s="122" t="s">
        <v>14551</v>
      </c>
      <c r="UMT1" s="122" t="s">
        <v>14552</v>
      </c>
      <c r="UMU1" s="122" t="s">
        <v>14553</v>
      </c>
      <c r="UMV1" s="122" t="s">
        <v>14554</v>
      </c>
      <c r="UMW1" s="122" t="s">
        <v>14555</v>
      </c>
      <c r="UMX1" s="122" t="s">
        <v>14556</v>
      </c>
      <c r="UMY1" s="122" t="s">
        <v>14557</v>
      </c>
      <c r="UMZ1" s="122" t="s">
        <v>14558</v>
      </c>
      <c r="UNA1" s="122" t="s">
        <v>14559</v>
      </c>
      <c r="UNB1" s="122" t="s">
        <v>14560</v>
      </c>
      <c r="UNC1" s="122" t="s">
        <v>14561</v>
      </c>
      <c r="UND1" s="122" t="s">
        <v>14562</v>
      </c>
      <c r="UNE1" s="122" t="s">
        <v>14563</v>
      </c>
      <c r="UNF1" s="122" t="s">
        <v>14564</v>
      </c>
      <c r="UNG1" s="122" t="s">
        <v>14565</v>
      </c>
      <c r="UNH1" s="122" t="s">
        <v>14566</v>
      </c>
      <c r="UNI1" s="122" t="s">
        <v>14567</v>
      </c>
      <c r="UNJ1" s="122" t="s">
        <v>14568</v>
      </c>
      <c r="UNK1" s="122" t="s">
        <v>14569</v>
      </c>
      <c r="UNL1" s="122" t="s">
        <v>14570</v>
      </c>
      <c r="UNM1" s="122" t="s">
        <v>14571</v>
      </c>
      <c r="UNN1" s="122" t="s">
        <v>14572</v>
      </c>
      <c r="UNO1" s="122" t="s">
        <v>14573</v>
      </c>
      <c r="UNP1" s="122" t="s">
        <v>14574</v>
      </c>
      <c r="UNQ1" s="122" t="s">
        <v>14575</v>
      </c>
      <c r="UNR1" s="122" t="s">
        <v>14576</v>
      </c>
      <c r="UNS1" s="122" t="s">
        <v>14577</v>
      </c>
      <c r="UNT1" s="122" t="s">
        <v>14578</v>
      </c>
      <c r="UNU1" s="122" t="s">
        <v>14579</v>
      </c>
      <c r="UNV1" s="122" t="s">
        <v>14580</v>
      </c>
      <c r="UNW1" s="122" t="s">
        <v>14581</v>
      </c>
      <c r="UNX1" s="122" t="s">
        <v>14582</v>
      </c>
      <c r="UNY1" s="122" t="s">
        <v>14583</v>
      </c>
      <c r="UNZ1" s="122" t="s">
        <v>14584</v>
      </c>
      <c r="UOA1" s="122" t="s">
        <v>14585</v>
      </c>
      <c r="UOB1" s="122" t="s">
        <v>14586</v>
      </c>
      <c r="UOC1" s="122" t="s">
        <v>14587</v>
      </c>
      <c r="UOD1" s="122" t="s">
        <v>14588</v>
      </c>
      <c r="UOE1" s="122" t="s">
        <v>14589</v>
      </c>
      <c r="UOF1" s="122" t="s">
        <v>14590</v>
      </c>
      <c r="UOG1" s="122" t="s">
        <v>14591</v>
      </c>
      <c r="UOH1" s="122" t="s">
        <v>14592</v>
      </c>
      <c r="UOI1" s="122" t="s">
        <v>14593</v>
      </c>
      <c r="UOJ1" s="122" t="s">
        <v>14594</v>
      </c>
      <c r="UOK1" s="122" t="s">
        <v>14595</v>
      </c>
      <c r="UOL1" s="122" t="s">
        <v>14596</v>
      </c>
      <c r="UOM1" s="122" t="s">
        <v>14597</v>
      </c>
      <c r="UON1" s="122" t="s">
        <v>14598</v>
      </c>
      <c r="UOO1" s="122" t="s">
        <v>14599</v>
      </c>
      <c r="UOP1" s="122" t="s">
        <v>14600</v>
      </c>
      <c r="UOQ1" s="122" t="s">
        <v>14601</v>
      </c>
      <c r="UOR1" s="122" t="s">
        <v>14602</v>
      </c>
      <c r="UOS1" s="122" t="s">
        <v>14603</v>
      </c>
      <c r="UOT1" s="122" t="s">
        <v>14604</v>
      </c>
      <c r="UOU1" s="122" t="s">
        <v>14605</v>
      </c>
      <c r="UOV1" s="122" t="s">
        <v>14606</v>
      </c>
      <c r="UOW1" s="122" t="s">
        <v>14607</v>
      </c>
      <c r="UOX1" s="122" t="s">
        <v>14608</v>
      </c>
      <c r="UOY1" s="122" t="s">
        <v>14609</v>
      </c>
      <c r="UOZ1" s="122" t="s">
        <v>14610</v>
      </c>
      <c r="UPA1" s="122" t="s">
        <v>14611</v>
      </c>
      <c r="UPB1" s="122" t="s">
        <v>14612</v>
      </c>
      <c r="UPC1" s="122" t="s">
        <v>14613</v>
      </c>
      <c r="UPD1" s="122" t="s">
        <v>14614</v>
      </c>
      <c r="UPE1" s="122" t="s">
        <v>14615</v>
      </c>
      <c r="UPF1" s="122" t="s">
        <v>14616</v>
      </c>
      <c r="UPG1" s="122" t="s">
        <v>14617</v>
      </c>
      <c r="UPH1" s="122" t="s">
        <v>14618</v>
      </c>
      <c r="UPI1" s="122" t="s">
        <v>14619</v>
      </c>
      <c r="UPJ1" s="122" t="s">
        <v>14620</v>
      </c>
      <c r="UPK1" s="122" t="s">
        <v>14621</v>
      </c>
      <c r="UPL1" s="122" t="s">
        <v>14622</v>
      </c>
      <c r="UPM1" s="122" t="s">
        <v>14623</v>
      </c>
      <c r="UPN1" s="122" t="s">
        <v>14624</v>
      </c>
      <c r="UPO1" s="122" t="s">
        <v>14625</v>
      </c>
      <c r="UPP1" s="122" t="s">
        <v>14626</v>
      </c>
      <c r="UPQ1" s="122" t="s">
        <v>14627</v>
      </c>
      <c r="UPR1" s="122" t="s">
        <v>14628</v>
      </c>
      <c r="UPS1" s="122" t="s">
        <v>14629</v>
      </c>
      <c r="UPT1" s="122" t="s">
        <v>14630</v>
      </c>
      <c r="UPU1" s="122" t="s">
        <v>14631</v>
      </c>
      <c r="UPV1" s="122" t="s">
        <v>14632</v>
      </c>
      <c r="UPW1" s="122" t="s">
        <v>14633</v>
      </c>
      <c r="UPX1" s="122" t="s">
        <v>14634</v>
      </c>
      <c r="UPY1" s="122" t="s">
        <v>14635</v>
      </c>
      <c r="UPZ1" s="122" t="s">
        <v>14636</v>
      </c>
      <c r="UQA1" s="122" t="s">
        <v>14637</v>
      </c>
      <c r="UQB1" s="122" t="s">
        <v>14638</v>
      </c>
      <c r="UQC1" s="122" t="s">
        <v>14639</v>
      </c>
      <c r="UQD1" s="122" t="s">
        <v>14640</v>
      </c>
      <c r="UQE1" s="122" t="s">
        <v>14641</v>
      </c>
      <c r="UQF1" s="122" t="s">
        <v>14642</v>
      </c>
      <c r="UQG1" s="122" t="s">
        <v>14643</v>
      </c>
      <c r="UQH1" s="122" t="s">
        <v>14644</v>
      </c>
      <c r="UQI1" s="122" t="s">
        <v>14645</v>
      </c>
      <c r="UQJ1" s="122" t="s">
        <v>14646</v>
      </c>
      <c r="UQK1" s="122" t="s">
        <v>14647</v>
      </c>
      <c r="UQL1" s="122" t="s">
        <v>14648</v>
      </c>
      <c r="UQM1" s="122" t="s">
        <v>14649</v>
      </c>
      <c r="UQN1" s="122" t="s">
        <v>14650</v>
      </c>
      <c r="UQO1" s="122" t="s">
        <v>14651</v>
      </c>
      <c r="UQP1" s="122" t="s">
        <v>14652</v>
      </c>
      <c r="UQQ1" s="122" t="s">
        <v>14653</v>
      </c>
      <c r="UQR1" s="122" t="s">
        <v>14654</v>
      </c>
      <c r="UQS1" s="122" t="s">
        <v>14655</v>
      </c>
      <c r="UQT1" s="122" t="s">
        <v>14656</v>
      </c>
      <c r="UQU1" s="122" t="s">
        <v>14657</v>
      </c>
      <c r="UQV1" s="122" t="s">
        <v>14658</v>
      </c>
      <c r="UQW1" s="122" t="s">
        <v>14659</v>
      </c>
      <c r="UQX1" s="122" t="s">
        <v>14660</v>
      </c>
      <c r="UQY1" s="122" t="s">
        <v>14661</v>
      </c>
      <c r="UQZ1" s="122" t="s">
        <v>14662</v>
      </c>
      <c r="URA1" s="122" t="s">
        <v>14663</v>
      </c>
      <c r="URB1" s="122" t="s">
        <v>14664</v>
      </c>
      <c r="URC1" s="122" t="s">
        <v>14665</v>
      </c>
      <c r="URD1" s="122" t="s">
        <v>14666</v>
      </c>
      <c r="URE1" s="122" t="s">
        <v>14667</v>
      </c>
      <c r="URF1" s="122" t="s">
        <v>14668</v>
      </c>
      <c r="URG1" s="122" t="s">
        <v>14669</v>
      </c>
      <c r="URH1" s="122" t="s">
        <v>14670</v>
      </c>
      <c r="URI1" s="122" t="s">
        <v>14671</v>
      </c>
      <c r="URJ1" s="122" t="s">
        <v>14672</v>
      </c>
      <c r="URK1" s="122" t="s">
        <v>14673</v>
      </c>
      <c r="URL1" s="122" t="s">
        <v>14674</v>
      </c>
      <c r="URM1" s="122" t="s">
        <v>14675</v>
      </c>
      <c r="URN1" s="122" t="s">
        <v>14676</v>
      </c>
      <c r="URO1" s="122" t="s">
        <v>14677</v>
      </c>
      <c r="URP1" s="122" t="s">
        <v>14678</v>
      </c>
      <c r="URQ1" s="122" t="s">
        <v>14679</v>
      </c>
      <c r="URR1" s="122" t="s">
        <v>14680</v>
      </c>
      <c r="URS1" s="122" t="s">
        <v>14681</v>
      </c>
      <c r="URT1" s="122" t="s">
        <v>14682</v>
      </c>
      <c r="URU1" s="122" t="s">
        <v>14683</v>
      </c>
      <c r="URV1" s="122" t="s">
        <v>14684</v>
      </c>
      <c r="URW1" s="122" t="s">
        <v>14685</v>
      </c>
      <c r="URX1" s="122" t="s">
        <v>14686</v>
      </c>
      <c r="URY1" s="122" t="s">
        <v>14687</v>
      </c>
      <c r="URZ1" s="122" t="s">
        <v>14688</v>
      </c>
      <c r="USA1" s="122" t="s">
        <v>14689</v>
      </c>
      <c r="USB1" s="122" t="s">
        <v>14690</v>
      </c>
      <c r="USC1" s="122" t="s">
        <v>14691</v>
      </c>
      <c r="USD1" s="122" t="s">
        <v>14692</v>
      </c>
      <c r="USE1" s="122" t="s">
        <v>14693</v>
      </c>
      <c r="USF1" s="122" t="s">
        <v>14694</v>
      </c>
      <c r="USG1" s="122" t="s">
        <v>14695</v>
      </c>
      <c r="USH1" s="122" t="s">
        <v>14696</v>
      </c>
      <c r="USI1" s="122" t="s">
        <v>14697</v>
      </c>
      <c r="USJ1" s="122" t="s">
        <v>14698</v>
      </c>
      <c r="USK1" s="122" t="s">
        <v>14699</v>
      </c>
      <c r="USL1" s="122" t="s">
        <v>14700</v>
      </c>
      <c r="USM1" s="122" t="s">
        <v>14701</v>
      </c>
      <c r="USN1" s="122" t="s">
        <v>14702</v>
      </c>
      <c r="USO1" s="122" t="s">
        <v>14703</v>
      </c>
      <c r="USP1" s="122" t="s">
        <v>14704</v>
      </c>
      <c r="USQ1" s="122" t="s">
        <v>14705</v>
      </c>
      <c r="USR1" s="122" t="s">
        <v>14706</v>
      </c>
      <c r="USS1" s="122" t="s">
        <v>14707</v>
      </c>
      <c r="UST1" s="122" t="s">
        <v>14708</v>
      </c>
      <c r="USU1" s="122" t="s">
        <v>14709</v>
      </c>
      <c r="USV1" s="122" t="s">
        <v>14710</v>
      </c>
      <c r="USW1" s="122" t="s">
        <v>14711</v>
      </c>
      <c r="USX1" s="122" t="s">
        <v>14712</v>
      </c>
      <c r="USY1" s="122" t="s">
        <v>14713</v>
      </c>
      <c r="USZ1" s="122" t="s">
        <v>14714</v>
      </c>
      <c r="UTA1" s="122" t="s">
        <v>14715</v>
      </c>
      <c r="UTB1" s="122" t="s">
        <v>14716</v>
      </c>
      <c r="UTC1" s="122" t="s">
        <v>14717</v>
      </c>
      <c r="UTD1" s="122" t="s">
        <v>14718</v>
      </c>
      <c r="UTE1" s="122" t="s">
        <v>14719</v>
      </c>
      <c r="UTF1" s="122" t="s">
        <v>14720</v>
      </c>
      <c r="UTG1" s="122" t="s">
        <v>14721</v>
      </c>
      <c r="UTH1" s="122" t="s">
        <v>14722</v>
      </c>
      <c r="UTI1" s="122" t="s">
        <v>14723</v>
      </c>
      <c r="UTJ1" s="122" t="s">
        <v>14724</v>
      </c>
      <c r="UTK1" s="122" t="s">
        <v>14725</v>
      </c>
      <c r="UTL1" s="122" t="s">
        <v>14726</v>
      </c>
      <c r="UTM1" s="122" t="s">
        <v>14727</v>
      </c>
      <c r="UTN1" s="122" t="s">
        <v>14728</v>
      </c>
      <c r="UTO1" s="122" t="s">
        <v>14729</v>
      </c>
      <c r="UTP1" s="122" t="s">
        <v>14730</v>
      </c>
      <c r="UTQ1" s="122" t="s">
        <v>14731</v>
      </c>
      <c r="UTR1" s="122" t="s">
        <v>14732</v>
      </c>
      <c r="UTS1" s="122" t="s">
        <v>14733</v>
      </c>
      <c r="UTT1" s="122" t="s">
        <v>14734</v>
      </c>
      <c r="UTU1" s="122" t="s">
        <v>14735</v>
      </c>
      <c r="UTV1" s="122" t="s">
        <v>14736</v>
      </c>
      <c r="UTW1" s="122" t="s">
        <v>14737</v>
      </c>
      <c r="UTX1" s="122" t="s">
        <v>14738</v>
      </c>
      <c r="UTY1" s="122" t="s">
        <v>14739</v>
      </c>
      <c r="UTZ1" s="122" t="s">
        <v>14740</v>
      </c>
      <c r="UUA1" s="122" t="s">
        <v>14741</v>
      </c>
      <c r="UUB1" s="122" t="s">
        <v>14742</v>
      </c>
      <c r="UUC1" s="122" t="s">
        <v>14743</v>
      </c>
      <c r="UUD1" s="122" t="s">
        <v>14744</v>
      </c>
      <c r="UUE1" s="122" t="s">
        <v>14745</v>
      </c>
      <c r="UUF1" s="122" t="s">
        <v>14746</v>
      </c>
      <c r="UUG1" s="122" t="s">
        <v>14747</v>
      </c>
      <c r="UUH1" s="122" t="s">
        <v>14748</v>
      </c>
      <c r="UUI1" s="122" t="s">
        <v>14749</v>
      </c>
      <c r="UUJ1" s="122" t="s">
        <v>14750</v>
      </c>
      <c r="UUK1" s="122" t="s">
        <v>14751</v>
      </c>
      <c r="UUL1" s="122" t="s">
        <v>14752</v>
      </c>
      <c r="UUM1" s="122" t="s">
        <v>14753</v>
      </c>
      <c r="UUN1" s="122" t="s">
        <v>14754</v>
      </c>
      <c r="UUO1" s="122" t="s">
        <v>14755</v>
      </c>
      <c r="UUP1" s="122" t="s">
        <v>14756</v>
      </c>
      <c r="UUQ1" s="122" t="s">
        <v>14757</v>
      </c>
      <c r="UUR1" s="122" t="s">
        <v>14758</v>
      </c>
      <c r="UUS1" s="122" t="s">
        <v>14759</v>
      </c>
      <c r="UUT1" s="122" t="s">
        <v>14760</v>
      </c>
      <c r="UUU1" s="122" t="s">
        <v>14761</v>
      </c>
      <c r="UUV1" s="122" t="s">
        <v>14762</v>
      </c>
      <c r="UUW1" s="122" t="s">
        <v>14763</v>
      </c>
      <c r="UUX1" s="122" t="s">
        <v>14764</v>
      </c>
      <c r="UUY1" s="122" t="s">
        <v>14765</v>
      </c>
      <c r="UUZ1" s="122" t="s">
        <v>14766</v>
      </c>
      <c r="UVA1" s="122" t="s">
        <v>14767</v>
      </c>
      <c r="UVB1" s="122" t="s">
        <v>14768</v>
      </c>
      <c r="UVC1" s="122" t="s">
        <v>14769</v>
      </c>
      <c r="UVD1" s="122" t="s">
        <v>14770</v>
      </c>
      <c r="UVE1" s="122" t="s">
        <v>14771</v>
      </c>
      <c r="UVF1" s="122" t="s">
        <v>14772</v>
      </c>
      <c r="UVG1" s="122" t="s">
        <v>14773</v>
      </c>
      <c r="UVH1" s="122" t="s">
        <v>14774</v>
      </c>
      <c r="UVI1" s="122" t="s">
        <v>14775</v>
      </c>
      <c r="UVJ1" s="122" t="s">
        <v>14776</v>
      </c>
      <c r="UVK1" s="122" t="s">
        <v>14777</v>
      </c>
      <c r="UVL1" s="122" t="s">
        <v>14778</v>
      </c>
      <c r="UVM1" s="122" t="s">
        <v>14779</v>
      </c>
      <c r="UVN1" s="122" t="s">
        <v>14780</v>
      </c>
      <c r="UVO1" s="122" t="s">
        <v>14781</v>
      </c>
      <c r="UVP1" s="122" t="s">
        <v>14782</v>
      </c>
      <c r="UVQ1" s="122" t="s">
        <v>14783</v>
      </c>
      <c r="UVR1" s="122" t="s">
        <v>14784</v>
      </c>
      <c r="UVS1" s="122" t="s">
        <v>14785</v>
      </c>
      <c r="UVT1" s="122" t="s">
        <v>14786</v>
      </c>
      <c r="UVU1" s="122" t="s">
        <v>14787</v>
      </c>
      <c r="UVV1" s="122" t="s">
        <v>14788</v>
      </c>
      <c r="UVW1" s="122" t="s">
        <v>14789</v>
      </c>
      <c r="UVX1" s="122" t="s">
        <v>14790</v>
      </c>
      <c r="UVY1" s="122" t="s">
        <v>14791</v>
      </c>
      <c r="UVZ1" s="122" t="s">
        <v>14792</v>
      </c>
      <c r="UWA1" s="122" t="s">
        <v>14793</v>
      </c>
      <c r="UWB1" s="122" t="s">
        <v>14794</v>
      </c>
      <c r="UWC1" s="122" t="s">
        <v>14795</v>
      </c>
      <c r="UWD1" s="122" t="s">
        <v>14796</v>
      </c>
      <c r="UWE1" s="122" t="s">
        <v>14797</v>
      </c>
      <c r="UWF1" s="122" t="s">
        <v>14798</v>
      </c>
      <c r="UWG1" s="122" t="s">
        <v>14799</v>
      </c>
      <c r="UWH1" s="122" t="s">
        <v>14800</v>
      </c>
      <c r="UWI1" s="122" t="s">
        <v>14801</v>
      </c>
      <c r="UWJ1" s="122" t="s">
        <v>14802</v>
      </c>
      <c r="UWK1" s="122" t="s">
        <v>14803</v>
      </c>
      <c r="UWL1" s="122" t="s">
        <v>14804</v>
      </c>
      <c r="UWM1" s="122" t="s">
        <v>14805</v>
      </c>
      <c r="UWN1" s="122" t="s">
        <v>14806</v>
      </c>
      <c r="UWO1" s="122" t="s">
        <v>14807</v>
      </c>
      <c r="UWP1" s="122" t="s">
        <v>14808</v>
      </c>
      <c r="UWQ1" s="122" t="s">
        <v>14809</v>
      </c>
      <c r="UWR1" s="122" t="s">
        <v>14810</v>
      </c>
      <c r="UWS1" s="122" t="s">
        <v>14811</v>
      </c>
      <c r="UWT1" s="122" t="s">
        <v>14812</v>
      </c>
      <c r="UWU1" s="122" t="s">
        <v>14813</v>
      </c>
      <c r="UWV1" s="122" t="s">
        <v>14814</v>
      </c>
      <c r="UWW1" s="122" t="s">
        <v>14815</v>
      </c>
      <c r="UWX1" s="122" t="s">
        <v>14816</v>
      </c>
      <c r="UWY1" s="122" t="s">
        <v>14817</v>
      </c>
      <c r="UWZ1" s="122" t="s">
        <v>14818</v>
      </c>
      <c r="UXA1" s="122" t="s">
        <v>14819</v>
      </c>
      <c r="UXB1" s="122" t="s">
        <v>14820</v>
      </c>
      <c r="UXC1" s="122" t="s">
        <v>14821</v>
      </c>
      <c r="UXD1" s="122" t="s">
        <v>14822</v>
      </c>
      <c r="UXE1" s="122" t="s">
        <v>14823</v>
      </c>
      <c r="UXF1" s="122" t="s">
        <v>14824</v>
      </c>
      <c r="UXG1" s="122" t="s">
        <v>14825</v>
      </c>
      <c r="UXH1" s="122" t="s">
        <v>14826</v>
      </c>
      <c r="UXI1" s="122" t="s">
        <v>14827</v>
      </c>
      <c r="UXJ1" s="122" t="s">
        <v>14828</v>
      </c>
      <c r="UXK1" s="122" t="s">
        <v>14829</v>
      </c>
      <c r="UXL1" s="122" t="s">
        <v>14830</v>
      </c>
      <c r="UXM1" s="122" t="s">
        <v>14831</v>
      </c>
      <c r="UXN1" s="122" t="s">
        <v>14832</v>
      </c>
      <c r="UXO1" s="122" t="s">
        <v>14833</v>
      </c>
      <c r="UXP1" s="122" t="s">
        <v>14834</v>
      </c>
      <c r="UXQ1" s="122" t="s">
        <v>14835</v>
      </c>
      <c r="UXR1" s="122" t="s">
        <v>14836</v>
      </c>
      <c r="UXS1" s="122" t="s">
        <v>14837</v>
      </c>
      <c r="UXT1" s="122" t="s">
        <v>14838</v>
      </c>
      <c r="UXU1" s="122" t="s">
        <v>14839</v>
      </c>
      <c r="UXV1" s="122" t="s">
        <v>14840</v>
      </c>
      <c r="UXW1" s="122" t="s">
        <v>14841</v>
      </c>
      <c r="UXX1" s="122" t="s">
        <v>14842</v>
      </c>
      <c r="UXY1" s="122" t="s">
        <v>14843</v>
      </c>
      <c r="UXZ1" s="122" t="s">
        <v>14844</v>
      </c>
      <c r="UYA1" s="122" t="s">
        <v>14845</v>
      </c>
      <c r="UYB1" s="122" t="s">
        <v>14846</v>
      </c>
      <c r="UYC1" s="122" t="s">
        <v>14847</v>
      </c>
      <c r="UYD1" s="122" t="s">
        <v>14848</v>
      </c>
      <c r="UYE1" s="122" t="s">
        <v>14849</v>
      </c>
      <c r="UYF1" s="122" t="s">
        <v>14850</v>
      </c>
      <c r="UYG1" s="122" t="s">
        <v>14851</v>
      </c>
      <c r="UYH1" s="122" t="s">
        <v>14852</v>
      </c>
      <c r="UYI1" s="122" t="s">
        <v>14853</v>
      </c>
      <c r="UYJ1" s="122" t="s">
        <v>14854</v>
      </c>
      <c r="UYK1" s="122" t="s">
        <v>14855</v>
      </c>
      <c r="UYL1" s="122" t="s">
        <v>14856</v>
      </c>
      <c r="UYM1" s="122" t="s">
        <v>14857</v>
      </c>
      <c r="UYN1" s="122" t="s">
        <v>14858</v>
      </c>
      <c r="UYO1" s="122" t="s">
        <v>14859</v>
      </c>
      <c r="UYP1" s="122" t="s">
        <v>14860</v>
      </c>
      <c r="UYQ1" s="122" t="s">
        <v>14861</v>
      </c>
      <c r="UYR1" s="122" t="s">
        <v>14862</v>
      </c>
      <c r="UYS1" s="122" t="s">
        <v>14863</v>
      </c>
      <c r="UYT1" s="122" t="s">
        <v>14864</v>
      </c>
      <c r="UYU1" s="122" t="s">
        <v>14865</v>
      </c>
      <c r="UYV1" s="122" t="s">
        <v>14866</v>
      </c>
      <c r="UYW1" s="122" t="s">
        <v>14867</v>
      </c>
      <c r="UYX1" s="122" t="s">
        <v>14868</v>
      </c>
      <c r="UYY1" s="122" t="s">
        <v>14869</v>
      </c>
      <c r="UYZ1" s="122" t="s">
        <v>14870</v>
      </c>
      <c r="UZA1" s="122" t="s">
        <v>14871</v>
      </c>
      <c r="UZB1" s="122" t="s">
        <v>14872</v>
      </c>
      <c r="UZC1" s="122" t="s">
        <v>14873</v>
      </c>
      <c r="UZD1" s="122" t="s">
        <v>14874</v>
      </c>
      <c r="UZE1" s="122" t="s">
        <v>14875</v>
      </c>
      <c r="UZF1" s="122" t="s">
        <v>14876</v>
      </c>
      <c r="UZG1" s="122" t="s">
        <v>14877</v>
      </c>
      <c r="UZH1" s="122" t="s">
        <v>14878</v>
      </c>
      <c r="UZI1" s="122" t="s">
        <v>14879</v>
      </c>
      <c r="UZJ1" s="122" t="s">
        <v>14880</v>
      </c>
      <c r="UZK1" s="122" t="s">
        <v>14881</v>
      </c>
      <c r="UZL1" s="122" t="s">
        <v>14882</v>
      </c>
      <c r="UZM1" s="122" t="s">
        <v>14883</v>
      </c>
      <c r="UZN1" s="122" t="s">
        <v>14884</v>
      </c>
      <c r="UZO1" s="122" t="s">
        <v>14885</v>
      </c>
      <c r="UZP1" s="122" t="s">
        <v>14886</v>
      </c>
      <c r="UZQ1" s="122" t="s">
        <v>14887</v>
      </c>
      <c r="UZR1" s="122" t="s">
        <v>14888</v>
      </c>
      <c r="UZS1" s="122" t="s">
        <v>14889</v>
      </c>
      <c r="UZT1" s="122" t="s">
        <v>14890</v>
      </c>
      <c r="UZU1" s="122" t="s">
        <v>14891</v>
      </c>
      <c r="UZV1" s="122" t="s">
        <v>14892</v>
      </c>
      <c r="UZW1" s="122" t="s">
        <v>14893</v>
      </c>
      <c r="UZX1" s="122" t="s">
        <v>14894</v>
      </c>
      <c r="UZY1" s="122" t="s">
        <v>14895</v>
      </c>
      <c r="UZZ1" s="122" t="s">
        <v>14896</v>
      </c>
      <c r="VAA1" s="122" t="s">
        <v>14897</v>
      </c>
      <c r="VAB1" s="122" t="s">
        <v>14898</v>
      </c>
      <c r="VAC1" s="122" t="s">
        <v>14899</v>
      </c>
      <c r="VAD1" s="122" t="s">
        <v>14900</v>
      </c>
      <c r="VAE1" s="122" t="s">
        <v>14901</v>
      </c>
      <c r="VAF1" s="122" t="s">
        <v>14902</v>
      </c>
      <c r="VAG1" s="122" t="s">
        <v>14903</v>
      </c>
      <c r="VAH1" s="122" t="s">
        <v>14904</v>
      </c>
      <c r="VAI1" s="122" t="s">
        <v>14905</v>
      </c>
      <c r="VAJ1" s="122" t="s">
        <v>14906</v>
      </c>
      <c r="VAK1" s="122" t="s">
        <v>14907</v>
      </c>
      <c r="VAL1" s="122" t="s">
        <v>14908</v>
      </c>
      <c r="VAM1" s="122" t="s">
        <v>14909</v>
      </c>
      <c r="VAN1" s="122" t="s">
        <v>14910</v>
      </c>
      <c r="VAO1" s="122" t="s">
        <v>14911</v>
      </c>
      <c r="VAP1" s="122" t="s">
        <v>14912</v>
      </c>
      <c r="VAQ1" s="122" t="s">
        <v>14913</v>
      </c>
      <c r="VAR1" s="122" t="s">
        <v>14914</v>
      </c>
      <c r="VAS1" s="122" t="s">
        <v>14915</v>
      </c>
      <c r="VAT1" s="122" t="s">
        <v>14916</v>
      </c>
      <c r="VAU1" s="122" t="s">
        <v>14917</v>
      </c>
      <c r="VAV1" s="122" t="s">
        <v>14918</v>
      </c>
      <c r="VAW1" s="122" t="s">
        <v>14919</v>
      </c>
      <c r="VAX1" s="122" t="s">
        <v>14920</v>
      </c>
      <c r="VAY1" s="122" t="s">
        <v>14921</v>
      </c>
      <c r="VAZ1" s="122" t="s">
        <v>14922</v>
      </c>
      <c r="VBA1" s="122" t="s">
        <v>14923</v>
      </c>
      <c r="VBB1" s="122" t="s">
        <v>14924</v>
      </c>
      <c r="VBC1" s="122" t="s">
        <v>14925</v>
      </c>
      <c r="VBD1" s="122" t="s">
        <v>14926</v>
      </c>
      <c r="VBE1" s="122" t="s">
        <v>14927</v>
      </c>
      <c r="VBF1" s="122" t="s">
        <v>14928</v>
      </c>
      <c r="VBG1" s="122" t="s">
        <v>14929</v>
      </c>
      <c r="VBH1" s="122" t="s">
        <v>14930</v>
      </c>
      <c r="VBI1" s="122" t="s">
        <v>14931</v>
      </c>
      <c r="VBJ1" s="122" t="s">
        <v>14932</v>
      </c>
      <c r="VBK1" s="122" t="s">
        <v>14933</v>
      </c>
      <c r="VBL1" s="122" t="s">
        <v>14934</v>
      </c>
      <c r="VBM1" s="122" t="s">
        <v>14935</v>
      </c>
      <c r="VBN1" s="122" t="s">
        <v>14936</v>
      </c>
      <c r="VBO1" s="122" t="s">
        <v>14937</v>
      </c>
      <c r="VBP1" s="122" t="s">
        <v>14938</v>
      </c>
      <c r="VBQ1" s="122" t="s">
        <v>14939</v>
      </c>
      <c r="VBR1" s="122" t="s">
        <v>14940</v>
      </c>
      <c r="VBS1" s="122" t="s">
        <v>14941</v>
      </c>
      <c r="VBT1" s="122" t="s">
        <v>14942</v>
      </c>
      <c r="VBU1" s="122" t="s">
        <v>14943</v>
      </c>
      <c r="VBV1" s="122" t="s">
        <v>14944</v>
      </c>
      <c r="VBW1" s="122" t="s">
        <v>14945</v>
      </c>
      <c r="VBX1" s="122" t="s">
        <v>14946</v>
      </c>
      <c r="VBY1" s="122" t="s">
        <v>14947</v>
      </c>
      <c r="VBZ1" s="122" t="s">
        <v>14948</v>
      </c>
      <c r="VCA1" s="122" t="s">
        <v>14949</v>
      </c>
      <c r="VCB1" s="122" t="s">
        <v>14950</v>
      </c>
      <c r="VCC1" s="122" t="s">
        <v>14951</v>
      </c>
      <c r="VCD1" s="122" t="s">
        <v>14952</v>
      </c>
      <c r="VCE1" s="122" t="s">
        <v>14953</v>
      </c>
      <c r="VCF1" s="122" t="s">
        <v>14954</v>
      </c>
      <c r="VCG1" s="122" t="s">
        <v>14955</v>
      </c>
      <c r="VCH1" s="122" t="s">
        <v>14956</v>
      </c>
      <c r="VCI1" s="122" t="s">
        <v>14957</v>
      </c>
      <c r="VCJ1" s="122" t="s">
        <v>14958</v>
      </c>
      <c r="VCK1" s="122" t="s">
        <v>14959</v>
      </c>
      <c r="VCL1" s="122" t="s">
        <v>14960</v>
      </c>
      <c r="VCM1" s="122" t="s">
        <v>14961</v>
      </c>
      <c r="VCN1" s="122" t="s">
        <v>14962</v>
      </c>
      <c r="VCO1" s="122" t="s">
        <v>14963</v>
      </c>
      <c r="VCP1" s="122" t="s">
        <v>14964</v>
      </c>
      <c r="VCQ1" s="122" t="s">
        <v>14965</v>
      </c>
      <c r="VCR1" s="122" t="s">
        <v>14966</v>
      </c>
      <c r="VCS1" s="122" t="s">
        <v>14967</v>
      </c>
      <c r="VCT1" s="122" t="s">
        <v>14968</v>
      </c>
      <c r="VCU1" s="122" t="s">
        <v>14969</v>
      </c>
      <c r="VCV1" s="122" t="s">
        <v>14970</v>
      </c>
      <c r="VCW1" s="122" t="s">
        <v>14971</v>
      </c>
      <c r="VCX1" s="122" t="s">
        <v>14972</v>
      </c>
      <c r="VCY1" s="122" t="s">
        <v>14973</v>
      </c>
      <c r="VCZ1" s="122" t="s">
        <v>14974</v>
      </c>
      <c r="VDA1" s="122" t="s">
        <v>14975</v>
      </c>
      <c r="VDB1" s="122" t="s">
        <v>14976</v>
      </c>
      <c r="VDC1" s="122" t="s">
        <v>14977</v>
      </c>
      <c r="VDD1" s="122" t="s">
        <v>14978</v>
      </c>
      <c r="VDE1" s="122" t="s">
        <v>14979</v>
      </c>
      <c r="VDF1" s="122" t="s">
        <v>14980</v>
      </c>
      <c r="VDG1" s="122" t="s">
        <v>14981</v>
      </c>
      <c r="VDH1" s="122" t="s">
        <v>14982</v>
      </c>
      <c r="VDI1" s="122" t="s">
        <v>14983</v>
      </c>
      <c r="VDJ1" s="122" t="s">
        <v>14984</v>
      </c>
      <c r="VDK1" s="122" t="s">
        <v>14985</v>
      </c>
      <c r="VDL1" s="122" t="s">
        <v>14986</v>
      </c>
      <c r="VDM1" s="122" t="s">
        <v>14987</v>
      </c>
      <c r="VDN1" s="122" t="s">
        <v>14988</v>
      </c>
      <c r="VDO1" s="122" t="s">
        <v>14989</v>
      </c>
      <c r="VDP1" s="122" t="s">
        <v>14990</v>
      </c>
      <c r="VDQ1" s="122" t="s">
        <v>14991</v>
      </c>
      <c r="VDR1" s="122" t="s">
        <v>14992</v>
      </c>
      <c r="VDS1" s="122" t="s">
        <v>14993</v>
      </c>
      <c r="VDT1" s="122" t="s">
        <v>14994</v>
      </c>
      <c r="VDU1" s="122" t="s">
        <v>14995</v>
      </c>
      <c r="VDV1" s="122" t="s">
        <v>14996</v>
      </c>
      <c r="VDW1" s="122" t="s">
        <v>14997</v>
      </c>
      <c r="VDX1" s="122" t="s">
        <v>14998</v>
      </c>
      <c r="VDY1" s="122" t="s">
        <v>14999</v>
      </c>
      <c r="VDZ1" s="122" t="s">
        <v>15000</v>
      </c>
      <c r="VEA1" s="122" t="s">
        <v>15001</v>
      </c>
      <c r="VEB1" s="122" t="s">
        <v>15002</v>
      </c>
      <c r="VEC1" s="122" t="s">
        <v>15003</v>
      </c>
      <c r="VED1" s="122" t="s">
        <v>15004</v>
      </c>
      <c r="VEE1" s="122" t="s">
        <v>15005</v>
      </c>
      <c r="VEF1" s="122" t="s">
        <v>15006</v>
      </c>
      <c r="VEG1" s="122" t="s">
        <v>15007</v>
      </c>
      <c r="VEH1" s="122" t="s">
        <v>15008</v>
      </c>
      <c r="VEI1" s="122" t="s">
        <v>15009</v>
      </c>
      <c r="VEJ1" s="122" t="s">
        <v>15010</v>
      </c>
      <c r="VEK1" s="122" t="s">
        <v>15011</v>
      </c>
      <c r="VEL1" s="122" t="s">
        <v>15012</v>
      </c>
      <c r="VEM1" s="122" t="s">
        <v>15013</v>
      </c>
      <c r="VEN1" s="122" t="s">
        <v>15014</v>
      </c>
      <c r="VEO1" s="122" t="s">
        <v>15015</v>
      </c>
      <c r="VEP1" s="122" t="s">
        <v>15016</v>
      </c>
      <c r="VEQ1" s="122" t="s">
        <v>15017</v>
      </c>
      <c r="VER1" s="122" t="s">
        <v>15018</v>
      </c>
      <c r="VES1" s="122" t="s">
        <v>15019</v>
      </c>
      <c r="VET1" s="122" t="s">
        <v>15020</v>
      </c>
      <c r="VEU1" s="122" t="s">
        <v>15021</v>
      </c>
      <c r="VEV1" s="122" t="s">
        <v>15022</v>
      </c>
      <c r="VEW1" s="122" t="s">
        <v>15023</v>
      </c>
      <c r="VEX1" s="122" t="s">
        <v>15024</v>
      </c>
      <c r="VEY1" s="122" t="s">
        <v>15025</v>
      </c>
      <c r="VEZ1" s="122" t="s">
        <v>15026</v>
      </c>
      <c r="VFA1" s="122" t="s">
        <v>15027</v>
      </c>
      <c r="VFB1" s="122" t="s">
        <v>15028</v>
      </c>
      <c r="VFC1" s="122" t="s">
        <v>15029</v>
      </c>
      <c r="VFD1" s="122" t="s">
        <v>15030</v>
      </c>
      <c r="VFE1" s="122" t="s">
        <v>15031</v>
      </c>
      <c r="VFF1" s="122" t="s">
        <v>15032</v>
      </c>
      <c r="VFG1" s="122" t="s">
        <v>15033</v>
      </c>
      <c r="VFH1" s="122" t="s">
        <v>15034</v>
      </c>
      <c r="VFI1" s="122" t="s">
        <v>15035</v>
      </c>
      <c r="VFJ1" s="122" t="s">
        <v>15036</v>
      </c>
      <c r="VFK1" s="122" t="s">
        <v>15037</v>
      </c>
      <c r="VFL1" s="122" t="s">
        <v>15038</v>
      </c>
      <c r="VFM1" s="122" t="s">
        <v>15039</v>
      </c>
      <c r="VFN1" s="122" t="s">
        <v>15040</v>
      </c>
      <c r="VFO1" s="122" t="s">
        <v>15041</v>
      </c>
      <c r="VFP1" s="122" t="s">
        <v>15042</v>
      </c>
      <c r="VFQ1" s="122" t="s">
        <v>15043</v>
      </c>
      <c r="VFR1" s="122" t="s">
        <v>15044</v>
      </c>
      <c r="VFS1" s="122" t="s">
        <v>15045</v>
      </c>
      <c r="VFT1" s="122" t="s">
        <v>15046</v>
      </c>
      <c r="VFU1" s="122" t="s">
        <v>15047</v>
      </c>
      <c r="VFV1" s="122" t="s">
        <v>15048</v>
      </c>
      <c r="VFW1" s="122" t="s">
        <v>15049</v>
      </c>
      <c r="VFX1" s="122" t="s">
        <v>15050</v>
      </c>
      <c r="VFY1" s="122" t="s">
        <v>15051</v>
      </c>
      <c r="VFZ1" s="122" t="s">
        <v>15052</v>
      </c>
      <c r="VGA1" s="122" t="s">
        <v>15053</v>
      </c>
      <c r="VGB1" s="122" t="s">
        <v>15054</v>
      </c>
      <c r="VGC1" s="122" t="s">
        <v>15055</v>
      </c>
      <c r="VGD1" s="122" t="s">
        <v>15056</v>
      </c>
      <c r="VGE1" s="122" t="s">
        <v>15057</v>
      </c>
      <c r="VGF1" s="122" t="s">
        <v>15058</v>
      </c>
      <c r="VGG1" s="122" t="s">
        <v>15059</v>
      </c>
      <c r="VGH1" s="122" t="s">
        <v>15060</v>
      </c>
      <c r="VGI1" s="122" t="s">
        <v>15061</v>
      </c>
      <c r="VGJ1" s="122" t="s">
        <v>15062</v>
      </c>
      <c r="VGK1" s="122" t="s">
        <v>15063</v>
      </c>
      <c r="VGL1" s="122" t="s">
        <v>15064</v>
      </c>
      <c r="VGM1" s="122" t="s">
        <v>15065</v>
      </c>
      <c r="VGN1" s="122" t="s">
        <v>15066</v>
      </c>
      <c r="VGO1" s="122" t="s">
        <v>15067</v>
      </c>
      <c r="VGP1" s="122" t="s">
        <v>15068</v>
      </c>
      <c r="VGQ1" s="122" t="s">
        <v>15069</v>
      </c>
      <c r="VGR1" s="122" t="s">
        <v>15070</v>
      </c>
      <c r="VGS1" s="122" t="s">
        <v>15071</v>
      </c>
      <c r="VGT1" s="122" t="s">
        <v>15072</v>
      </c>
      <c r="VGU1" s="122" t="s">
        <v>15073</v>
      </c>
      <c r="VGV1" s="122" t="s">
        <v>15074</v>
      </c>
      <c r="VGW1" s="122" t="s">
        <v>15075</v>
      </c>
      <c r="VGX1" s="122" t="s">
        <v>15076</v>
      </c>
      <c r="VGY1" s="122" t="s">
        <v>15077</v>
      </c>
      <c r="VGZ1" s="122" t="s">
        <v>15078</v>
      </c>
      <c r="VHA1" s="122" t="s">
        <v>15079</v>
      </c>
      <c r="VHB1" s="122" t="s">
        <v>15080</v>
      </c>
      <c r="VHC1" s="122" t="s">
        <v>15081</v>
      </c>
      <c r="VHD1" s="122" t="s">
        <v>15082</v>
      </c>
      <c r="VHE1" s="122" t="s">
        <v>15083</v>
      </c>
      <c r="VHF1" s="122" t="s">
        <v>15084</v>
      </c>
      <c r="VHG1" s="122" t="s">
        <v>15085</v>
      </c>
      <c r="VHH1" s="122" t="s">
        <v>15086</v>
      </c>
      <c r="VHI1" s="122" t="s">
        <v>15087</v>
      </c>
      <c r="VHJ1" s="122" t="s">
        <v>15088</v>
      </c>
      <c r="VHK1" s="122" t="s">
        <v>15089</v>
      </c>
      <c r="VHL1" s="122" t="s">
        <v>15090</v>
      </c>
      <c r="VHM1" s="122" t="s">
        <v>15091</v>
      </c>
      <c r="VHN1" s="122" t="s">
        <v>15092</v>
      </c>
      <c r="VHO1" s="122" t="s">
        <v>15093</v>
      </c>
      <c r="VHP1" s="122" t="s">
        <v>15094</v>
      </c>
      <c r="VHQ1" s="122" t="s">
        <v>15095</v>
      </c>
      <c r="VHR1" s="122" t="s">
        <v>15096</v>
      </c>
      <c r="VHS1" s="122" t="s">
        <v>15097</v>
      </c>
      <c r="VHT1" s="122" t="s">
        <v>15098</v>
      </c>
      <c r="VHU1" s="122" t="s">
        <v>15099</v>
      </c>
      <c r="VHV1" s="122" t="s">
        <v>15100</v>
      </c>
      <c r="VHW1" s="122" t="s">
        <v>15101</v>
      </c>
      <c r="VHX1" s="122" t="s">
        <v>15102</v>
      </c>
      <c r="VHY1" s="122" t="s">
        <v>15103</v>
      </c>
      <c r="VHZ1" s="122" t="s">
        <v>15104</v>
      </c>
      <c r="VIA1" s="122" t="s">
        <v>15105</v>
      </c>
      <c r="VIB1" s="122" t="s">
        <v>15106</v>
      </c>
      <c r="VIC1" s="122" t="s">
        <v>15107</v>
      </c>
      <c r="VID1" s="122" t="s">
        <v>15108</v>
      </c>
      <c r="VIE1" s="122" t="s">
        <v>15109</v>
      </c>
      <c r="VIF1" s="122" t="s">
        <v>15110</v>
      </c>
      <c r="VIG1" s="122" t="s">
        <v>15111</v>
      </c>
      <c r="VIH1" s="122" t="s">
        <v>15112</v>
      </c>
      <c r="VII1" s="122" t="s">
        <v>15113</v>
      </c>
      <c r="VIJ1" s="122" t="s">
        <v>15114</v>
      </c>
      <c r="VIK1" s="122" t="s">
        <v>15115</v>
      </c>
      <c r="VIL1" s="122" t="s">
        <v>15116</v>
      </c>
      <c r="VIM1" s="122" t="s">
        <v>15117</v>
      </c>
      <c r="VIN1" s="122" t="s">
        <v>15118</v>
      </c>
      <c r="VIO1" s="122" t="s">
        <v>15119</v>
      </c>
      <c r="VIP1" s="122" t="s">
        <v>15120</v>
      </c>
      <c r="VIQ1" s="122" t="s">
        <v>15121</v>
      </c>
      <c r="VIR1" s="122" t="s">
        <v>15122</v>
      </c>
      <c r="VIS1" s="122" t="s">
        <v>15123</v>
      </c>
      <c r="VIT1" s="122" t="s">
        <v>15124</v>
      </c>
      <c r="VIU1" s="122" t="s">
        <v>15125</v>
      </c>
      <c r="VIV1" s="122" t="s">
        <v>15126</v>
      </c>
      <c r="VIW1" s="122" t="s">
        <v>15127</v>
      </c>
      <c r="VIX1" s="122" t="s">
        <v>15128</v>
      </c>
      <c r="VIY1" s="122" t="s">
        <v>15129</v>
      </c>
      <c r="VIZ1" s="122" t="s">
        <v>15130</v>
      </c>
      <c r="VJA1" s="122" t="s">
        <v>15131</v>
      </c>
      <c r="VJB1" s="122" t="s">
        <v>15132</v>
      </c>
      <c r="VJC1" s="122" t="s">
        <v>15133</v>
      </c>
      <c r="VJD1" s="122" t="s">
        <v>15134</v>
      </c>
      <c r="VJE1" s="122" t="s">
        <v>15135</v>
      </c>
      <c r="VJF1" s="122" t="s">
        <v>15136</v>
      </c>
      <c r="VJG1" s="122" t="s">
        <v>15137</v>
      </c>
      <c r="VJH1" s="122" t="s">
        <v>15138</v>
      </c>
      <c r="VJI1" s="122" t="s">
        <v>15139</v>
      </c>
      <c r="VJJ1" s="122" t="s">
        <v>15140</v>
      </c>
      <c r="VJK1" s="122" t="s">
        <v>15141</v>
      </c>
      <c r="VJL1" s="122" t="s">
        <v>15142</v>
      </c>
      <c r="VJM1" s="122" t="s">
        <v>15143</v>
      </c>
      <c r="VJN1" s="122" t="s">
        <v>15144</v>
      </c>
      <c r="VJO1" s="122" t="s">
        <v>15145</v>
      </c>
      <c r="VJP1" s="122" t="s">
        <v>15146</v>
      </c>
      <c r="VJQ1" s="122" t="s">
        <v>15147</v>
      </c>
      <c r="VJR1" s="122" t="s">
        <v>15148</v>
      </c>
      <c r="VJS1" s="122" t="s">
        <v>15149</v>
      </c>
      <c r="VJT1" s="122" t="s">
        <v>15150</v>
      </c>
      <c r="VJU1" s="122" t="s">
        <v>15151</v>
      </c>
      <c r="VJV1" s="122" t="s">
        <v>15152</v>
      </c>
      <c r="VJW1" s="122" t="s">
        <v>15153</v>
      </c>
      <c r="VJX1" s="122" t="s">
        <v>15154</v>
      </c>
      <c r="VJY1" s="122" t="s">
        <v>15155</v>
      </c>
      <c r="VJZ1" s="122" t="s">
        <v>15156</v>
      </c>
      <c r="VKA1" s="122" t="s">
        <v>15157</v>
      </c>
      <c r="VKB1" s="122" t="s">
        <v>15158</v>
      </c>
      <c r="VKC1" s="122" t="s">
        <v>15159</v>
      </c>
      <c r="VKD1" s="122" t="s">
        <v>15160</v>
      </c>
      <c r="VKE1" s="122" t="s">
        <v>15161</v>
      </c>
      <c r="VKF1" s="122" t="s">
        <v>15162</v>
      </c>
      <c r="VKG1" s="122" t="s">
        <v>15163</v>
      </c>
      <c r="VKH1" s="122" t="s">
        <v>15164</v>
      </c>
      <c r="VKI1" s="122" t="s">
        <v>15165</v>
      </c>
      <c r="VKJ1" s="122" t="s">
        <v>15166</v>
      </c>
      <c r="VKK1" s="122" t="s">
        <v>15167</v>
      </c>
      <c r="VKL1" s="122" t="s">
        <v>15168</v>
      </c>
      <c r="VKM1" s="122" t="s">
        <v>15169</v>
      </c>
      <c r="VKN1" s="122" t="s">
        <v>15170</v>
      </c>
      <c r="VKO1" s="122" t="s">
        <v>15171</v>
      </c>
      <c r="VKP1" s="122" t="s">
        <v>15172</v>
      </c>
      <c r="VKQ1" s="122" t="s">
        <v>15173</v>
      </c>
      <c r="VKR1" s="122" t="s">
        <v>15174</v>
      </c>
      <c r="VKS1" s="122" t="s">
        <v>15175</v>
      </c>
      <c r="VKT1" s="122" t="s">
        <v>15176</v>
      </c>
      <c r="VKU1" s="122" t="s">
        <v>15177</v>
      </c>
      <c r="VKV1" s="122" t="s">
        <v>15178</v>
      </c>
      <c r="VKW1" s="122" t="s">
        <v>15179</v>
      </c>
      <c r="VKX1" s="122" t="s">
        <v>15180</v>
      </c>
      <c r="VKY1" s="122" t="s">
        <v>15181</v>
      </c>
      <c r="VKZ1" s="122" t="s">
        <v>15182</v>
      </c>
      <c r="VLA1" s="122" t="s">
        <v>15183</v>
      </c>
      <c r="VLB1" s="122" t="s">
        <v>15184</v>
      </c>
      <c r="VLC1" s="122" t="s">
        <v>15185</v>
      </c>
      <c r="VLD1" s="122" t="s">
        <v>15186</v>
      </c>
      <c r="VLE1" s="122" t="s">
        <v>15187</v>
      </c>
      <c r="VLF1" s="122" t="s">
        <v>15188</v>
      </c>
      <c r="VLG1" s="122" t="s">
        <v>15189</v>
      </c>
      <c r="VLH1" s="122" t="s">
        <v>15190</v>
      </c>
      <c r="VLI1" s="122" t="s">
        <v>15191</v>
      </c>
      <c r="VLJ1" s="122" t="s">
        <v>15192</v>
      </c>
      <c r="VLK1" s="122" t="s">
        <v>15193</v>
      </c>
      <c r="VLL1" s="122" t="s">
        <v>15194</v>
      </c>
      <c r="VLM1" s="122" t="s">
        <v>15195</v>
      </c>
      <c r="VLN1" s="122" t="s">
        <v>15196</v>
      </c>
      <c r="VLO1" s="122" t="s">
        <v>15197</v>
      </c>
      <c r="VLP1" s="122" t="s">
        <v>15198</v>
      </c>
      <c r="VLQ1" s="122" t="s">
        <v>15199</v>
      </c>
      <c r="VLR1" s="122" t="s">
        <v>15200</v>
      </c>
      <c r="VLS1" s="122" t="s">
        <v>15201</v>
      </c>
      <c r="VLT1" s="122" t="s">
        <v>15202</v>
      </c>
      <c r="VLU1" s="122" t="s">
        <v>15203</v>
      </c>
      <c r="VLV1" s="122" t="s">
        <v>15204</v>
      </c>
      <c r="VLW1" s="122" t="s">
        <v>15205</v>
      </c>
      <c r="VLX1" s="122" t="s">
        <v>15206</v>
      </c>
      <c r="VLY1" s="122" t="s">
        <v>15207</v>
      </c>
      <c r="VLZ1" s="122" t="s">
        <v>15208</v>
      </c>
      <c r="VMA1" s="122" t="s">
        <v>15209</v>
      </c>
      <c r="VMB1" s="122" t="s">
        <v>15210</v>
      </c>
      <c r="VMC1" s="122" t="s">
        <v>15211</v>
      </c>
      <c r="VMD1" s="122" t="s">
        <v>15212</v>
      </c>
      <c r="VME1" s="122" t="s">
        <v>15213</v>
      </c>
      <c r="VMF1" s="122" t="s">
        <v>15214</v>
      </c>
      <c r="VMG1" s="122" t="s">
        <v>15215</v>
      </c>
      <c r="VMH1" s="122" t="s">
        <v>15216</v>
      </c>
      <c r="VMI1" s="122" t="s">
        <v>15217</v>
      </c>
      <c r="VMJ1" s="122" t="s">
        <v>15218</v>
      </c>
      <c r="VMK1" s="122" t="s">
        <v>15219</v>
      </c>
      <c r="VML1" s="122" t="s">
        <v>15220</v>
      </c>
      <c r="VMM1" s="122" t="s">
        <v>15221</v>
      </c>
      <c r="VMN1" s="122" t="s">
        <v>15222</v>
      </c>
      <c r="VMO1" s="122" t="s">
        <v>15223</v>
      </c>
      <c r="VMP1" s="122" t="s">
        <v>15224</v>
      </c>
      <c r="VMQ1" s="122" t="s">
        <v>15225</v>
      </c>
      <c r="VMR1" s="122" t="s">
        <v>15226</v>
      </c>
      <c r="VMS1" s="122" t="s">
        <v>15227</v>
      </c>
      <c r="VMT1" s="122" t="s">
        <v>15228</v>
      </c>
      <c r="VMU1" s="122" t="s">
        <v>15229</v>
      </c>
      <c r="VMV1" s="122" t="s">
        <v>15230</v>
      </c>
      <c r="VMW1" s="122" t="s">
        <v>15231</v>
      </c>
      <c r="VMX1" s="122" t="s">
        <v>15232</v>
      </c>
      <c r="VMY1" s="122" t="s">
        <v>15233</v>
      </c>
      <c r="VMZ1" s="122" t="s">
        <v>15234</v>
      </c>
      <c r="VNA1" s="122" t="s">
        <v>15235</v>
      </c>
      <c r="VNB1" s="122" t="s">
        <v>15236</v>
      </c>
      <c r="VNC1" s="122" t="s">
        <v>15237</v>
      </c>
      <c r="VND1" s="122" t="s">
        <v>15238</v>
      </c>
      <c r="VNE1" s="122" t="s">
        <v>15239</v>
      </c>
      <c r="VNF1" s="122" t="s">
        <v>15240</v>
      </c>
      <c r="VNG1" s="122" t="s">
        <v>15241</v>
      </c>
      <c r="VNH1" s="122" t="s">
        <v>15242</v>
      </c>
      <c r="VNI1" s="122" t="s">
        <v>15243</v>
      </c>
      <c r="VNJ1" s="122" t="s">
        <v>15244</v>
      </c>
      <c r="VNK1" s="122" t="s">
        <v>15245</v>
      </c>
      <c r="VNL1" s="122" t="s">
        <v>15246</v>
      </c>
      <c r="VNM1" s="122" t="s">
        <v>15247</v>
      </c>
      <c r="VNN1" s="122" t="s">
        <v>15248</v>
      </c>
      <c r="VNO1" s="122" t="s">
        <v>15249</v>
      </c>
      <c r="VNP1" s="122" t="s">
        <v>15250</v>
      </c>
      <c r="VNQ1" s="122" t="s">
        <v>15251</v>
      </c>
      <c r="VNR1" s="122" t="s">
        <v>15252</v>
      </c>
      <c r="VNS1" s="122" t="s">
        <v>15253</v>
      </c>
      <c r="VNT1" s="122" t="s">
        <v>15254</v>
      </c>
      <c r="VNU1" s="122" t="s">
        <v>15255</v>
      </c>
      <c r="VNV1" s="122" t="s">
        <v>15256</v>
      </c>
      <c r="VNW1" s="122" t="s">
        <v>15257</v>
      </c>
      <c r="VNX1" s="122" t="s">
        <v>15258</v>
      </c>
      <c r="VNY1" s="122" t="s">
        <v>15259</v>
      </c>
      <c r="VNZ1" s="122" t="s">
        <v>15260</v>
      </c>
      <c r="VOA1" s="122" t="s">
        <v>15261</v>
      </c>
      <c r="VOB1" s="122" t="s">
        <v>15262</v>
      </c>
      <c r="VOC1" s="122" t="s">
        <v>15263</v>
      </c>
      <c r="VOD1" s="122" t="s">
        <v>15264</v>
      </c>
      <c r="VOE1" s="122" t="s">
        <v>15265</v>
      </c>
      <c r="VOF1" s="122" t="s">
        <v>15266</v>
      </c>
      <c r="VOG1" s="122" t="s">
        <v>15267</v>
      </c>
      <c r="VOH1" s="122" t="s">
        <v>15268</v>
      </c>
      <c r="VOI1" s="122" t="s">
        <v>15269</v>
      </c>
      <c r="VOJ1" s="122" t="s">
        <v>15270</v>
      </c>
      <c r="VOK1" s="122" t="s">
        <v>15271</v>
      </c>
      <c r="VOL1" s="122" t="s">
        <v>15272</v>
      </c>
      <c r="VOM1" s="122" t="s">
        <v>15273</v>
      </c>
      <c r="VON1" s="122" t="s">
        <v>15274</v>
      </c>
      <c r="VOO1" s="122" t="s">
        <v>15275</v>
      </c>
      <c r="VOP1" s="122" t="s">
        <v>15276</v>
      </c>
      <c r="VOQ1" s="122" t="s">
        <v>15277</v>
      </c>
      <c r="VOR1" s="122" t="s">
        <v>15278</v>
      </c>
      <c r="VOS1" s="122" t="s">
        <v>15279</v>
      </c>
      <c r="VOT1" s="122" t="s">
        <v>15280</v>
      </c>
      <c r="VOU1" s="122" t="s">
        <v>15281</v>
      </c>
      <c r="VOV1" s="122" t="s">
        <v>15282</v>
      </c>
      <c r="VOW1" s="122" t="s">
        <v>15283</v>
      </c>
      <c r="VOX1" s="122" t="s">
        <v>15284</v>
      </c>
      <c r="VOY1" s="122" t="s">
        <v>15285</v>
      </c>
      <c r="VOZ1" s="122" t="s">
        <v>15286</v>
      </c>
      <c r="VPA1" s="122" t="s">
        <v>15287</v>
      </c>
      <c r="VPB1" s="122" t="s">
        <v>15288</v>
      </c>
      <c r="VPC1" s="122" t="s">
        <v>15289</v>
      </c>
      <c r="VPD1" s="122" t="s">
        <v>15290</v>
      </c>
      <c r="VPE1" s="122" t="s">
        <v>15291</v>
      </c>
      <c r="VPF1" s="122" t="s">
        <v>15292</v>
      </c>
      <c r="VPG1" s="122" t="s">
        <v>15293</v>
      </c>
      <c r="VPH1" s="122" t="s">
        <v>15294</v>
      </c>
      <c r="VPI1" s="122" t="s">
        <v>15295</v>
      </c>
      <c r="VPJ1" s="122" t="s">
        <v>15296</v>
      </c>
      <c r="VPK1" s="122" t="s">
        <v>15297</v>
      </c>
      <c r="VPL1" s="122" t="s">
        <v>15298</v>
      </c>
      <c r="VPM1" s="122" t="s">
        <v>15299</v>
      </c>
      <c r="VPN1" s="122" t="s">
        <v>15300</v>
      </c>
      <c r="VPO1" s="122" t="s">
        <v>15301</v>
      </c>
      <c r="VPP1" s="122" t="s">
        <v>15302</v>
      </c>
      <c r="VPQ1" s="122" t="s">
        <v>15303</v>
      </c>
      <c r="VPR1" s="122" t="s">
        <v>15304</v>
      </c>
      <c r="VPS1" s="122" t="s">
        <v>15305</v>
      </c>
      <c r="VPT1" s="122" t="s">
        <v>15306</v>
      </c>
      <c r="VPU1" s="122" t="s">
        <v>15307</v>
      </c>
      <c r="VPV1" s="122" t="s">
        <v>15308</v>
      </c>
      <c r="VPW1" s="122" t="s">
        <v>15309</v>
      </c>
      <c r="VPX1" s="122" t="s">
        <v>15310</v>
      </c>
      <c r="VPY1" s="122" t="s">
        <v>15311</v>
      </c>
      <c r="VPZ1" s="122" t="s">
        <v>15312</v>
      </c>
      <c r="VQA1" s="122" t="s">
        <v>15313</v>
      </c>
      <c r="VQB1" s="122" t="s">
        <v>15314</v>
      </c>
      <c r="VQC1" s="122" t="s">
        <v>15315</v>
      </c>
      <c r="VQD1" s="122" t="s">
        <v>15316</v>
      </c>
      <c r="VQE1" s="122" t="s">
        <v>15317</v>
      </c>
      <c r="VQF1" s="122" t="s">
        <v>15318</v>
      </c>
      <c r="VQG1" s="122" t="s">
        <v>15319</v>
      </c>
      <c r="VQH1" s="122" t="s">
        <v>15320</v>
      </c>
      <c r="VQI1" s="122" t="s">
        <v>15321</v>
      </c>
      <c r="VQJ1" s="122" t="s">
        <v>15322</v>
      </c>
      <c r="VQK1" s="122" t="s">
        <v>15323</v>
      </c>
      <c r="VQL1" s="122" t="s">
        <v>15324</v>
      </c>
      <c r="VQM1" s="122" t="s">
        <v>15325</v>
      </c>
      <c r="VQN1" s="122" t="s">
        <v>15326</v>
      </c>
      <c r="VQO1" s="122" t="s">
        <v>15327</v>
      </c>
      <c r="VQP1" s="122" t="s">
        <v>15328</v>
      </c>
      <c r="VQQ1" s="122" t="s">
        <v>15329</v>
      </c>
      <c r="VQR1" s="122" t="s">
        <v>15330</v>
      </c>
      <c r="VQS1" s="122" t="s">
        <v>15331</v>
      </c>
      <c r="VQT1" s="122" t="s">
        <v>15332</v>
      </c>
      <c r="VQU1" s="122" t="s">
        <v>15333</v>
      </c>
      <c r="VQV1" s="122" t="s">
        <v>15334</v>
      </c>
      <c r="VQW1" s="122" t="s">
        <v>15335</v>
      </c>
      <c r="VQX1" s="122" t="s">
        <v>15336</v>
      </c>
      <c r="VQY1" s="122" t="s">
        <v>15337</v>
      </c>
      <c r="VQZ1" s="122" t="s">
        <v>15338</v>
      </c>
      <c r="VRA1" s="122" t="s">
        <v>15339</v>
      </c>
      <c r="VRB1" s="122" t="s">
        <v>15340</v>
      </c>
      <c r="VRC1" s="122" t="s">
        <v>15341</v>
      </c>
      <c r="VRD1" s="122" t="s">
        <v>15342</v>
      </c>
      <c r="VRE1" s="122" t="s">
        <v>15343</v>
      </c>
      <c r="VRF1" s="122" t="s">
        <v>15344</v>
      </c>
      <c r="VRG1" s="122" t="s">
        <v>15345</v>
      </c>
      <c r="VRH1" s="122" t="s">
        <v>15346</v>
      </c>
      <c r="VRI1" s="122" t="s">
        <v>15347</v>
      </c>
      <c r="VRJ1" s="122" t="s">
        <v>15348</v>
      </c>
      <c r="VRK1" s="122" t="s">
        <v>15349</v>
      </c>
      <c r="VRL1" s="122" t="s">
        <v>15350</v>
      </c>
      <c r="VRM1" s="122" t="s">
        <v>15351</v>
      </c>
      <c r="VRN1" s="122" t="s">
        <v>15352</v>
      </c>
      <c r="VRO1" s="122" t="s">
        <v>15353</v>
      </c>
      <c r="VRP1" s="122" t="s">
        <v>15354</v>
      </c>
      <c r="VRQ1" s="122" t="s">
        <v>15355</v>
      </c>
      <c r="VRR1" s="122" t="s">
        <v>15356</v>
      </c>
      <c r="VRS1" s="122" t="s">
        <v>15357</v>
      </c>
      <c r="VRT1" s="122" t="s">
        <v>15358</v>
      </c>
      <c r="VRU1" s="122" t="s">
        <v>15359</v>
      </c>
      <c r="VRV1" s="122" t="s">
        <v>15360</v>
      </c>
      <c r="VRW1" s="122" t="s">
        <v>15361</v>
      </c>
      <c r="VRX1" s="122" t="s">
        <v>15362</v>
      </c>
      <c r="VRY1" s="122" t="s">
        <v>15363</v>
      </c>
      <c r="VRZ1" s="122" t="s">
        <v>15364</v>
      </c>
      <c r="VSA1" s="122" t="s">
        <v>15365</v>
      </c>
      <c r="VSB1" s="122" t="s">
        <v>15366</v>
      </c>
      <c r="VSC1" s="122" t="s">
        <v>15367</v>
      </c>
      <c r="VSD1" s="122" t="s">
        <v>15368</v>
      </c>
      <c r="VSE1" s="122" t="s">
        <v>15369</v>
      </c>
      <c r="VSF1" s="122" t="s">
        <v>15370</v>
      </c>
      <c r="VSG1" s="122" t="s">
        <v>15371</v>
      </c>
      <c r="VSH1" s="122" t="s">
        <v>15372</v>
      </c>
      <c r="VSI1" s="122" t="s">
        <v>15373</v>
      </c>
      <c r="VSJ1" s="122" t="s">
        <v>15374</v>
      </c>
      <c r="VSK1" s="122" t="s">
        <v>15375</v>
      </c>
      <c r="VSL1" s="122" t="s">
        <v>15376</v>
      </c>
      <c r="VSM1" s="122" t="s">
        <v>15377</v>
      </c>
      <c r="VSN1" s="122" t="s">
        <v>15378</v>
      </c>
      <c r="VSO1" s="122" t="s">
        <v>15379</v>
      </c>
      <c r="VSP1" s="122" t="s">
        <v>15380</v>
      </c>
      <c r="VSQ1" s="122" t="s">
        <v>15381</v>
      </c>
      <c r="VSR1" s="122" t="s">
        <v>15382</v>
      </c>
      <c r="VSS1" s="122" t="s">
        <v>15383</v>
      </c>
      <c r="VST1" s="122" t="s">
        <v>15384</v>
      </c>
      <c r="VSU1" s="122" t="s">
        <v>15385</v>
      </c>
      <c r="VSV1" s="122" t="s">
        <v>15386</v>
      </c>
      <c r="VSW1" s="122" t="s">
        <v>15387</v>
      </c>
      <c r="VSX1" s="122" t="s">
        <v>15388</v>
      </c>
      <c r="VSY1" s="122" t="s">
        <v>15389</v>
      </c>
      <c r="VSZ1" s="122" t="s">
        <v>15390</v>
      </c>
      <c r="VTA1" s="122" t="s">
        <v>15391</v>
      </c>
      <c r="VTB1" s="122" t="s">
        <v>15392</v>
      </c>
      <c r="VTC1" s="122" t="s">
        <v>15393</v>
      </c>
      <c r="VTD1" s="122" t="s">
        <v>15394</v>
      </c>
      <c r="VTE1" s="122" t="s">
        <v>15395</v>
      </c>
      <c r="VTF1" s="122" t="s">
        <v>15396</v>
      </c>
      <c r="VTG1" s="122" t="s">
        <v>15397</v>
      </c>
      <c r="VTH1" s="122" t="s">
        <v>15398</v>
      </c>
      <c r="VTI1" s="122" t="s">
        <v>15399</v>
      </c>
      <c r="VTJ1" s="122" t="s">
        <v>15400</v>
      </c>
      <c r="VTK1" s="122" t="s">
        <v>15401</v>
      </c>
      <c r="VTL1" s="122" t="s">
        <v>15402</v>
      </c>
      <c r="VTM1" s="122" t="s">
        <v>15403</v>
      </c>
      <c r="VTN1" s="122" t="s">
        <v>15404</v>
      </c>
      <c r="VTO1" s="122" t="s">
        <v>15405</v>
      </c>
      <c r="VTP1" s="122" t="s">
        <v>15406</v>
      </c>
      <c r="VTQ1" s="122" t="s">
        <v>15407</v>
      </c>
      <c r="VTR1" s="122" t="s">
        <v>15408</v>
      </c>
      <c r="VTS1" s="122" t="s">
        <v>15409</v>
      </c>
      <c r="VTT1" s="122" t="s">
        <v>15410</v>
      </c>
      <c r="VTU1" s="122" t="s">
        <v>15411</v>
      </c>
      <c r="VTV1" s="122" t="s">
        <v>15412</v>
      </c>
      <c r="VTW1" s="122" t="s">
        <v>15413</v>
      </c>
      <c r="VTX1" s="122" t="s">
        <v>15414</v>
      </c>
      <c r="VTY1" s="122" t="s">
        <v>15415</v>
      </c>
      <c r="VTZ1" s="122" t="s">
        <v>15416</v>
      </c>
      <c r="VUA1" s="122" t="s">
        <v>15417</v>
      </c>
      <c r="VUB1" s="122" t="s">
        <v>15418</v>
      </c>
      <c r="VUC1" s="122" t="s">
        <v>15419</v>
      </c>
      <c r="VUD1" s="122" t="s">
        <v>15420</v>
      </c>
      <c r="VUE1" s="122" t="s">
        <v>15421</v>
      </c>
      <c r="VUF1" s="122" t="s">
        <v>15422</v>
      </c>
      <c r="VUG1" s="122" t="s">
        <v>15423</v>
      </c>
      <c r="VUH1" s="122" t="s">
        <v>15424</v>
      </c>
      <c r="VUI1" s="122" t="s">
        <v>15425</v>
      </c>
      <c r="VUJ1" s="122" t="s">
        <v>15426</v>
      </c>
      <c r="VUK1" s="122" t="s">
        <v>15427</v>
      </c>
      <c r="VUL1" s="122" t="s">
        <v>15428</v>
      </c>
      <c r="VUM1" s="122" t="s">
        <v>15429</v>
      </c>
      <c r="VUN1" s="122" t="s">
        <v>15430</v>
      </c>
      <c r="VUO1" s="122" t="s">
        <v>15431</v>
      </c>
      <c r="VUP1" s="122" t="s">
        <v>15432</v>
      </c>
      <c r="VUQ1" s="122" t="s">
        <v>15433</v>
      </c>
      <c r="VUR1" s="122" t="s">
        <v>15434</v>
      </c>
      <c r="VUS1" s="122" t="s">
        <v>15435</v>
      </c>
      <c r="VUT1" s="122" t="s">
        <v>15436</v>
      </c>
      <c r="VUU1" s="122" t="s">
        <v>15437</v>
      </c>
      <c r="VUV1" s="122" t="s">
        <v>15438</v>
      </c>
      <c r="VUW1" s="122" t="s">
        <v>15439</v>
      </c>
      <c r="VUX1" s="122" t="s">
        <v>15440</v>
      </c>
      <c r="VUY1" s="122" t="s">
        <v>15441</v>
      </c>
      <c r="VUZ1" s="122" t="s">
        <v>15442</v>
      </c>
      <c r="VVA1" s="122" t="s">
        <v>15443</v>
      </c>
      <c r="VVB1" s="122" t="s">
        <v>15444</v>
      </c>
      <c r="VVC1" s="122" t="s">
        <v>15445</v>
      </c>
      <c r="VVD1" s="122" t="s">
        <v>15446</v>
      </c>
      <c r="VVE1" s="122" t="s">
        <v>15447</v>
      </c>
      <c r="VVF1" s="122" t="s">
        <v>15448</v>
      </c>
      <c r="VVG1" s="122" t="s">
        <v>15449</v>
      </c>
      <c r="VVH1" s="122" t="s">
        <v>15450</v>
      </c>
      <c r="VVI1" s="122" t="s">
        <v>15451</v>
      </c>
      <c r="VVJ1" s="122" t="s">
        <v>15452</v>
      </c>
      <c r="VVK1" s="122" t="s">
        <v>15453</v>
      </c>
      <c r="VVL1" s="122" t="s">
        <v>15454</v>
      </c>
      <c r="VVM1" s="122" t="s">
        <v>15455</v>
      </c>
      <c r="VVN1" s="122" t="s">
        <v>15456</v>
      </c>
      <c r="VVO1" s="122" t="s">
        <v>15457</v>
      </c>
      <c r="VVP1" s="122" t="s">
        <v>15458</v>
      </c>
      <c r="VVQ1" s="122" t="s">
        <v>15459</v>
      </c>
      <c r="VVR1" s="122" t="s">
        <v>15460</v>
      </c>
      <c r="VVS1" s="122" t="s">
        <v>15461</v>
      </c>
      <c r="VVT1" s="122" t="s">
        <v>15462</v>
      </c>
      <c r="VVU1" s="122" t="s">
        <v>15463</v>
      </c>
      <c r="VVV1" s="122" t="s">
        <v>15464</v>
      </c>
      <c r="VVW1" s="122" t="s">
        <v>15465</v>
      </c>
      <c r="VVX1" s="122" t="s">
        <v>15466</v>
      </c>
      <c r="VVY1" s="122" t="s">
        <v>15467</v>
      </c>
      <c r="VVZ1" s="122" t="s">
        <v>15468</v>
      </c>
      <c r="VWA1" s="122" t="s">
        <v>15469</v>
      </c>
      <c r="VWB1" s="122" t="s">
        <v>15470</v>
      </c>
      <c r="VWC1" s="122" t="s">
        <v>15471</v>
      </c>
      <c r="VWD1" s="122" t="s">
        <v>15472</v>
      </c>
      <c r="VWE1" s="122" t="s">
        <v>15473</v>
      </c>
      <c r="VWF1" s="122" t="s">
        <v>15474</v>
      </c>
      <c r="VWG1" s="122" t="s">
        <v>15475</v>
      </c>
      <c r="VWH1" s="122" t="s">
        <v>15476</v>
      </c>
      <c r="VWI1" s="122" t="s">
        <v>15477</v>
      </c>
      <c r="VWJ1" s="122" t="s">
        <v>15478</v>
      </c>
      <c r="VWK1" s="122" t="s">
        <v>15479</v>
      </c>
      <c r="VWL1" s="122" t="s">
        <v>15480</v>
      </c>
      <c r="VWM1" s="122" t="s">
        <v>15481</v>
      </c>
      <c r="VWN1" s="122" t="s">
        <v>15482</v>
      </c>
      <c r="VWO1" s="122" t="s">
        <v>15483</v>
      </c>
      <c r="VWP1" s="122" t="s">
        <v>15484</v>
      </c>
      <c r="VWQ1" s="122" t="s">
        <v>15485</v>
      </c>
      <c r="VWR1" s="122" t="s">
        <v>15486</v>
      </c>
      <c r="VWS1" s="122" t="s">
        <v>15487</v>
      </c>
      <c r="VWT1" s="122" t="s">
        <v>15488</v>
      </c>
      <c r="VWU1" s="122" t="s">
        <v>15489</v>
      </c>
      <c r="VWV1" s="122" t="s">
        <v>15490</v>
      </c>
      <c r="VWW1" s="122" t="s">
        <v>15491</v>
      </c>
      <c r="VWX1" s="122" t="s">
        <v>15492</v>
      </c>
      <c r="VWY1" s="122" t="s">
        <v>15493</v>
      </c>
      <c r="VWZ1" s="122" t="s">
        <v>15494</v>
      </c>
      <c r="VXA1" s="122" t="s">
        <v>15495</v>
      </c>
      <c r="VXB1" s="122" t="s">
        <v>15496</v>
      </c>
      <c r="VXC1" s="122" t="s">
        <v>15497</v>
      </c>
      <c r="VXD1" s="122" t="s">
        <v>15498</v>
      </c>
      <c r="VXE1" s="122" t="s">
        <v>15499</v>
      </c>
      <c r="VXF1" s="122" t="s">
        <v>15500</v>
      </c>
      <c r="VXG1" s="122" t="s">
        <v>15501</v>
      </c>
      <c r="VXH1" s="122" t="s">
        <v>15502</v>
      </c>
      <c r="VXI1" s="122" t="s">
        <v>15503</v>
      </c>
      <c r="VXJ1" s="122" t="s">
        <v>15504</v>
      </c>
      <c r="VXK1" s="122" t="s">
        <v>15505</v>
      </c>
      <c r="VXL1" s="122" t="s">
        <v>15506</v>
      </c>
      <c r="VXM1" s="122" t="s">
        <v>15507</v>
      </c>
      <c r="VXN1" s="122" t="s">
        <v>15508</v>
      </c>
      <c r="VXO1" s="122" t="s">
        <v>15509</v>
      </c>
      <c r="VXP1" s="122" t="s">
        <v>15510</v>
      </c>
      <c r="VXQ1" s="122" t="s">
        <v>15511</v>
      </c>
      <c r="VXR1" s="122" t="s">
        <v>15512</v>
      </c>
      <c r="VXS1" s="122" t="s">
        <v>15513</v>
      </c>
      <c r="VXT1" s="122" t="s">
        <v>15514</v>
      </c>
      <c r="VXU1" s="122" t="s">
        <v>15515</v>
      </c>
      <c r="VXV1" s="122" t="s">
        <v>15516</v>
      </c>
      <c r="VXW1" s="122" t="s">
        <v>15517</v>
      </c>
      <c r="VXX1" s="122" t="s">
        <v>15518</v>
      </c>
      <c r="VXY1" s="122" t="s">
        <v>15519</v>
      </c>
      <c r="VXZ1" s="122" t="s">
        <v>15520</v>
      </c>
      <c r="VYA1" s="122" t="s">
        <v>15521</v>
      </c>
      <c r="VYB1" s="122" t="s">
        <v>15522</v>
      </c>
      <c r="VYC1" s="122" t="s">
        <v>15523</v>
      </c>
      <c r="VYD1" s="122" t="s">
        <v>15524</v>
      </c>
      <c r="VYE1" s="122" t="s">
        <v>15525</v>
      </c>
      <c r="VYF1" s="122" t="s">
        <v>15526</v>
      </c>
      <c r="VYG1" s="122" t="s">
        <v>15527</v>
      </c>
      <c r="VYH1" s="122" t="s">
        <v>15528</v>
      </c>
      <c r="VYI1" s="122" t="s">
        <v>15529</v>
      </c>
      <c r="VYJ1" s="122" t="s">
        <v>15530</v>
      </c>
      <c r="VYK1" s="122" t="s">
        <v>15531</v>
      </c>
      <c r="VYL1" s="122" t="s">
        <v>15532</v>
      </c>
      <c r="VYM1" s="122" t="s">
        <v>15533</v>
      </c>
      <c r="VYN1" s="122" t="s">
        <v>15534</v>
      </c>
      <c r="VYO1" s="122" t="s">
        <v>15535</v>
      </c>
      <c r="VYP1" s="122" t="s">
        <v>15536</v>
      </c>
      <c r="VYQ1" s="122" t="s">
        <v>15537</v>
      </c>
      <c r="VYR1" s="122" t="s">
        <v>15538</v>
      </c>
      <c r="VYS1" s="122" t="s">
        <v>15539</v>
      </c>
      <c r="VYT1" s="122" t="s">
        <v>15540</v>
      </c>
      <c r="VYU1" s="122" t="s">
        <v>15541</v>
      </c>
      <c r="VYV1" s="122" t="s">
        <v>15542</v>
      </c>
      <c r="VYW1" s="122" t="s">
        <v>15543</v>
      </c>
      <c r="VYX1" s="122" t="s">
        <v>15544</v>
      </c>
      <c r="VYY1" s="122" t="s">
        <v>15545</v>
      </c>
      <c r="VYZ1" s="122" t="s">
        <v>15546</v>
      </c>
      <c r="VZA1" s="122" t="s">
        <v>15547</v>
      </c>
      <c r="VZB1" s="122" t="s">
        <v>15548</v>
      </c>
      <c r="VZC1" s="122" t="s">
        <v>15549</v>
      </c>
      <c r="VZD1" s="122" t="s">
        <v>15550</v>
      </c>
      <c r="VZE1" s="122" t="s">
        <v>15551</v>
      </c>
      <c r="VZF1" s="122" t="s">
        <v>15552</v>
      </c>
      <c r="VZG1" s="122" t="s">
        <v>15553</v>
      </c>
      <c r="VZH1" s="122" t="s">
        <v>15554</v>
      </c>
      <c r="VZI1" s="122" t="s">
        <v>15555</v>
      </c>
      <c r="VZJ1" s="122" t="s">
        <v>15556</v>
      </c>
      <c r="VZK1" s="122" t="s">
        <v>15557</v>
      </c>
      <c r="VZL1" s="122" t="s">
        <v>15558</v>
      </c>
      <c r="VZM1" s="122" t="s">
        <v>15559</v>
      </c>
      <c r="VZN1" s="122" t="s">
        <v>15560</v>
      </c>
      <c r="VZO1" s="122" t="s">
        <v>15561</v>
      </c>
      <c r="VZP1" s="122" t="s">
        <v>15562</v>
      </c>
      <c r="VZQ1" s="122" t="s">
        <v>15563</v>
      </c>
      <c r="VZR1" s="122" t="s">
        <v>15564</v>
      </c>
      <c r="VZS1" s="122" t="s">
        <v>15565</v>
      </c>
      <c r="VZT1" s="122" t="s">
        <v>15566</v>
      </c>
      <c r="VZU1" s="122" t="s">
        <v>15567</v>
      </c>
      <c r="VZV1" s="122" t="s">
        <v>15568</v>
      </c>
      <c r="VZW1" s="122" t="s">
        <v>15569</v>
      </c>
      <c r="VZX1" s="122" t="s">
        <v>15570</v>
      </c>
      <c r="VZY1" s="122" t="s">
        <v>15571</v>
      </c>
      <c r="VZZ1" s="122" t="s">
        <v>15572</v>
      </c>
      <c r="WAA1" s="122" t="s">
        <v>15573</v>
      </c>
      <c r="WAB1" s="122" t="s">
        <v>15574</v>
      </c>
      <c r="WAC1" s="122" t="s">
        <v>15575</v>
      </c>
      <c r="WAD1" s="122" t="s">
        <v>15576</v>
      </c>
      <c r="WAE1" s="122" t="s">
        <v>15577</v>
      </c>
      <c r="WAF1" s="122" t="s">
        <v>15578</v>
      </c>
      <c r="WAG1" s="122" t="s">
        <v>15579</v>
      </c>
      <c r="WAH1" s="122" t="s">
        <v>15580</v>
      </c>
      <c r="WAI1" s="122" t="s">
        <v>15581</v>
      </c>
      <c r="WAJ1" s="122" t="s">
        <v>15582</v>
      </c>
      <c r="WAK1" s="122" t="s">
        <v>15583</v>
      </c>
      <c r="WAL1" s="122" t="s">
        <v>15584</v>
      </c>
      <c r="WAM1" s="122" t="s">
        <v>15585</v>
      </c>
      <c r="WAN1" s="122" t="s">
        <v>15586</v>
      </c>
      <c r="WAO1" s="122" t="s">
        <v>15587</v>
      </c>
      <c r="WAP1" s="122" t="s">
        <v>15588</v>
      </c>
      <c r="WAQ1" s="122" t="s">
        <v>15589</v>
      </c>
      <c r="WAR1" s="122" t="s">
        <v>15590</v>
      </c>
      <c r="WAS1" s="122" t="s">
        <v>15591</v>
      </c>
      <c r="WAT1" s="122" t="s">
        <v>15592</v>
      </c>
      <c r="WAU1" s="122" t="s">
        <v>15593</v>
      </c>
      <c r="WAV1" s="122" t="s">
        <v>15594</v>
      </c>
      <c r="WAW1" s="122" t="s">
        <v>15595</v>
      </c>
      <c r="WAX1" s="122" t="s">
        <v>15596</v>
      </c>
      <c r="WAY1" s="122" t="s">
        <v>15597</v>
      </c>
      <c r="WAZ1" s="122" t="s">
        <v>15598</v>
      </c>
      <c r="WBA1" s="122" t="s">
        <v>15599</v>
      </c>
      <c r="WBB1" s="122" t="s">
        <v>15600</v>
      </c>
      <c r="WBC1" s="122" t="s">
        <v>15601</v>
      </c>
      <c r="WBD1" s="122" t="s">
        <v>15602</v>
      </c>
      <c r="WBE1" s="122" t="s">
        <v>15603</v>
      </c>
      <c r="WBF1" s="122" t="s">
        <v>15604</v>
      </c>
      <c r="WBG1" s="122" t="s">
        <v>15605</v>
      </c>
      <c r="WBH1" s="122" t="s">
        <v>15606</v>
      </c>
      <c r="WBI1" s="122" t="s">
        <v>15607</v>
      </c>
      <c r="WBJ1" s="122" t="s">
        <v>15608</v>
      </c>
      <c r="WBK1" s="122" t="s">
        <v>15609</v>
      </c>
      <c r="WBL1" s="122" t="s">
        <v>15610</v>
      </c>
      <c r="WBM1" s="122" t="s">
        <v>15611</v>
      </c>
      <c r="WBN1" s="122" t="s">
        <v>15612</v>
      </c>
      <c r="WBO1" s="122" t="s">
        <v>15613</v>
      </c>
      <c r="WBP1" s="122" t="s">
        <v>15614</v>
      </c>
      <c r="WBQ1" s="122" t="s">
        <v>15615</v>
      </c>
      <c r="WBR1" s="122" t="s">
        <v>15616</v>
      </c>
      <c r="WBS1" s="122" t="s">
        <v>15617</v>
      </c>
      <c r="WBT1" s="122" t="s">
        <v>15618</v>
      </c>
      <c r="WBU1" s="122" t="s">
        <v>15619</v>
      </c>
      <c r="WBV1" s="122" t="s">
        <v>15620</v>
      </c>
      <c r="WBW1" s="122" t="s">
        <v>15621</v>
      </c>
      <c r="WBX1" s="122" t="s">
        <v>15622</v>
      </c>
      <c r="WBY1" s="122" t="s">
        <v>15623</v>
      </c>
      <c r="WBZ1" s="122" t="s">
        <v>15624</v>
      </c>
      <c r="WCA1" s="122" t="s">
        <v>15625</v>
      </c>
      <c r="WCB1" s="122" t="s">
        <v>15626</v>
      </c>
      <c r="WCC1" s="122" t="s">
        <v>15627</v>
      </c>
      <c r="WCD1" s="122" t="s">
        <v>15628</v>
      </c>
      <c r="WCE1" s="122" t="s">
        <v>15629</v>
      </c>
      <c r="WCF1" s="122" t="s">
        <v>15630</v>
      </c>
      <c r="WCG1" s="122" t="s">
        <v>15631</v>
      </c>
      <c r="WCH1" s="122" t="s">
        <v>15632</v>
      </c>
      <c r="WCI1" s="122" t="s">
        <v>15633</v>
      </c>
      <c r="WCJ1" s="122" t="s">
        <v>15634</v>
      </c>
      <c r="WCK1" s="122" t="s">
        <v>15635</v>
      </c>
      <c r="WCL1" s="122" t="s">
        <v>15636</v>
      </c>
      <c r="WCM1" s="122" t="s">
        <v>15637</v>
      </c>
      <c r="WCN1" s="122" t="s">
        <v>15638</v>
      </c>
      <c r="WCO1" s="122" t="s">
        <v>15639</v>
      </c>
      <c r="WCP1" s="122" t="s">
        <v>15640</v>
      </c>
      <c r="WCQ1" s="122" t="s">
        <v>15641</v>
      </c>
      <c r="WCR1" s="122" t="s">
        <v>15642</v>
      </c>
      <c r="WCS1" s="122" t="s">
        <v>15643</v>
      </c>
      <c r="WCT1" s="122" t="s">
        <v>15644</v>
      </c>
      <c r="WCU1" s="122" t="s">
        <v>15645</v>
      </c>
      <c r="WCV1" s="122" t="s">
        <v>15646</v>
      </c>
      <c r="WCW1" s="122" t="s">
        <v>15647</v>
      </c>
      <c r="WCX1" s="122" t="s">
        <v>15648</v>
      </c>
      <c r="WCY1" s="122" t="s">
        <v>15649</v>
      </c>
      <c r="WCZ1" s="122" t="s">
        <v>15650</v>
      </c>
      <c r="WDA1" s="122" t="s">
        <v>15651</v>
      </c>
      <c r="WDB1" s="122" t="s">
        <v>15652</v>
      </c>
      <c r="WDC1" s="122" t="s">
        <v>15653</v>
      </c>
      <c r="WDD1" s="122" t="s">
        <v>15654</v>
      </c>
      <c r="WDE1" s="122" t="s">
        <v>15655</v>
      </c>
      <c r="WDF1" s="122" t="s">
        <v>15656</v>
      </c>
      <c r="WDG1" s="122" t="s">
        <v>15657</v>
      </c>
      <c r="WDH1" s="122" t="s">
        <v>15658</v>
      </c>
      <c r="WDI1" s="122" t="s">
        <v>15659</v>
      </c>
      <c r="WDJ1" s="122" t="s">
        <v>15660</v>
      </c>
      <c r="WDK1" s="122" t="s">
        <v>15661</v>
      </c>
      <c r="WDL1" s="122" t="s">
        <v>15662</v>
      </c>
      <c r="WDM1" s="122" t="s">
        <v>15663</v>
      </c>
      <c r="WDN1" s="122" t="s">
        <v>15664</v>
      </c>
      <c r="WDO1" s="122" t="s">
        <v>15665</v>
      </c>
      <c r="WDP1" s="122" t="s">
        <v>15666</v>
      </c>
      <c r="WDQ1" s="122" t="s">
        <v>15667</v>
      </c>
      <c r="WDR1" s="122" t="s">
        <v>15668</v>
      </c>
      <c r="WDS1" s="122" t="s">
        <v>15669</v>
      </c>
      <c r="WDT1" s="122" t="s">
        <v>15670</v>
      </c>
      <c r="WDU1" s="122" t="s">
        <v>15671</v>
      </c>
      <c r="WDV1" s="122" t="s">
        <v>15672</v>
      </c>
      <c r="WDW1" s="122" t="s">
        <v>15673</v>
      </c>
      <c r="WDX1" s="122" t="s">
        <v>15674</v>
      </c>
      <c r="WDY1" s="122" t="s">
        <v>15675</v>
      </c>
      <c r="WDZ1" s="122" t="s">
        <v>15676</v>
      </c>
      <c r="WEA1" s="122" t="s">
        <v>15677</v>
      </c>
      <c r="WEB1" s="122" t="s">
        <v>15678</v>
      </c>
      <c r="WEC1" s="122" t="s">
        <v>15679</v>
      </c>
      <c r="WED1" s="122" t="s">
        <v>15680</v>
      </c>
      <c r="WEE1" s="122" t="s">
        <v>15681</v>
      </c>
      <c r="WEF1" s="122" t="s">
        <v>15682</v>
      </c>
      <c r="WEG1" s="122" t="s">
        <v>15683</v>
      </c>
      <c r="WEH1" s="122" t="s">
        <v>15684</v>
      </c>
      <c r="WEI1" s="122" t="s">
        <v>15685</v>
      </c>
      <c r="WEJ1" s="122" t="s">
        <v>15686</v>
      </c>
      <c r="WEK1" s="122" t="s">
        <v>15687</v>
      </c>
      <c r="WEL1" s="122" t="s">
        <v>15688</v>
      </c>
      <c r="WEM1" s="122" t="s">
        <v>15689</v>
      </c>
      <c r="WEN1" s="122" t="s">
        <v>15690</v>
      </c>
      <c r="WEO1" s="122" t="s">
        <v>15691</v>
      </c>
      <c r="WEP1" s="122" t="s">
        <v>15692</v>
      </c>
      <c r="WEQ1" s="122" t="s">
        <v>15693</v>
      </c>
      <c r="WER1" s="122" t="s">
        <v>15694</v>
      </c>
      <c r="WES1" s="122" t="s">
        <v>15695</v>
      </c>
      <c r="WET1" s="122" t="s">
        <v>15696</v>
      </c>
      <c r="WEU1" s="122" t="s">
        <v>15697</v>
      </c>
      <c r="WEV1" s="122" t="s">
        <v>15698</v>
      </c>
      <c r="WEW1" s="122" t="s">
        <v>15699</v>
      </c>
      <c r="WEX1" s="122" t="s">
        <v>15700</v>
      </c>
      <c r="WEY1" s="122" t="s">
        <v>15701</v>
      </c>
      <c r="WEZ1" s="122" t="s">
        <v>15702</v>
      </c>
      <c r="WFA1" s="122" t="s">
        <v>15703</v>
      </c>
      <c r="WFB1" s="122" t="s">
        <v>15704</v>
      </c>
      <c r="WFC1" s="122" t="s">
        <v>15705</v>
      </c>
      <c r="WFD1" s="122" t="s">
        <v>15706</v>
      </c>
      <c r="WFE1" s="122" t="s">
        <v>15707</v>
      </c>
      <c r="WFF1" s="122" t="s">
        <v>15708</v>
      </c>
      <c r="WFG1" s="122" t="s">
        <v>15709</v>
      </c>
      <c r="WFH1" s="122" t="s">
        <v>15710</v>
      </c>
      <c r="WFI1" s="122" t="s">
        <v>15711</v>
      </c>
      <c r="WFJ1" s="122" t="s">
        <v>15712</v>
      </c>
      <c r="WFK1" s="122" t="s">
        <v>15713</v>
      </c>
      <c r="WFL1" s="122" t="s">
        <v>15714</v>
      </c>
      <c r="WFM1" s="122" t="s">
        <v>15715</v>
      </c>
      <c r="WFN1" s="122" t="s">
        <v>15716</v>
      </c>
      <c r="WFO1" s="122" t="s">
        <v>15717</v>
      </c>
      <c r="WFP1" s="122" t="s">
        <v>15718</v>
      </c>
      <c r="WFQ1" s="122" t="s">
        <v>15719</v>
      </c>
      <c r="WFR1" s="122" t="s">
        <v>15720</v>
      </c>
      <c r="WFS1" s="122" t="s">
        <v>15721</v>
      </c>
      <c r="WFT1" s="122" t="s">
        <v>15722</v>
      </c>
      <c r="WFU1" s="122" t="s">
        <v>15723</v>
      </c>
      <c r="WFV1" s="122" t="s">
        <v>15724</v>
      </c>
      <c r="WFW1" s="122" t="s">
        <v>15725</v>
      </c>
      <c r="WFX1" s="122" t="s">
        <v>15726</v>
      </c>
      <c r="WFY1" s="122" t="s">
        <v>15727</v>
      </c>
      <c r="WFZ1" s="122" t="s">
        <v>15728</v>
      </c>
      <c r="WGA1" s="122" t="s">
        <v>15729</v>
      </c>
      <c r="WGB1" s="122" t="s">
        <v>15730</v>
      </c>
      <c r="WGC1" s="122" t="s">
        <v>15731</v>
      </c>
      <c r="WGD1" s="122" t="s">
        <v>15732</v>
      </c>
      <c r="WGE1" s="122" t="s">
        <v>15733</v>
      </c>
      <c r="WGF1" s="122" t="s">
        <v>15734</v>
      </c>
      <c r="WGG1" s="122" t="s">
        <v>15735</v>
      </c>
      <c r="WGH1" s="122" t="s">
        <v>15736</v>
      </c>
      <c r="WGI1" s="122" t="s">
        <v>15737</v>
      </c>
      <c r="WGJ1" s="122" t="s">
        <v>15738</v>
      </c>
      <c r="WGK1" s="122" t="s">
        <v>15739</v>
      </c>
      <c r="WGL1" s="122" t="s">
        <v>15740</v>
      </c>
      <c r="WGM1" s="122" t="s">
        <v>15741</v>
      </c>
      <c r="WGN1" s="122" t="s">
        <v>15742</v>
      </c>
      <c r="WGO1" s="122" t="s">
        <v>15743</v>
      </c>
      <c r="WGP1" s="122" t="s">
        <v>15744</v>
      </c>
      <c r="WGQ1" s="122" t="s">
        <v>15745</v>
      </c>
      <c r="WGR1" s="122" t="s">
        <v>15746</v>
      </c>
      <c r="WGS1" s="122" t="s">
        <v>15747</v>
      </c>
      <c r="WGT1" s="122" t="s">
        <v>15748</v>
      </c>
      <c r="WGU1" s="122" t="s">
        <v>15749</v>
      </c>
      <c r="WGV1" s="122" t="s">
        <v>15750</v>
      </c>
      <c r="WGW1" s="122" t="s">
        <v>15751</v>
      </c>
      <c r="WGX1" s="122" t="s">
        <v>15752</v>
      </c>
      <c r="WGY1" s="122" t="s">
        <v>15753</v>
      </c>
      <c r="WGZ1" s="122" t="s">
        <v>15754</v>
      </c>
      <c r="WHA1" s="122" t="s">
        <v>15755</v>
      </c>
      <c r="WHB1" s="122" t="s">
        <v>15756</v>
      </c>
      <c r="WHC1" s="122" t="s">
        <v>15757</v>
      </c>
      <c r="WHD1" s="122" t="s">
        <v>15758</v>
      </c>
      <c r="WHE1" s="122" t="s">
        <v>15759</v>
      </c>
      <c r="WHF1" s="122" t="s">
        <v>15760</v>
      </c>
      <c r="WHG1" s="122" t="s">
        <v>15761</v>
      </c>
      <c r="WHH1" s="122" t="s">
        <v>15762</v>
      </c>
      <c r="WHI1" s="122" t="s">
        <v>15763</v>
      </c>
      <c r="WHJ1" s="122" t="s">
        <v>15764</v>
      </c>
      <c r="WHK1" s="122" t="s">
        <v>15765</v>
      </c>
      <c r="WHL1" s="122" t="s">
        <v>15766</v>
      </c>
      <c r="WHM1" s="122" t="s">
        <v>15767</v>
      </c>
      <c r="WHN1" s="122" t="s">
        <v>15768</v>
      </c>
      <c r="WHO1" s="122" t="s">
        <v>15769</v>
      </c>
      <c r="WHP1" s="122" t="s">
        <v>15770</v>
      </c>
      <c r="WHQ1" s="122" t="s">
        <v>15771</v>
      </c>
      <c r="WHR1" s="122" t="s">
        <v>15772</v>
      </c>
      <c r="WHS1" s="122" t="s">
        <v>15773</v>
      </c>
      <c r="WHT1" s="122" t="s">
        <v>15774</v>
      </c>
      <c r="WHU1" s="122" t="s">
        <v>15775</v>
      </c>
      <c r="WHV1" s="122" t="s">
        <v>15776</v>
      </c>
      <c r="WHW1" s="122" t="s">
        <v>15777</v>
      </c>
      <c r="WHX1" s="122" t="s">
        <v>15778</v>
      </c>
      <c r="WHY1" s="122" t="s">
        <v>15779</v>
      </c>
      <c r="WHZ1" s="122" t="s">
        <v>15780</v>
      </c>
      <c r="WIA1" s="122" t="s">
        <v>15781</v>
      </c>
      <c r="WIB1" s="122" t="s">
        <v>15782</v>
      </c>
      <c r="WIC1" s="122" t="s">
        <v>15783</v>
      </c>
      <c r="WID1" s="122" t="s">
        <v>15784</v>
      </c>
      <c r="WIE1" s="122" t="s">
        <v>15785</v>
      </c>
      <c r="WIF1" s="122" t="s">
        <v>15786</v>
      </c>
      <c r="WIG1" s="122" t="s">
        <v>15787</v>
      </c>
      <c r="WIH1" s="122" t="s">
        <v>15788</v>
      </c>
      <c r="WII1" s="122" t="s">
        <v>15789</v>
      </c>
      <c r="WIJ1" s="122" t="s">
        <v>15790</v>
      </c>
      <c r="WIK1" s="122" t="s">
        <v>15791</v>
      </c>
      <c r="WIL1" s="122" t="s">
        <v>15792</v>
      </c>
      <c r="WIM1" s="122" t="s">
        <v>15793</v>
      </c>
      <c r="WIN1" s="122" t="s">
        <v>15794</v>
      </c>
      <c r="WIO1" s="122" t="s">
        <v>15795</v>
      </c>
      <c r="WIP1" s="122" t="s">
        <v>15796</v>
      </c>
      <c r="WIQ1" s="122" t="s">
        <v>15797</v>
      </c>
      <c r="WIR1" s="122" t="s">
        <v>15798</v>
      </c>
      <c r="WIS1" s="122" t="s">
        <v>15799</v>
      </c>
      <c r="WIT1" s="122" t="s">
        <v>15800</v>
      </c>
      <c r="WIU1" s="122" t="s">
        <v>15801</v>
      </c>
      <c r="WIV1" s="122" t="s">
        <v>15802</v>
      </c>
      <c r="WIW1" s="122" t="s">
        <v>15803</v>
      </c>
      <c r="WIX1" s="122" t="s">
        <v>15804</v>
      </c>
      <c r="WIY1" s="122" t="s">
        <v>15805</v>
      </c>
      <c r="WIZ1" s="122" t="s">
        <v>15806</v>
      </c>
      <c r="WJA1" s="122" t="s">
        <v>15807</v>
      </c>
      <c r="WJB1" s="122" t="s">
        <v>15808</v>
      </c>
      <c r="WJC1" s="122" t="s">
        <v>15809</v>
      </c>
      <c r="WJD1" s="122" t="s">
        <v>15810</v>
      </c>
      <c r="WJE1" s="122" t="s">
        <v>15811</v>
      </c>
      <c r="WJF1" s="122" t="s">
        <v>15812</v>
      </c>
      <c r="WJG1" s="122" t="s">
        <v>15813</v>
      </c>
      <c r="WJH1" s="122" t="s">
        <v>15814</v>
      </c>
      <c r="WJI1" s="122" t="s">
        <v>15815</v>
      </c>
      <c r="WJJ1" s="122" t="s">
        <v>15816</v>
      </c>
      <c r="WJK1" s="122" t="s">
        <v>15817</v>
      </c>
      <c r="WJL1" s="122" t="s">
        <v>15818</v>
      </c>
      <c r="WJM1" s="122" t="s">
        <v>15819</v>
      </c>
      <c r="WJN1" s="122" t="s">
        <v>15820</v>
      </c>
      <c r="WJO1" s="122" t="s">
        <v>15821</v>
      </c>
      <c r="WJP1" s="122" t="s">
        <v>15822</v>
      </c>
      <c r="WJQ1" s="122" t="s">
        <v>15823</v>
      </c>
      <c r="WJR1" s="122" t="s">
        <v>15824</v>
      </c>
      <c r="WJS1" s="122" t="s">
        <v>15825</v>
      </c>
      <c r="WJT1" s="122" t="s">
        <v>15826</v>
      </c>
      <c r="WJU1" s="122" t="s">
        <v>15827</v>
      </c>
      <c r="WJV1" s="122" t="s">
        <v>15828</v>
      </c>
      <c r="WJW1" s="122" t="s">
        <v>15829</v>
      </c>
      <c r="WJX1" s="122" t="s">
        <v>15830</v>
      </c>
      <c r="WJY1" s="122" t="s">
        <v>15831</v>
      </c>
      <c r="WJZ1" s="122" t="s">
        <v>15832</v>
      </c>
      <c r="WKA1" s="122" t="s">
        <v>15833</v>
      </c>
      <c r="WKB1" s="122" t="s">
        <v>15834</v>
      </c>
      <c r="WKC1" s="122" t="s">
        <v>15835</v>
      </c>
      <c r="WKD1" s="122" t="s">
        <v>15836</v>
      </c>
      <c r="WKE1" s="122" t="s">
        <v>15837</v>
      </c>
      <c r="WKF1" s="122" t="s">
        <v>15838</v>
      </c>
      <c r="WKG1" s="122" t="s">
        <v>15839</v>
      </c>
      <c r="WKH1" s="122" t="s">
        <v>15840</v>
      </c>
      <c r="WKI1" s="122" t="s">
        <v>15841</v>
      </c>
      <c r="WKJ1" s="122" t="s">
        <v>15842</v>
      </c>
      <c r="WKK1" s="122" t="s">
        <v>15843</v>
      </c>
      <c r="WKL1" s="122" t="s">
        <v>15844</v>
      </c>
      <c r="WKM1" s="122" t="s">
        <v>15845</v>
      </c>
      <c r="WKN1" s="122" t="s">
        <v>15846</v>
      </c>
      <c r="WKO1" s="122" t="s">
        <v>15847</v>
      </c>
      <c r="WKP1" s="122" t="s">
        <v>15848</v>
      </c>
      <c r="WKQ1" s="122" t="s">
        <v>15849</v>
      </c>
      <c r="WKR1" s="122" t="s">
        <v>15850</v>
      </c>
      <c r="WKS1" s="122" t="s">
        <v>15851</v>
      </c>
      <c r="WKT1" s="122" t="s">
        <v>15852</v>
      </c>
      <c r="WKU1" s="122" t="s">
        <v>15853</v>
      </c>
      <c r="WKV1" s="122" t="s">
        <v>15854</v>
      </c>
      <c r="WKW1" s="122" t="s">
        <v>15855</v>
      </c>
      <c r="WKX1" s="122" t="s">
        <v>15856</v>
      </c>
      <c r="WKY1" s="122" t="s">
        <v>15857</v>
      </c>
      <c r="WKZ1" s="122" t="s">
        <v>15858</v>
      </c>
      <c r="WLA1" s="122" t="s">
        <v>15859</v>
      </c>
      <c r="WLB1" s="122" t="s">
        <v>15860</v>
      </c>
      <c r="WLC1" s="122" t="s">
        <v>15861</v>
      </c>
      <c r="WLD1" s="122" t="s">
        <v>15862</v>
      </c>
      <c r="WLE1" s="122" t="s">
        <v>15863</v>
      </c>
      <c r="WLF1" s="122" t="s">
        <v>15864</v>
      </c>
      <c r="WLG1" s="122" t="s">
        <v>15865</v>
      </c>
      <c r="WLH1" s="122" t="s">
        <v>15866</v>
      </c>
      <c r="WLI1" s="122" t="s">
        <v>15867</v>
      </c>
      <c r="WLJ1" s="122" t="s">
        <v>15868</v>
      </c>
      <c r="WLK1" s="122" t="s">
        <v>15869</v>
      </c>
      <c r="WLL1" s="122" t="s">
        <v>15870</v>
      </c>
      <c r="WLM1" s="122" t="s">
        <v>15871</v>
      </c>
      <c r="WLN1" s="122" t="s">
        <v>15872</v>
      </c>
      <c r="WLO1" s="122" t="s">
        <v>15873</v>
      </c>
      <c r="WLP1" s="122" t="s">
        <v>15874</v>
      </c>
      <c r="WLQ1" s="122" t="s">
        <v>15875</v>
      </c>
      <c r="WLR1" s="122" t="s">
        <v>15876</v>
      </c>
      <c r="WLS1" s="122" t="s">
        <v>15877</v>
      </c>
      <c r="WLT1" s="122" t="s">
        <v>15878</v>
      </c>
      <c r="WLU1" s="122" t="s">
        <v>15879</v>
      </c>
      <c r="WLV1" s="122" t="s">
        <v>15880</v>
      </c>
      <c r="WLW1" s="122" t="s">
        <v>15881</v>
      </c>
      <c r="WLX1" s="122" t="s">
        <v>15882</v>
      </c>
      <c r="WLY1" s="122" t="s">
        <v>15883</v>
      </c>
      <c r="WLZ1" s="122" t="s">
        <v>15884</v>
      </c>
      <c r="WMA1" s="122" t="s">
        <v>15885</v>
      </c>
      <c r="WMB1" s="122" t="s">
        <v>15886</v>
      </c>
      <c r="WMC1" s="122" t="s">
        <v>15887</v>
      </c>
      <c r="WMD1" s="122" t="s">
        <v>15888</v>
      </c>
      <c r="WME1" s="122" t="s">
        <v>15889</v>
      </c>
      <c r="WMF1" s="122" t="s">
        <v>15890</v>
      </c>
      <c r="WMG1" s="122" t="s">
        <v>15891</v>
      </c>
      <c r="WMH1" s="122" t="s">
        <v>15892</v>
      </c>
      <c r="WMI1" s="122" t="s">
        <v>15893</v>
      </c>
      <c r="WMJ1" s="122" t="s">
        <v>15894</v>
      </c>
      <c r="WMK1" s="122" t="s">
        <v>15895</v>
      </c>
      <c r="WML1" s="122" t="s">
        <v>15896</v>
      </c>
      <c r="WMM1" s="122" t="s">
        <v>15897</v>
      </c>
      <c r="WMN1" s="122" t="s">
        <v>15898</v>
      </c>
      <c r="WMO1" s="122" t="s">
        <v>15899</v>
      </c>
      <c r="WMP1" s="122" t="s">
        <v>15900</v>
      </c>
      <c r="WMQ1" s="122" t="s">
        <v>15901</v>
      </c>
      <c r="WMR1" s="122" t="s">
        <v>15902</v>
      </c>
      <c r="WMS1" s="122" t="s">
        <v>15903</v>
      </c>
      <c r="WMT1" s="122" t="s">
        <v>15904</v>
      </c>
      <c r="WMU1" s="122" t="s">
        <v>15905</v>
      </c>
      <c r="WMV1" s="122" t="s">
        <v>15906</v>
      </c>
      <c r="WMW1" s="122" t="s">
        <v>15907</v>
      </c>
      <c r="WMX1" s="122" t="s">
        <v>15908</v>
      </c>
      <c r="WMY1" s="122" t="s">
        <v>15909</v>
      </c>
      <c r="WMZ1" s="122" t="s">
        <v>15910</v>
      </c>
      <c r="WNA1" s="122" t="s">
        <v>15911</v>
      </c>
      <c r="WNB1" s="122" t="s">
        <v>15912</v>
      </c>
      <c r="WNC1" s="122" t="s">
        <v>15913</v>
      </c>
      <c r="WND1" s="122" t="s">
        <v>15914</v>
      </c>
      <c r="WNE1" s="122" t="s">
        <v>15915</v>
      </c>
      <c r="WNF1" s="122" t="s">
        <v>15916</v>
      </c>
      <c r="WNG1" s="122" t="s">
        <v>15917</v>
      </c>
      <c r="WNH1" s="122" t="s">
        <v>15918</v>
      </c>
      <c r="WNI1" s="122" t="s">
        <v>15919</v>
      </c>
      <c r="WNJ1" s="122" t="s">
        <v>15920</v>
      </c>
      <c r="WNK1" s="122" t="s">
        <v>15921</v>
      </c>
      <c r="WNL1" s="122" t="s">
        <v>15922</v>
      </c>
      <c r="WNM1" s="122" t="s">
        <v>15923</v>
      </c>
      <c r="WNN1" s="122" t="s">
        <v>15924</v>
      </c>
      <c r="WNO1" s="122" t="s">
        <v>15925</v>
      </c>
      <c r="WNP1" s="122" t="s">
        <v>15926</v>
      </c>
      <c r="WNQ1" s="122" t="s">
        <v>15927</v>
      </c>
      <c r="WNR1" s="122" t="s">
        <v>15928</v>
      </c>
      <c r="WNS1" s="122" t="s">
        <v>15929</v>
      </c>
      <c r="WNT1" s="122" t="s">
        <v>15930</v>
      </c>
      <c r="WNU1" s="122" t="s">
        <v>15931</v>
      </c>
      <c r="WNV1" s="122" t="s">
        <v>15932</v>
      </c>
      <c r="WNW1" s="122" t="s">
        <v>15933</v>
      </c>
      <c r="WNX1" s="122" t="s">
        <v>15934</v>
      </c>
      <c r="WNY1" s="122" t="s">
        <v>15935</v>
      </c>
      <c r="WNZ1" s="122" t="s">
        <v>15936</v>
      </c>
      <c r="WOA1" s="122" t="s">
        <v>15937</v>
      </c>
      <c r="WOB1" s="122" t="s">
        <v>15938</v>
      </c>
      <c r="WOC1" s="122" t="s">
        <v>15939</v>
      </c>
      <c r="WOD1" s="122" t="s">
        <v>15940</v>
      </c>
      <c r="WOE1" s="122" t="s">
        <v>15941</v>
      </c>
      <c r="WOF1" s="122" t="s">
        <v>15942</v>
      </c>
      <c r="WOG1" s="122" t="s">
        <v>15943</v>
      </c>
      <c r="WOH1" s="122" t="s">
        <v>15944</v>
      </c>
      <c r="WOI1" s="122" t="s">
        <v>15945</v>
      </c>
      <c r="WOJ1" s="122" t="s">
        <v>15946</v>
      </c>
      <c r="WOK1" s="122" t="s">
        <v>15947</v>
      </c>
      <c r="WOL1" s="122" t="s">
        <v>15948</v>
      </c>
      <c r="WOM1" s="122" t="s">
        <v>15949</v>
      </c>
      <c r="WON1" s="122" t="s">
        <v>15950</v>
      </c>
      <c r="WOO1" s="122" t="s">
        <v>15951</v>
      </c>
      <c r="WOP1" s="122" t="s">
        <v>15952</v>
      </c>
      <c r="WOQ1" s="122" t="s">
        <v>15953</v>
      </c>
      <c r="WOR1" s="122" t="s">
        <v>15954</v>
      </c>
      <c r="WOS1" s="122" t="s">
        <v>15955</v>
      </c>
      <c r="WOT1" s="122" t="s">
        <v>15956</v>
      </c>
      <c r="WOU1" s="122" t="s">
        <v>15957</v>
      </c>
      <c r="WOV1" s="122" t="s">
        <v>15958</v>
      </c>
      <c r="WOW1" s="122" t="s">
        <v>15959</v>
      </c>
      <c r="WOX1" s="122" t="s">
        <v>15960</v>
      </c>
      <c r="WOY1" s="122" t="s">
        <v>15961</v>
      </c>
      <c r="WOZ1" s="122" t="s">
        <v>15962</v>
      </c>
      <c r="WPA1" s="122" t="s">
        <v>15963</v>
      </c>
      <c r="WPB1" s="122" t="s">
        <v>15964</v>
      </c>
      <c r="WPC1" s="122" t="s">
        <v>15965</v>
      </c>
      <c r="WPD1" s="122" t="s">
        <v>15966</v>
      </c>
      <c r="WPE1" s="122" t="s">
        <v>15967</v>
      </c>
      <c r="WPF1" s="122" t="s">
        <v>15968</v>
      </c>
      <c r="WPG1" s="122" t="s">
        <v>15969</v>
      </c>
      <c r="WPH1" s="122" t="s">
        <v>15970</v>
      </c>
      <c r="WPI1" s="122" t="s">
        <v>15971</v>
      </c>
      <c r="WPJ1" s="122" t="s">
        <v>15972</v>
      </c>
      <c r="WPK1" s="122" t="s">
        <v>15973</v>
      </c>
      <c r="WPL1" s="122" t="s">
        <v>15974</v>
      </c>
      <c r="WPM1" s="122" t="s">
        <v>15975</v>
      </c>
      <c r="WPN1" s="122" t="s">
        <v>15976</v>
      </c>
      <c r="WPO1" s="122" t="s">
        <v>15977</v>
      </c>
      <c r="WPP1" s="122" t="s">
        <v>15978</v>
      </c>
      <c r="WPQ1" s="122" t="s">
        <v>15979</v>
      </c>
      <c r="WPR1" s="122" t="s">
        <v>15980</v>
      </c>
      <c r="WPS1" s="122" t="s">
        <v>15981</v>
      </c>
      <c r="WPT1" s="122" t="s">
        <v>15982</v>
      </c>
      <c r="WPU1" s="122" t="s">
        <v>15983</v>
      </c>
      <c r="WPV1" s="122" t="s">
        <v>15984</v>
      </c>
      <c r="WPW1" s="122" t="s">
        <v>15985</v>
      </c>
      <c r="WPX1" s="122" t="s">
        <v>15986</v>
      </c>
      <c r="WPY1" s="122" t="s">
        <v>15987</v>
      </c>
      <c r="WPZ1" s="122" t="s">
        <v>15988</v>
      </c>
      <c r="WQA1" s="122" t="s">
        <v>15989</v>
      </c>
      <c r="WQB1" s="122" t="s">
        <v>15990</v>
      </c>
      <c r="WQC1" s="122" t="s">
        <v>15991</v>
      </c>
      <c r="WQD1" s="122" t="s">
        <v>15992</v>
      </c>
      <c r="WQE1" s="122" t="s">
        <v>15993</v>
      </c>
      <c r="WQF1" s="122" t="s">
        <v>15994</v>
      </c>
      <c r="WQG1" s="122" t="s">
        <v>15995</v>
      </c>
      <c r="WQH1" s="122" t="s">
        <v>15996</v>
      </c>
      <c r="WQI1" s="122" t="s">
        <v>15997</v>
      </c>
      <c r="WQJ1" s="122" t="s">
        <v>15998</v>
      </c>
      <c r="WQK1" s="122" t="s">
        <v>15999</v>
      </c>
      <c r="WQL1" s="122" t="s">
        <v>16000</v>
      </c>
      <c r="WQM1" s="122" t="s">
        <v>16001</v>
      </c>
      <c r="WQN1" s="122" t="s">
        <v>16002</v>
      </c>
      <c r="WQO1" s="122" t="s">
        <v>16003</v>
      </c>
      <c r="WQP1" s="122" t="s">
        <v>16004</v>
      </c>
      <c r="WQQ1" s="122" t="s">
        <v>16005</v>
      </c>
      <c r="WQR1" s="122" t="s">
        <v>16006</v>
      </c>
      <c r="WQS1" s="122" t="s">
        <v>16007</v>
      </c>
      <c r="WQT1" s="122" t="s">
        <v>16008</v>
      </c>
      <c r="WQU1" s="122" t="s">
        <v>16009</v>
      </c>
      <c r="WQV1" s="122" t="s">
        <v>16010</v>
      </c>
      <c r="WQW1" s="122" t="s">
        <v>16011</v>
      </c>
      <c r="WQX1" s="122" t="s">
        <v>16012</v>
      </c>
      <c r="WQY1" s="122" t="s">
        <v>16013</v>
      </c>
      <c r="WQZ1" s="122" t="s">
        <v>16014</v>
      </c>
      <c r="WRA1" s="122" t="s">
        <v>16015</v>
      </c>
      <c r="WRB1" s="122" t="s">
        <v>16016</v>
      </c>
      <c r="WRC1" s="122" t="s">
        <v>16017</v>
      </c>
      <c r="WRD1" s="122" t="s">
        <v>16018</v>
      </c>
      <c r="WRE1" s="122" t="s">
        <v>16019</v>
      </c>
      <c r="WRF1" s="122" t="s">
        <v>16020</v>
      </c>
      <c r="WRG1" s="122" t="s">
        <v>16021</v>
      </c>
      <c r="WRH1" s="122" t="s">
        <v>16022</v>
      </c>
      <c r="WRI1" s="122" t="s">
        <v>16023</v>
      </c>
      <c r="WRJ1" s="122" t="s">
        <v>16024</v>
      </c>
      <c r="WRK1" s="122" t="s">
        <v>16025</v>
      </c>
      <c r="WRL1" s="122" t="s">
        <v>16026</v>
      </c>
      <c r="WRM1" s="122" t="s">
        <v>16027</v>
      </c>
      <c r="WRN1" s="122" t="s">
        <v>16028</v>
      </c>
      <c r="WRO1" s="122" t="s">
        <v>16029</v>
      </c>
      <c r="WRP1" s="122" t="s">
        <v>16030</v>
      </c>
      <c r="WRQ1" s="122" t="s">
        <v>16031</v>
      </c>
      <c r="WRR1" s="122" t="s">
        <v>16032</v>
      </c>
      <c r="WRS1" s="122" t="s">
        <v>16033</v>
      </c>
      <c r="WRT1" s="122" t="s">
        <v>16034</v>
      </c>
      <c r="WRU1" s="122" t="s">
        <v>16035</v>
      </c>
      <c r="WRV1" s="122" t="s">
        <v>16036</v>
      </c>
      <c r="WRW1" s="122" t="s">
        <v>16037</v>
      </c>
      <c r="WRX1" s="122" t="s">
        <v>16038</v>
      </c>
      <c r="WRY1" s="122" t="s">
        <v>16039</v>
      </c>
      <c r="WRZ1" s="122" t="s">
        <v>16040</v>
      </c>
      <c r="WSA1" s="122" t="s">
        <v>16041</v>
      </c>
      <c r="WSB1" s="122" t="s">
        <v>16042</v>
      </c>
      <c r="WSC1" s="122" t="s">
        <v>16043</v>
      </c>
      <c r="WSD1" s="122" t="s">
        <v>16044</v>
      </c>
      <c r="WSE1" s="122" t="s">
        <v>16045</v>
      </c>
      <c r="WSF1" s="122" t="s">
        <v>16046</v>
      </c>
      <c r="WSG1" s="122" t="s">
        <v>16047</v>
      </c>
      <c r="WSH1" s="122" t="s">
        <v>16048</v>
      </c>
      <c r="WSI1" s="122" t="s">
        <v>16049</v>
      </c>
      <c r="WSJ1" s="122" t="s">
        <v>16050</v>
      </c>
      <c r="WSK1" s="122" t="s">
        <v>16051</v>
      </c>
      <c r="WSL1" s="122" t="s">
        <v>16052</v>
      </c>
      <c r="WSM1" s="122" t="s">
        <v>16053</v>
      </c>
      <c r="WSN1" s="122" t="s">
        <v>16054</v>
      </c>
      <c r="WSO1" s="122" t="s">
        <v>16055</v>
      </c>
      <c r="WSP1" s="122" t="s">
        <v>16056</v>
      </c>
      <c r="WSQ1" s="122" t="s">
        <v>16057</v>
      </c>
      <c r="WSR1" s="122" t="s">
        <v>16058</v>
      </c>
      <c r="WSS1" s="122" t="s">
        <v>16059</v>
      </c>
      <c r="WST1" s="122" t="s">
        <v>16060</v>
      </c>
      <c r="WSU1" s="122" t="s">
        <v>16061</v>
      </c>
      <c r="WSV1" s="122" t="s">
        <v>16062</v>
      </c>
      <c r="WSW1" s="122" t="s">
        <v>16063</v>
      </c>
      <c r="WSX1" s="122" t="s">
        <v>16064</v>
      </c>
      <c r="WSY1" s="122" t="s">
        <v>16065</v>
      </c>
      <c r="WSZ1" s="122" t="s">
        <v>16066</v>
      </c>
      <c r="WTA1" s="122" t="s">
        <v>16067</v>
      </c>
      <c r="WTB1" s="122" t="s">
        <v>16068</v>
      </c>
      <c r="WTC1" s="122" t="s">
        <v>16069</v>
      </c>
      <c r="WTD1" s="122" t="s">
        <v>16070</v>
      </c>
      <c r="WTE1" s="122" t="s">
        <v>16071</v>
      </c>
      <c r="WTF1" s="122" t="s">
        <v>16072</v>
      </c>
      <c r="WTG1" s="122" t="s">
        <v>16073</v>
      </c>
      <c r="WTH1" s="122" t="s">
        <v>16074</v>
      </c>
      <c r="WTI1" s="122" t="s">
        <v>16075</v>
      </c>
      <c r="WTJ1" s="122" t="s">
        <v>16076</v>
      </c>
      <c r="WTK1" s="122" t="s">
        <v>16077</v>
      </c>
      <c r="WTL1" s="122" t="s">
        <v>16078</v>
      </c>
      <c r="WTM1" s="122" t="s">
        <v>16079</v>
      </c>
      <c r="WTN1" s="122" t="s">
        <v>16080</v>
      </c>
      <c r="WTO1" s="122" t="s">
        <v>16081</v>
      </c>
      <c r="WTP1" s="122" t="s">
        <v>16082</v>
      </c>
      <c r="WTQ1" s="122" t="s">
        <v>16083</v>
      </c>
      <c r="WTR1" s="122" t="s">
        <v>16084</v>
      </c>
      <c r="WTS1" s="122" t="s">
        <v>16085</v>
      </c>
      <c r="WTT1" s="122" t="s">
        <v>16086</v>
      </c>
      <c r="WTU1" s="122" t="s">
        <v>16087</v>
      </c>
      <c r="WTV1" s="122" t="s">
        <v>16088</v>
      </c>
      <c r="WTW1" s="122" t="s">
        <v>16089</v>
      </c>
      <c r="WTX1" s="122" t="s">
        <v>16090</v>
      </c>
      <c r="WTY1" s="122" t="s">
        <v>16091</v>
      </c>
      <c r="WTZ1" s="122" t="s">
        <v>16092</v>
      </c>
      <c r="WUA1" s="122" t="s">
        <v>16093</v>
      </c>
      <c r="WUB1" s="122" t="s">
        <v>16094</v>
      </c>
      <c r="WUC1" s="122" t="s">
        <v>16095</v>
      </c>
      <c r="WUD1" s="122" t="s">
        <v>16096</v>
      </c>
      <c r="WUE1" s="122" t="s">
        <v>16097</v>
      </c>
      <c r="WUF1" s="122" t="s">
        <v>16098</v>
      </c>
      <c r="WUG1" s="122" t="s">
        <v>16099</v>
      </c>
      <c r="WUH1" s="122" t="s">
        <v>16100</v>
      </c>
      <c r="WUI1" s="122" t="s">
        <v>16101</v>
      </c>
      <c r="WUJ1" s="122" t="s">
        <v>16102</v>
      </c>
      <c r="WUK1" s="122" t="s">
        <v>16103</v>
      </c>
      <c r="WUL1" s="122" t="s">
        <v>16104</v>
      </c>
      <c r="WUM1" s="122" t="s">
        <v>16105</v>
      </c>
      <c r="WUN1" s="122" t="s">
        <v>16106</v>
      </c>
      <c r="WUO1" s="122" t="s">
        <v>16107</v>
      </c>
      <c r="WUP1" s="122" t="s">
        <v>16108</v>
      </c>
      <c r="WUQ1" s="122" t="s">
        <v>16109</v>
      </c>
      <c r="WUR1" s="122" t="s">
        <v>16110</v>
      </c>
      <c r="WUS1" s="122" t="s">
        <v>16111</v>
      </c>
      <c r="WUT1" s="122" t="s">
        <v>16112</v>
      </c>
      <c r="WUU1" s="122" t="s">
        <v>16113</v>
      </c>
      <c r="WUV1" s="122" t="s">
        <v>16114</v>
      </c>
      <c r="WUW1" s="122" t="s">
        <v>16115</v>
      </c>
      <c r="WUX1" s="122" t="s">
        <v>16116</v>
      </c>
      <c r="WUY1" s="122" t="s">
        <v>16117</v>
      </c>
      <c r="WUZ1" s="122" t="s">
        <v>16118</v>
      </c>
      <c r="WVA1" s="122" t="s">
        <v>16119</v>
      </c>
      <c r="WVB1" s="122" t="s">
        <v>16120</v>
      </c>
      <c r="WVC1" s="122" t="s">
        <v>16121</v>
      </c>
      <c r="WVD1" s="122" t="s">
        <v>16122</v>
      </c>
      <c r="WVE1" s="122" t="s">
        <v>16123</v>
      </c>
      <c r="WVF1" s="122" t="s">
        <v>16124</v>
      </c>
      <c r="WVG1" s="122" t="s">
        <v>16125</v>
      </c>
      <c r="WVH1" s="122" t="s">
        <v>16126</v>
      </c>
      <c r="WVI1" s="122" t="s">
        <v>16127</v>
      </c>
      <c r="WVJ1" s="122" t="s">
        <v>16128</v>
      </c>
      <c r="WVK1" s="122" t="s">
        <v>16129</v>
      </c>
      <c r="WVL1" s="122" t="s">
        <v>16130</v>
      </c>
      <c r="WVM1" s="122" t="s">
        <v>16131</v>
      </c>
      <c r="WVN1" s="122" t="s">
        <v>16132</v>
      </c>
      <c r="WVO1" s="122" t="s">
        <v>16133</v>
      </c>
      <c r="WVP1" s="122" t="s">
        <v>16134</v>
      </c>
      <c r="WVQ1" s="122" t="s">
        <v>16135</v>
      </c>
      <c r="WVR1" s="122" t="s">
        <v>16136</v>
      </c>
      <c r="WVS1" s="122" t="s">
        <v>16137</v>
      </c>
      <c r="WVT1" s="122" t="s">
        <v>16138</v>
      </c>
      <c r="WVU1" s="122" t="s">
        <v>16139</v>
      </c>
      <c r="WVV1" s="122" t="s">
        <v>16140</v>
      </c>
      <c r="WVW1" s="122" t="s">
        <v>16141</v>
      </c>
      <c r="WVX1" s="122" t="s">
        <v>16142</v>
      </c>
      <c r="WVY1" s="122" t="s">
        <v>16143</v>
      </c>
      <c r="WVZ1" s="122" t="s">
        <v>16144</v>
      </c>
      <c r="WWA1" s="122" t="s">
        <v>16145</v>
      </c>
      <c r="WWB1" s="122" t="s">
        <v>16146</v>
      </c>
      <c r="WWC1" s="122" t="s">
        <v>16147</v>
      </c>
      <c r="WWD1" s="122" t="s">
        <v>16148</v>
      </c>
      <c r="WWE1" s="122" t="s">
        <v>16149</v>
      </c>
      <c r="WWF1" s="122" t="s">
        <v>16150</v>
      </c>
      <c r="WWG1" s="122" t="s">
        <v>16151</v>
      </c>
      <c r="WWH1" s="122" t="s">
        <v>16152</v>
      </c>
      <c r="WWI1" s="122" t="s">
        <v>16153</v>
      </c>
      <c r="WWJ1" s="122" t="s">
        <v>16154</v>
      </c>
      <c r="WWK1" s="122" t="s">
        <v>16155</v>
      </c>
      <c r="WWL1" s="122" t="s">
        <v>16156</v>
      </c>
      <c r="WWM1" s="122" t="s">
        <v>16157</v>
      </c>
      <c r="WWN1" s="122" t="s">
        <v>16158</v>
      </c>
      <c r="WWO1" s="122" t="s">
        <v>16159</v>
      </c>
      <c r="WWP1" s="122" t="s">
        <v>16160</v>
      </c>
      <c r="WWQ1" s="122" t="s">
        <v>16161</v>
      </c>
      <c r="WWR1" s="122" t="s">
        <v>16162</v>
      </c>
      <c r="WWS1" s="122" t="s">
        <v>16163</v>
      </c>
      <c r="WWT1" s="122" t="s">
        <v>16164</v>
      </c>
      <c r="WWU1" s="122" t="s">
        <v>16165</v>
      </c>
      <c r="WWV1" s="122" t="s">
        <v>16166</v>
      </c>
      <c r="WWW1" s="122" t="s">
        <v>16167</v>
      </c>
      <c r="WWX1" s="122" t="s">
        <v>16168</v>
      </c>
      <c r="WWY1" s="122" t="s">
        <v>16169</v>
      </c>
      <c r="WWZ1" s="122" t="s">
        <v>16170</v>
      </c>
      <c r="WXA1" s="122" t="s">
        <v>16171</v>
      </c>
      <c r="WXB1" s="122" t="s">
        <v>16172</v>
      </c>
      <c r="WXC1" s="122" t="s">
        <v>16173</v>
      </c>
      <c r="WXD1" s="122" t="s">
        <v>16174</v>
      </c>
      <c r="WXE1" s="122" t="s">
        <v>16175</v>
      </c>
      <c r="WXF1" s="122" t="s">
        <v>16176</v>
      </c>
      <c r="WXG1" s="122" t="s">
        <v>16177</v>
      </c>
      <c r="WXH1" s="122" t="s">
        <v>16178</v>
      </c>
      <c r="WXI1" s="122" t="s">
        <v>16179</v>
      </c>
      <c r="WXJ1" s="122" t="s">
        <v>16180</v>
      </c>
      <c r="WXK1" s="122" t="s">
        <v>16181</v>
      </c>
      <c r="WXL1" s="122" t="s">
        <v>16182</v>
      </c>
      <c r="WXM1" s="122" t="s">
        <v>16183</v>
      </c>
      <c r="WXN1" s="122" t="s">
        <v>16184</v>
      </c>
      <c r="WXO1" s="122" t="s">
        <v>16185</v>
      </c>
      <c r="WXP1" s="122" t="s">
        <v>16186</v>
      </c>
      <c r="WXQ1" s="122" t="s">
        <v>16187</v>
      </c>
      <c r="WXR1" s="122" t="s">
        <v>16188</v>
      </c>
      <c r="WXS1" s="122" t="s">
        <v>16189</v>
      </c>
      <c r="WXT1" s="122" t="s">
        <v>16190</v>
      </c>
      <c r="WXU1" s="122" t="s">
        <v>16191</v>
      </c>
      <c r="WXV1" s="122" t="s">
        <v>16192</v>
      </c>
      <c r="WXW1" s="122" t="s">
        <v>16193</v>
      </c>
      <c r="WXX1" s="122" t="s">
        <v>16194</v>
      </c>
      <c r="WXY1" s="122" t="s">
        <v>16195</v>
      </c>
      <c r="WXZ1" s="122" t="s">
        <v>16196</v>
      </c>
      <c r="WYA1" s="122" t="s">
        <v>16197</v>
      </c>
      <c r="WYB1" s="122" t="s">
        <v>16198</v>
      </c>
      <c r="WYC1" s="122" t="s">
        <v>16199</v>
      </c>
      <c r="WYD1" s="122" t="s">
        <v>16200</v>
      </c>
      <c r="WYE1" s="122" t="s">
        <v>16201</v>
      </c>
      <c r="WYF1" s="122" t="s">
        <v>16202</v>
      </c>
      <c r="WYG1" s="122" t="s">
        <v>16203</v>
      </c>
      <c r="WYH1" s="122" t="s">
        <v>16204</v>
      </c>
      <c r="WYI1" s="122" t="s">
        <v>16205</v>
      </c>
      <c r="WYJ1" s="122" t="s">
        <v>16206</v>
      </c>
      <c r="WYK1" s="122" t="s">
        <v>16207</v>
      </c>
      <c r="WYL1" s="122" t="s">
        <v>16208</v>
      </c>
      <c r="WYM1" s="122" t="s">
        <v>16209</v>
      </c>
      <c r="WYN1" s="122" t="s">
        <v>16210</v>
      </c>
      <c r="WYO1" s="122" t="s">
        <v>16211</v>
      </c>
      <c r="WYP1" s="122" t="s">
        <v>16212</v>
      </c>
      <c r="WYQ1" s="122" t="s">
        <v>16213</v>
      </c>
      <c r="WYR1" s="122" t="s">
        <v>16214</v>
      </c>
      <c r="WYS1" s="122" t="s">
        <v>16215</v>
      </c>
      <c r="WYT1" s="122" t="s">
        <v>16216</v>
      </c>
      <c r="WYU1" s="122" t="s">
        <v>16217</v>
      </c>
      <c r="WYV1" s="122" t="s">
        <v>16218</v>
      </c>
      <c r="WYW1" s="122" t="s">
        <v>16219</v>
      </c>
      <c r="WYX1" s="122" t="s">
        <v>16220</v>
      </c>
      <c r="WYY1" s="122" t="s">
        <v>16221</v>
      </c>
      <c r="WYZ1" s="122" t="s">
        <v>16222</v>
      </c>
      <c r="WZA1" s="122" t="s">
        <v>16223</v>
      </c>
      <c r="WZB1" s="122" t="s">
        <v>16224</v>
      </c>
      <c r="WZC1" s="122" t="s">
        <v>16225</v>
      </c>
      <c r="WZD1" s="122" t="s">
        <v>16226</v>
      </c>
      <c r="WZE1" s="122" t="s">
        <v>16227</v>
      </c>
      <c r="WZF1" s="122" t="s">
        <v>16228</v>
      </c>
      <c r="WZG1" s="122" t="s">
        <v>16229</v>
      </c>
      <c r="WZH1" s="122" t="s">
        <v>16230</v>
      </c>
      <c r="WZI1" s="122" t="s">
        <v>16231</v>
      </c>
      <c r="WZJ1" s="122" t="s">
        <v>16232</v>
      </c>
      <c r="WZK1" s="122" t="s">
        <v>16233</v>
      </c>
      <c r="WZL1" s="122" t="s">
        <v>16234</v>
      </c>
      <c r="WZM1" s="122" t="s">
        <v>16235</v>
      </c>
      <c r="WZN1" s="122" t="s">
        <v>16236</v>
      </c>
      <c r="WZO1" s="122" t="s">
        <v>16237</v>
      </c>
      <c r="WZP1" s="122" t="s">
        <v>16238</v>
      </c>
      <c r="WZQ1" s="122" t="s">
        <v>16239</v>
      </c>
      <c r="WZR1" s="122" t="s">
        <v>16240</v>
      </c>
      <c r="WZS1" s="122" t="s">
        <v>16241</v>
      </c>
      <c r="WZT1" s="122" t="s">
        <v>16242</v>
      </c>
      <c r="WZU1" s="122" t="s">
        <v>16243</v>
      </c>
      <c r="WZV1" s="122" t="s">
        <v>16244</v>
      </c>
      <c r="WZW1" s="122" t="s">
        <v>16245</v>
      </c>
      <c r="WZX1" s="122" t="s">
        <v>16246</v>
      </c>
      <c r="WZY1" s="122" t="s">
        <v>16247</v>
      </c>
      <c r="WZZ1" s="122" t="s">
        <v>16248</v>
      </c>
      <c r="XAA1" s="122" t="s">
        <v>16249</v>
      </c>
      <c r="XAB1" s="122" t="s">
        <v>16250</v>
      </c>
      <c r="XAC1" s="122" t="s">
        <v>16251</v>
      </c>
      <c r="XAD1" s="122" t="s">
        <v>16252</v>
      </c>
      <c r="XAE1" s="122" t="s">
        <v>16253</v>
      </c>
      <c r="XAF1" s="122" t="s">
        <v>16254</v>
      </c>
      <c r="XAG1" s="122" t="s">
        <v>16255</v>
      </c>
      <c r="XAH1" s="122" t="s">
        <v>16256</v>
      </c>
      <c r="XAI1" s="122" t="s">
        <v>16257</v>
      </c>
      <c r="XAJ1" s="122" t="s">
        <v>16258</v>
      </c>
      <c r="XAK1" s="122" t="s">
        <v>16259</v>
      </c>
      <c r="XAL1" s="122" t="s">
        <v>16260</v>
      </c>
      <c r="XAM1" s="122" t="s">
        <v>16261</v>
      </c>
      <c r="XAN1" s="122" t="s">
        <v>16262</v>
      </c>
      <c r="XAO1" s="122" t="s">
        <v>16263</v>
      </c>
      <c r="XAP1" s="122" t="s">
        <v>16264</v>
      </c>
      <c r="XAQ1" s="122" t="s">
        <v>16265</v>
      </c>
      <c r="XAR1" s="122" t="s">
        <v>16266</v>
      </c>
      <c r="XAS1" s="122" t="s">
        <v>16267</v>
      </c>
      <c r="XAT1" s="122" t="s">
        <v>16268</v>
      </c>
      <c r="XAU1" s="122" t="s">
        <v>16269</v>
      </c>
      <c r="XAV1" s="122" t="s">
        <v>16270</v>
      </c>
      <c r="XAW1" s="122" t="s">
        <v>16271</v>
      </c>
      <c r="XAX1" s="122" t="s">
        <v>16272</v>
      </c>
      <c r="XAY1" s="122" t="s">
        <v>16273</v>
      </c>
      <c r="XAZ1" s="122" t="s">
        <v>16274</v>
      </c>
      <c r="XBA1" s="122" t="s">
        <v>16275</v>
      </c>
      <c r="XBB1" s="122" t="s">
        <v>16276</v>
      </c>
      <c r="XBC1" s="122" t="s">
        <v>16277</v>
      </c>
      <c r="XBD1" s="122" t="s">
        <v>16278</v>
      </c>
      <c r="XBE1" s="122" t="s">
        <v>16279</v>
      </c>
      <c r="XBF1" s="122" t="s">
        <v>16280</v>
      </c>
      <c r="XBG1" s="122" t="s">
        <v>16281</v>
      </c>
      <c r="XBH1" s="122" t="s">
        <v>16282</v>
      </c>
      <c r="XBI1" s="122" t="s">
        <v>16283</v>
      </c>
      <c r="XBJ1" s="122" t="s">
        <v>16284</v>
      </c>
      <c r="XBK1" s="122" t="s">
        <v>16285</v>
      </c>
      <c r="XBL1" s="122" t="s">
        <v>16286</v>
      </c>
      <c r="XBM1" s="122" t="s">
        <v>16287</v>
      </c>
      <c r="XBN1" s="122" t="s">
        <v>16288</v>
      </c>
      <c r="XBO1" s="122" t="s">
        <v>16289</v>
      </c>
      <c r="XBP1" s="122" t="s">
        <v>16290</v>
      </c>
      <c r="XBQ1" s="122" t="s">
        <v>16291</v>
      </c>
      <c r="XBR1" s="122" t="s">
        <v>16292</v>
      </c>
      <c r="XBS1" s="122" t="s">
        <v>16293</v>
      </c>
      <c r="XBT1" s="122" t="s">
        <v>16294</v>
      </c>
      <c r="XBU1" s="122" t="s">
        <v>16295</v>
      </c>
      <c r="XBV1" s="122" t="s">
        <v>16296</v>
      </c>
      <c r="XBW1" s="122" t="s">
        <v>16297</v>
      </c>
      <c r="XBX1" s="122" t="s">
        <v>16298</v>
      </c>
      <c r="XBY1" s="122" t="s">
        <v>16299</v>
      </c>
      <c r="XBZ1" s="122" t="s">
        <v>16300</v>
      </c>
      <c r="XCA1" s="122" t="s">
        <v>16301</v>
      </c>
      <c r="XCB1" s="122" t="s">
        <v>16302</v>
      </c>
      <c r="XCC1" s="122" t="s">
        <v>16303</v>
      </c>
      <c r="XCD1" s="122" t="s">
        <v>16304</v>
      </c>
      <c r="XCE1" s="122" t="s">
        <v>16305</v>
      </c>
      <c r="XCF1" s="122" t="s">
        <v>16306</v>
      </c>
      <c r="XCG1" s="122" t="s">
        <v>16307</v>
      </c>
      <c r="XCH1" s="122" t="s">
        <v>16308</v>
      </c>
      <c r="XCI1" s="122" t="s">
        <v>16309</v>
      </c>
      <c r="XCJ1" s="122" t="s">
        <v>16310</v>
      </c>
      <c r="XCK1" s="122" t="s">
        <v>16311</v>
      </c>
      <c r="XCL1" s="122" t="s">
        <v>16312</v>
      </c>
      <c r="XCM1" s="122" t="s">
        <v>16313</v>
      </c>
      <c r="XCN1" s="122" t="s">
        <v>16314</v>
      </c>
      <c r="XCO1" s="122" t="s">
        <v>16315</v>
      </c>
      <c r="XCP1" s="122" t="s">
        <v>16316</v>
      </c>
      <c r="XCQ1" s="122" t="s">
        <v>16317</v>
      </c>
      <c r="XCR1" s="122" t="s">
        <v>16318</v>
      </c>
      <c r="XCS1" s="122" t="s">
        <v>16319</v>
      </c>
      <c r="XCT1" s="122" t="s">
        <v>16320</v>
      </c>
      <c r="XCU1" s="122" t="s">
        <v>16321</v>
      </c>
      <c r="XCV1" s="122" t="s">
        <v>16322</v>
      </c>
      <c r="XCW1" s="122" t="s">
        <v>16323</v>
      </c>
      <c r="XCX1" s="122" t="s">
        <v>16324</v>
      </c>
      <c r="XCY1" s="122" t="s">
        <v>16325</v>
      </c>
      <c r="XCZ1" s="122" t="s">
        <v>16326</v>
      </c>
      <c r="XDA1" s="122" t="s">
        <v>16327</v>
      </c>
      <c r="XDB1" s="122" t="s">
        <v>16328</v>
      </c>
      <c r="XDC1" s="122" t="s">
        <v>16329</v>
      </c>
    </row>
    <row r="2" spans="1:16331" customFormat="1" ht="14.65" thickTop="1" x14ac:dyDescent="0.45">
      <c r="A2">
        <v>100013</v>
      </c>
      <c r="B2" t="s">
        <v>16330</v>
      </c>
      <c r="C2" s="2" t="s">
        <v>16331</v>
      </c>
      <c r="D2">
        <v>0</v>
      </c>
      <c r="E2" t="s">
        <v>16331</v>
      </c>
      <c r="F2" s="126">
        <v>0</v>
      </c>
      <c r="G2" s="3">
        <v>0</v>
      </c>
      <c r="H2" s="3">
        <v>0</v>
      </c>
      <c r="I2" s="4">
        <v>0</v>
      </c>
      <c r="J2" s="4">
        <v>0</v>
      </c>
      <c r="K2" s="3">
        <f t="shared" ref="K2:K48" si="0">SUM(G2:J2)</f>
        <v>0</v>
      </c>
      <c r="L2" s="3"/>
      <c r="M2" s="3">
        <f t="shared" ref="M2:M48" si="1">K2+F2</f>
        <v>0</v>
      </c>
      <c r="O2" s="5"/>
      <c r="S2" s="6"/>
    </row>
    <row r="3" spans="1:16331" customFormat="1" x14ac:dyDescent="0.45">
      <c r="A3">
        <v>100556</v>
      </c>
      <c r="B3" t="s">
        <v>16332</v>
      </c>
      <c r="C3" t="s">
        <v>16333</v>
      </c>
      <c r="D3">
        <v>3</v>
      </c>
      <c r="E3" t="s">
        <v>16334</v>
      </c>
      <c r="F3" s="124"/>
      <c r="H3" s="7"/>
      <c r="J3" s="3"/>
      <c r="K3" s="3">
        <f t="shared" si="0"/>
        <v>0</v>
      </c>
      <c r="L3" s="3"/>
      <c r="M3" s="3">
        <f t="shared" si="1"/>
        <v>0</v>
      </c>
      <c r="O3" s="5"/>
      <c r="S3" s="6"/>
    </row>
    <row r="4" spans="1:16331" customFormat="1" x14ac:dyDescent="0.45">
      <c r="A4">
        <v>100747</v>
      </c>
      <c r="B4" t="s">
        <v>16335</v>
      </c>
      <c r="C4" t="s">
        <v>16331</v>
      </c>
      <c r="D4">
        <v>0</v>
      </c>
      <c r="E4" t="s">
        <v>16336</v>
      </c>
      <c r="F4" s="124"/>
      <c r="G4" s="7">
        <v>0</v>
      </c>
      <c r="H4" s="7">
        <v>0</v>
      </c>
      <c r="I4" s="7">
        <v>0</v>
      </c>
      <c r="J4" s="7">
        <v>0</v>
      </c>
      <c r="K4" s="3">
        <f t="shared" si="0"/>
        <v>0</v>
      </c>
      <c r="L4" s="3"/>
      <c r="M4" s="3">
        <f t="shared" si="1"/>
        <v>0</v>
      </c>
      <c r="O4" s="5"/>
      <c r="S4" s="6"/>
    </row>
    <row r="5" spans="1:16331" customFormat="1" x14ac:dyDescent="0.45">
      <c r="A5">
        <v>100825</v>
      </c>
      <c r="B5" t="s">
        <v>16337</v>
      </c>
      <c r="C5" t="s">
        <v>16338</v>
      </c>
      <c r="D5">
        <v>9</v>
      </c>
      <c r="E5" t="s">
        <v>16334</v>
      </c>
      <c r="F5" s="124"/>
      <c r="G5" s="7">
        <v>0</v>
      </c>
      <c r="H5" s="7">
        <v>0</v>
      </c>
      <c r="I5" s="7">
        <v>0</v>
      </c>
      <c r="J5" s="7">
        <v>0</v>
      </c>
      <c r="K5" s="3">
        <f t="shared" si="0"/>
        <v>0</v>
      </c>
      <c r="L5" s="3"/>
      <c r="M5" s="3">
        <f t="shared" si="1"/>
        <v>0</v>
      </c>
      <c r="O5" s="5"/>
      <c r="S5" s="6"/>
    </row>
    <row r="6" spans="1:16331" customFormat="1" x14ac:dyDescent="0.45">
      <c r="A6">
        <v>101092</v>
      </c>
      <c r="B6" t="s">
        <v>16339</v>
      </c>
      <c r="C6" t="s">
        <v>16331</v>
      </c>
      <c r="D6">
        <v>0</v>
      </c>
      <c r="E6" t="s">
        <v>16336</v>
      </c>
      <c r="F6" s="124"/>
      <c r="K6" s="3">
        <f t="shared" si="0"/>
        <v>0</v>
      </c>
      <c r="L6" s="3"/>
      <c r="M6" s="3">
        <f t="shared" si="1"/>
        <v>0</v>
      </c>
      <c r="O6" s="5"/>
      <c r="S6" s="6"/>
    </row>
    <row r="7" spans="1:16331" customFormat="1" x14ac:dyDescent="0.45">
      <c r="A7">
        <v>101180</v>
      </c>
      <c r="B7" t="s">
        <v>16340</v>
      </c>
      <c r="C7" t="s">
        <v>16341</v>
      </c>
      <c r="D7">
        <v>2</v>
      </c>
      <c r="E7" t="s">
        <v>16334</v>
      </c>
      <c r="F7" s="124"/>
      <c r="G7" s="7">
        <v>0</v>
      </c>
      <c r="H7" s="7">
        <v>0</v>
      </c>
      <c r="I7" s="7">
        <v>0</v>
      </c>
      <c r="J7" s="7">
        <v>0</v>
      </c>
      <c r="K7" s="3">
        <f t="shared" si="0"/>
        <v>0</v>
      </c>
      <c r="L7" s="3"/>
      <c r="M7" s="3">
        <f t="shared" si="1"/>
        <v>0</v>
      </c>
      <c r="O7" s="5"/>
      <c r="S7" s="6"/>
    </row>
    <row r="8" spans="1:16331" customFormat="1" x14ac:dyDescent="0.45">
      <c r="A8">
        <v>102577</v>
      </c>
      <c r="B8" t="s">
        <v>16342</v>
      </c>
      <c r="C8" s="2" t="s">
        <v>16343</v>
      </c>
      <c r="D8">
        <v>1</v>
      </c>
      <c r="E8" t="s">
        <v>16334</v>
      </c>
      <c r="F8" s="125"/>
      <c r="G8" s="7">
        <v>0</v>
      </c>
      <c r="H8" s="7">
        <v>0</v>
      </c>
      <c r="I8" s="7">
        <v>0</v>
      </c>
      <c r="J8" s="7">
        <v>0</v>
      </c>
      <c r="K8" s="3">
        <f t="shared" si="0"/>
        <v>0</v>
      </c>
      <c r="L8" s="3"/>
      <c r="M8" s="3">
        <f t="shared" si="1"/>
        <v>0</v>
      </c>
      <c r="N8" t="s">
        <v>16344</v>
      </c>
      <c r="O8" s="5"/>
      <c r="S8" s="6"/>
    </row>
    <row r="9" spans="1:16331" x14ac:dyDescent="0.45">
      <c r="A9" s="124">
        <v>144745</v>
      </c>
      <c r="B9" s="124" t="s">
        <v>16345</v>
      </c>
      <c r="C9" s="125" t="s">
        <v>16346</v>
      </c>
      <c r="D9" s="124">
        <v>1</v>
      </c>
      <c r="E9" s="124" t="s">
        <v>16334</v>
      </c>
      <c r="F9" s="126">
        <v>1.6999999999999999E-3</v>
      </c>
      <c r="G9" s="126"/>
      <c r="H9" s="126"/>
      <c r="I9" s="127">
        <v>1.8499999999999999E-2</v>
      </c>
      <c r="J9" s="127">
        <v>1.7500000000000002E-2</v>
      </c>
      <c r="K9" s="126">
        <f t="shared" si="0"/>
        <v>3.6000000000000004E-2</v>
      </c>
      <c r="L9" s="9"/>
      <c r="M9" s="126">
        <f t="shared" si="1"/>
        <v>3.7700000000000004E-2</v>
      </c>
      <c r="O9" s="125" t="s">
        <v>16347</v>
      </c>
      <c r="P9" s="128" t="s">
        <v>26918</v>
      </c>
      <c r="R9" s="124" t="s">
        <v>16348</v>
      </c>
      <c r="S9" s="124"/>
      <c r="T9" s="129"/>
      <c r="V9" s="124" t="s">
        <v>16349</v>
      </c>
    </row>
    <row r="10" spans="1:16331" ht="17.25" customHeight="1" x14ac:dyDescent="0.45">
      <c r="A10" s="124">
        <v>141726</v>
      </c>
      <c r="B10" s="124" t="s">
        <v>16350</v>
      </c>
      <c r="C10" s="125" t="s">
        <v>16351</v>
      </c>
      <c r="D10" s="124">
        <v>10</v>
      </c>
      <c r="E10" s="124" t="s">
        <v>16334</v>
      </c>
      <c r="F10" s="126">
        <v>1.6999999999999999E-3</v>
      </c>
      <c r="G10" s="126">
        <v>0</v>
      </c>
      <c r="H10" s="126">
        <v>0</v>
      </c>
      <c r="I10" s="127">
        <v>4.4999999999999998E-2</v>
      </c>
      <c r="J10" s="127">
        <v>2.5000000000000001E-2</v>
      </c>
      <c r="K10" s="126">
        <f t="shared" si="0"/>
        <v>7.0000000000000007E-2</v>
      </c>
      <c r="L10" s="3"/>
      <c r="M10" s="126">
        <f t="shared" si="1"/>
        <v>7.17E-2</v>
      </c>
      <c r="O10" s="125" t="s">
        <v>16352</v>
      </c>
      <c r="P10" s="128" t="s">
        <v>26918</v>
      </c>
      <c r="Q10" s="130">
        <v>637676</v>
      </c>
      <c r="R10" s="124" t="s">
        <v>16348</v>
      </c>
      <c r="S10" s="130">
        <v>612117</v>
      </c>
      <c r="T10" s="129">
        <f>S10/Q10</f>
        <v>0.95991851661345262</v>
      </c>
      <c r="V10" s="125" t="s">
        <v>16353</v>
      </c>
      <c r="W10" s="124" t="s">
        <v>16354</v>
      </c>
    </row>
    <row r="11" spans="1:16331" customFormat="1" x14ac:dyDescent="0.45">
      <c r="A11">
        <v>104673</v>
      </c>
      <c r="B11" t="s">
        <v>16355</v>
      </c>
      <c r="C11" t="s">
        <v>16356</v>
      </c>
      <c r="D11">
        <v>3</v>
      </c>
      <c r="E11" t="s">
        <v>16334</v>
      </c>
      <c r="F11" s="124"/>
      <c r="G11" s="7">
        <v>0</v>
      </c>
      <c r="H11" s="7">
        <v>0</v>
      </c>
      <c r="I11" s="7">
        <v>0</v>
      </c>
      <c r="J11" s="7">
        <v>0</v>
      </c>
      <c r="K11" s="3">
        <f t="shared" si="0"/>
        <v>0</v>
      </c>
      <c r="L11" s="3"/>
      <c r="M11" s="3">
        <f t="shared" si="1"/>
        <v>0</v>
      </c>
      <c r="O11" s="5"/>
      <c r="S11" s="6"/>
    </row>
    <row r="12" spans="1:16331" customFormat="1" x14ac:dyDescent="0.45">
      <c r="A12">
        <v>104753</v>
      </c>
      <c r="B12" t="s">
        <v>16357</v>
      </c>
      <c r="C12" t="s">
        <v>16358</v>
      </c>
      <c r="D12">
        <v>4</v>
      </c>
      <c r="E12" t="s">
        <v>16334</v>
      </c>
      <c r="F12" s="124"/>
      <c r="G12" s="7">
        <v>0</v>
      </c>
      <c r="H12" s="7">
        <v>0</v>
      </c>
      <c r="I12" s="7">
        <v>0</v>
      </c>
      <c r="J12" s="7">
        <v>0</v>
      </c>
      <c r="K12" s="3">
        <f t="shared" si="0"/>
        <v>0</v>
      </c>
      <c r="L12" s="3"/>
      <c r="M12" s="3">
        <f t="shared" si="1"/>
        <v>0</v>
      </c>
      <c r="O12" s="5"/>
      <c r="S12" s="6"/>
    </row>
    <row r="13" spans="1:16331" customFormat="1" x14ac:dyDescent="0.45">
      <c r="A13">
        <v>104961</v>
      </c>
      <c r="B13" t="s">
        <v>16359</v>
      </c>
      <c r="C13" t="s">
        <v>16360</v>
      </c>
      <c r="D13">
        <v>0</v>
      </c>
      <c r="E13" t="s">
        <v>16334</v>
      </c>
      <c r="F13" s="124"/>
      <c r="G13" s="7">
        <v>0</v>
      </c>
      <c r="H13" s="7">
        <v>0</v>
      </c>
      <c r="I13" s="7">
        <v>0</v>
      </c>
      <c r="J13" s="7">
        <v>0</v>
      </c>
      <c r="K13" s="3">
        <f t="shared" si="0"/>
        <v>0</v>
      </c>
      <c r="L13" s="3"/>
      <c r="M13" s="3">
        <f t="shared" si="1"/>
        <v>0</v>
      </c>
      <c r="O13" s="5"/>
      <c r="S13" s="6"/>
    </row>
    <row r="14" spans="1:16331" customFormat="1" x14ac:dyDescent="0.45">
      <c r="A14">
        <v>105662</v>
      </c>
      <c r="B14" t="s">
        <v>16361</v>
      </c>
      <c r="C14" t="s">
        <v>16331</v>
      </c>
      <c r="D14">
        <v>1</v>
      </c>
      <c r="E14" t="s">
        <v>16336</v>
      </c>
      <c r="F14" s="124"/>
      <c r="G14" s="7">
        <v>0</v>
      </c>
      <c r="H14" s="7">
        <v>0</v>
      </c>
      <c r="I14" s="7">
        <v>0</v>
      </c>
      <c r="J14" s="7">
        <v>0</v>
      </c>
      <c r="K14" s="3">
        <f t="shared" si="0"/>
        <v>0</v>
      </c>
      <c r="L14" s="3"/>
      <c r="M14" s="3">
        <f t="shared" si="1"/>
        <v>0</v>
      </c>
      <c r="O14" s="5"/>
      <c r="S14" s="6"/>
    </row>
    <row r="15" spans="1:16331" customFormat="1" x14ac:dyDescent="0.45">
      <c r="A15">
        <v>105795</v>
      </c>
      <c r="B15" t="s">
        <v>16362</v>
      </c>
      <c r="C15" t="s">
        <v>16363</v>
      </c>
      <c r="D15">
        <v>1</v>
      </c>
      <c r="E15" t="s">
        <v>16334</v>
      </c>
      <c r="F15" s="124"/>
      <c r="G15" s="7">
        <v>0</v>
      </c>
      <c r="H15" s="7">
        <v>0</v>
      </c>
      <c r="I15" s="7">
        <v>0</v>
      </c>
      <c r="J15" s="7">
        <v>0</v>
      </c>
      <c r="K15" s="3">
        <f t="shared" si="0"/>
        <v>0</v>
      </c>
      <c r="L15" s="3"/>
      <c r="M15" s="3">
        <f t="shared" si="1"/>
        <v>0</v>
      </c>
      <c r="O15" s="5"/>
      <c r="S15" s="6"/>
    </row>
    <row r="16" spans="1:16331" customFormat="1" x14ac:dyDescent="0.45">
      <c r="A16">
        <v>106043</v>
      </c>
      <c r="B16" t="s">
        <v>16364</v>
      </c>
      <c r="C16" t="s">
        <v>16365</v>
      </c>
      <c r="D16">
        <v>2</v>
      </c>
      <c r="E16" t="s">
        <v>16334</v>
      </c>
      <c r="F16" s="124"/>
      <c r="K16" s="3">
        <f t="shared" si="0"/>
        <v>0</v>
      </c>
      <c r="L16" s="3"/>
      <c r="M16" s="3">
        <f t="shared" si="1"/>
        <v>0</v>
      </c>
      <c r="O16" s="5"/>
      <c r="S16" s="6"/>
    </row>
    <row r="17" spans="1:23" x14ac:dyDescent="0.45">
      <c r="A17" s="124">
        <v>474899</v>
      </c>
      <c r="B17" s="124" t="s">
        <v>16366</v>
      </c>
      <c r="C17" s="125" t="s">
        <v>16367</v>
      </c>
      <c r="D17" s="124">
        <v>3</v>
      </c>
      <c r="E17" s="124" t="s">
        <v>16334</v>
      </c>
      <c r="F17" s="126">
        <v>1.6999999999999999E-3</v>
      </c>
      <c r="G17" s="126">
        <v>1.4999999999999999E-2</v>
      </c>
      <c r="H17" s="126">
        <v>5.0000000000000001E-3</v>
      </c>
      <c r="I17" s="127"/>
      <c r="J17" s="127"/>
      <c r="K17" s="126">
        <f t="shared" si="0"/>
        <v>0.02</v>
      </c>
      <c r="L17" s="3"/>
      <c r="M17" s="126">
        <f t="shared" si="1"/>
        <v>2.1700000000000001E-2</v>
      </c>
      <c r="O17" s="131" t="s">
        <v>16368</v>
      </c>
      <c r="P17" s="128" t="s">
        <v>26918</v>
      </c>
      <c r="Q17" s="124">
        <f>126124+49755</f>
        <v>175879</v>
      </c>
      <c r="R17" s="124" t="s">
        <v>16348</v>
      </c>
      <c r="S17" s="132">
        <v>126124</v>
      </c>
      <c r="T17" s="129">
        <f>S17/Q17</f>
        <v>0.71710664718357509</v>
      </c>
      <c r="V17" s="125" t="s">
        <v>16369</v>
      </c>
    </row>
    <row r="18" spans="1:23" x14ac:dyDescent="0.45">
      <c r="A18" s="124">
        <v>605092</v>
      </c>
      <c r="B18" s="124" t="s">
        <v>16370</v>
      </c>
      <c r="C18" s="125" t="s">
        <v>16371</v>
      </c>
      <c r="D18" s="124">
        <v>1</v>
      </c>
      <c r="E18" s="124" t="s">
        <v>16334</v>
      </c>
      <c r="F18" s="126">
        <v>1.6999999999999999E-3</v>
      </c>
      <c r="G18" s="126"/>
      <c r="H18" s="126"/>
      <c r="I18" s="127">
        <f>1.975%+2.25%</f>
        <v>4.2249999999999996E-2</v>
      </c>
      <c r="J18" s="127">
        <f>(235*12)/100000</f>
        <v>2.8199999999999999E-2</v>
      </c>
      <c r="K18" s="126">
        <f t="shared" si="0"/>
        <v>7.0449999999999999E-2</v>
      </c>
      <c r="L18" s="3"/>
      <c r="M18" s="126">
        <f t="shared" si="1"/>
        <v>7.2149999999999992E-2</v>
      </c>
      <c r="N18" s="124" t="s">
        <v>16372</v>
      </c>
      <c r="O18" s="125" t="s">
        <v>16373</v>
      </c>
      <c r="P18" s="128" t="s">
        <v>26918</v>
      </c>
      <c r="Q18" s="124">
        <f>35485+1438</f>
        <v>36923</v>
      </c>
      <c r="R18" s="124" t="s">
        <v>16348</v>
      </c>
      <c r="S18" s="133">
        <v>28065</v>
      </c>
      <c r="T18" s="129">
        <f>S18/Q18</f>
        <v>0.76009533353194481</v>
      </c>
      <c r="V18" s="125" t="s">
        <v>16374</v>
      </c>
      <c r="W18" s="124" t="s">
        <v>16354</v>
      </c>
    </row>
    <row r="19" spans="1:23" customFormat="1" x14ac:dyDescent="0.45">
      <c r="A19">
        <v>109987</v>
      </c>
      <c r="B19" t="s">
        <v>16375</v>
      </c>
      <c r="C19" t="s">
        <v>16376</v>
      </c>
      <c r="D19">
        <v>0</v>
      </c>
      <c r="E19" t="s">
        <v>16334</v>
      </c>
      <c r="F19" s="124"/>
      <c r="G19" s="7">
        <v>0</v>
      </c>
      <c r="H19" s="7">
        <v>0</v>
      </c>
      <c r="I19" s="7">
        <v>0</v>
      </c>
      <c r="J19" s="7">
        <v>0</v>
      </c>
      <c r="K19" s="3">
        <f t="shared" si="0"/>
        <v>0</v>
      </c>
      <c r="L19" s="3"/>
      <c r="M19" s="3">
        <f t="shared" si="1"/>
        <v>0</v>
      </c>
      <c r="O19" s="5"/>
      <c r="S19" s="6"/>
    </row>
    <row r="20" spans="1:23" customFormat="1" x14ac:dyDescent="0.45">
      <c r="A20">
        <v>110008</v>
      </c>
      <c r="B20" t="s">
        <v>16377</v>
      </c>
      <c r="C20" t="s">
        <v>16378</v>
      </c>
      <c r="D20">
        <v>0</v>
      </c>
      <c r="E20" t="s">
        <v>16334</v>
      </c>
      <c r="F20" s="124"/>
      <c r="G20" s="3">
        <v>0</v>
      </c>
      <c r="H20" s="3">
        <v>0</v>
      </c>
      <c r="I20" s="3">
        <v>0</v>
      </c>
      <c r="J20" s="3">
        <v>0</v>
      </c>
      <c r="K20" s="3">
        <f t="shared" si="0"/>
        <v>0</v>
      </c>
      <c r="L20" s="3"/>
      <c r="M20" s="3">
        <f t="shared" si="1"/>
        <v>0</v>
      </c>
      <c r="O20" s="5"/>
      <c r="S20" s="6"/>
    </row>
    <row r="21" spans="1:23" customFormat="1" x14ac:dyDescent="0.45">
      <c r="A21">
        <v>110015</v>
      </c>
      <c r="B21" t="s">
        <v>16379</v>
      </c>
      <c r="C21" t="s">
        <v>16380</v>
      </c>
      <c r="D21">
        <v>0</v>
      </c>
      <c r="E21" t="s">
        <v>16334</v>
      </c>
      <c r="F21" s="124"/>
      <c r="G21" s="7">
        <v>0</v>
      </c>
      <c r="H21" s="7">
        <v>0</v>
      </c>
      <c r="I21" s="7">
        <v>0</v>
      </c>
      <c r="J21" s="7">
        <v>0</v>
      </c>
      <c r="K21" s="3">
        <f t="shared" si="0"/>
        <v>0</v>
      </c>
      <c r="L21" s="3"/>
      <c r="M21" s="3">
        <f t="shared" si="1"/>
        <v>0</v>
      </c>
      <c r="N21" s="7"/>
      <c r="O21" s="5"/>
      <c r="S21" s="6"/>
    </row>
    <row r="22" spans="1:23" customFormat="1" x14ac:dyDescent="0.45">
      <c r="A22">
        <v>110053</v>
      </c>
      <c r="B22" t="s">
        <v>16381</v>
      </c>
      <c r="C22" t="s">
        <v>16382</v>
      </c>
      <c r="D22">
        <v>0</v>
      </c>
      <c r="E22" t="s">
        <v>16334</v>
      </c>
      <c r="F22" s="124"/>
      <c r="K22" s="3">
        <f t="shared" si="0"/>
        <v>0</v>
      </c>
      <c r="L22" s="3"/>
      <c r="M22" s="3">
        <f t="shared" si="1"/>
        <v>0</v>
      </c>
      <c r="O22" s="5"/>
      <c r="S22" s="6"/>
    </row>
    <row r="23" spans="1:23" customFormat="1" x14ac:dyDescent="0.45">
      <c r="A23">
        <v>110058</v>
      </c>
      <c r="B23" t="s">
        <v>16383</v>
      </c>
      <c r="C23" t="s">
        <v>16384</v>
      </c>
      <c r="D23">
        <v>0</v>
      </c>
      <c r="E23" t="s">
        <v>16334</v>
      </c>
      <c r="F23" s="124"/>
      <c r="G23" s="7">
        <v>0</v>
      </c>
      <c r="H23" s="7">
        <v>0</v>
      </c>
      <c r="I23" s="7">
        <v>0</v>
      </c>
      <c r="J23" s="7">
        <v>0</v>
      </c>
      <c r="K23" s="3">
        <f t="shared" si="0"/>
        <v>0</v>
      </c>
      <c r="L23" s="3"/>
      <c r="M23" s="3">
        <f t="shared" si="1"/>
        <v>0</v>
      </c>
      <c r="O23" s="5"/>
      <c r="S23" s="6"/>
    </row>
    <row r="24" spans="1:23" customFormat="1" x14ac:dyDescent="0.45">
      <c r="A24">
        <v>110379</v>
      </c>
      <c r="B24" t="s">
        <v>16385</v>
      </c>
      <c r="C24" t="s">
        <v>16386</v>
      </c>
      <c r="D24">
        <v>1</v>
      </c>
      <c r="E24" t="s">
        <v>16334</v>
      </c>
      <c r="F24" s="124"/>
      <c r="G24" s="3">
        <v>0</v>
      </c>
      <c r="H24" s="3">
        <v>0</v>
      </c>
      <c r="I24" s="3">
        <v>0</v>
      </c>
      <c r="J24" s="3">
        <v>0</v>
      </c>
      <c r="K24" s="3">
        <f t="shared" si="0"/>
        <v>0</v>
      </c>
      <c r="L24" s="3"/>
      <c r="M24" s="3">
        <f t="shared" si="1"/>
        <v>0</v>
      </c>
      <c r="O24" s="5"/>
      <c r="S24" s="6"/>
    </row>
    <row r="25" spans="1:23" customFormat="1" x14ac:dyDescent="0.45">
      <c r="A25">
        <v>110982</v>
      </c>
      <c r="B25" t="s">
        <v>16387</v>
      </c>
      <c r="C25" t="s">
        <v>16388</v>
      </c>
      <c r="D25">
        <v>1</v>
      </c>
      <c r="E25" t="s">
        <v>16334</v>
      </c>
      <c r="F25" s="124"/>
      <c r="G25" s="7">
        <v>0</v>
      </c>
      <c r="H25" s="7">
        <v>0</v>
      </c>
      <c r="I25" s="7">
        <v>0</v>
      </c>
      <c r="J25" s="7">
        <v>0</v>
      </c>
      <c r="K25" s="3">
        <f t="shared" si="0"/>
        <v>0</v>
      </c>
      <c r="L25" s="3"/>
      <c r="M25" s="3">
        <f t="shared" si="1"/>
        <v>0</v>
      </c>
      <c r="N25" s="7"/>
      <c r="O25" s="5"/>
      <c r="S25" s="6"/>
    </row>
    <row r="26" spans="1:23" customFormat="1" x14ac:dyDescent="0.45">
      <c r="A26">
        <v>110992</v>
      </c>
      <c r="B26" t="s">
        <v>16389</v>
      </c>
      <c r="C26" s="2" t="s">
        <v>16390</v>
      </c>
      <c r="D26">
        <v>1</v>
      </c>
      <c r="E26" t="s">
        <v>16334</v>
      </c>
      <c r="F26" s="125"/>
      <c r="G26" s="7">
        <v>0</v>
      </c>
      <c r="H26" s="7">
        <v>0</v>
      </c>
      <c r="I26" s="7">
        <v>0</v>
      </c>
      <c r="J26" s="7">
        <v>0</v>
      </c>
      <c r="K26" s="3">
        <f t="shared" si="0"/>
        <v>0</v>
      </c>
      <c r="L26" s="3"/>
      <c r="M26" s="3">
        <f t="shared" si="1"/>
        <v>0</v>
      </c>
      <c r="N26" t="s">
        <v>16344</v>
      </c>
      <c r="O26" s="5"/>
      <c r="S26" s="6"/>
    </row>
    <row r="27" spans="1:23" customFormat="1" x14ac:dyDescent="0.45">
      <c r="A27">
        <v>112064</v>
      </c>
      <c r="B27" t="s">
        <v>16391</v>
      </c>
      <c r="C27" t="s">
        <v>16392</v>
      </c>
      <c r="D27">
        <v>0</v>
      </c>
      <c r="E27" t="s">
        <v>16393</v>
      </c>
      <c r="F27" s="124"/>
      <c r="G27" s="7">
        <v>0</v>
      </c>
      <c r="H27" s="7">
        <v>0</v>
      </c>
      <c r="I27" s="7">
        <v>0</v>
      </c>
      <c r="J27" s="7">
        <v>0</v>
      </c>
      <c r="K27" s="3">
        <f t="shared" si="0"/>
        <v>0</v>
      </c>
      <c r="L27" s="3"/>
      <c r="M27" s="3">
        <f t="shared" si="1"/>
        <v>0</v>
      </c>
      <c r="N27" t="s">
        <v>16344</v>
      </c>
      <c r="O27" s="5"/>
      <c r="S27" s="6"/>
    </row>
    <row r="28" spans="1:23" customFormat="1" x14ac:dyDescent="0.45">
      <c r="A28">
        <v>112543</v>
      </c>
      <c r="B28" t="s">
        <v>16394</v>
      </c>
      <c r="C28" t="s">
        <v>16395</v>
      </c>
      <c r="D28">
        <v>3</v>
      </c>
      <c r="E28" t="s">
        <v>16334</v>
      </c>
      <c r="F28" s="124"/>
      <c r="G28" s="3">
        <v>0</v>
      </c>
      <c r="H28" s="3">
        <v>0</v>
      </c>
      <c r="I28" s="3">
        <v>0</v>
      </c>
      <c r="J28" s="3">
        <v>0</v>
      </c>
      <c r="K28" s="3">
        <f t="shared" si="0"/>
        <v>0</v>
      </c>
      <c r="L28" s="3"/>
      <c r="M28" s="3">
        <f t="shared" si="1"/>
        <v>0</v>
      </c>
      <c r="O28" s="5"/>
      <c r="S28" s="6"/>
    </row>
    <row r="29" spans="1:23" customFormat="1" x14ac:dyDescent="0.45">
      <c r="A29">
        <v>112720</v>
      </c>
      <c r="B29" t="s">
        <v>16396</v>
      </c>
      <c r="C29" t="s">
        <v>16397</v>
      </c>
      <c r="D29">
        <v>2</v>
      </c>
      <c r="E29" t="s">
        <v>16334</v>
      </c>
      <c r="F29" s="124"/>
      <c r="G29" s="7">
        <v>0</v>
      </c>
      <c r="H29" s="7">
        <v>0</v>
      </c>
      <c r="I29" s="7">
        <v>0</v>
      </c>
      <c r="J29" s="7">
        <v>0</v>
      </c>
      <c r="K29" s="3">
        <f t="shared" si="0"/>
        <v>0</v>
      </c>
      <c r="L29" s="3"/>
      <c r="M29" s="3">
        <f t="shared" si="1"/>
        <v>0</v>
      </c>
      <c r="O29" s="5"/>
      <c r="S29" s="6"/>
    </row>
    <row r="30" spans="1:23" customFormat="1" x14ac:dyDescent="0.45">
      <c r="A30">
        <v>112887</v>
      </c>
      <c r="B30" t="s">
        <v>16398</v>
      </c>
      <c r="C30" t="s">
        <v>16399</v>
      </c>
      <c r="D30">
        <v>2</v>
      </c>
      <c r="E30" t="s">
        <v>16334</v>
      </c>
      <c r="F30" s="124"/>
      <c r="G30" s="7">
        <v>0</v>
      </c>
      <c r="H30" s="7">
        <v>0</v>
      </c>
      <c r="I30" s="7">
        <v>0</v>
      </c>
      <c r="J30" s="7">
        <v>0</v>
      </c>
      <c r="K30" s="3">
        <f t="shared" si="0"/>
        <v>0</v>
      </c>
      <c r="L30" s="3"/>
      <c r="M30" s="3">
        <f t="shared" si="1"/>
        <v>0</v>
      </c>
      <c r="N30" s="7"/>
      <c r="O30" s="5"/>
      <c r="S30" s="6"/>
    </row>
    <row r="31" spans="1:23" customFormat="1" x14ac:dyDescent="0.45">
      <c r="A31">
        <v>112937</v>
      </c>
      <c r="B31" t="s">
        <v>16400</v>
      </c>
      <c r="C31" t="s">
        <v>16401</v>
      </c>
      <c r="D31">
        <v>9</v>
      </c>
      <c r="E31" t="s">
        <v>16334</v>
      </c>
      <c r="F31" s="124"/>
      <c r="K31" s="3">
        <f t="shared" si="0"/>
        <v>0</v>
      </c>
      <c r="L31" s="3"/>
      <c r="M31" s="3">
        <f t="shared" si="1"/>
        <v>0</v>
      </c>
      <c r="O31" s="5"/>
      <c r="S31" s="6"/>
    </row>
    <row r="32" spans="1:23" customFormat="1" x14ac:dyDescent="0.45">
      <c r="A32">
        <v>113007</v>
      </c>
      <c r="B32" t="s">
        <v>16402</v>
      </c>
      <c r="C32" t="s">
        <v>16403</v>
      </c>
      <c r="D32">
        <v>2</v>
      </c>
      <c r="E32" t="s">
        <v>16334</v>
      </c>
      <c r="F32" s="124"/>
      <c r="G32" s="3">
        <v>0</v>
      </c>
      <c r="H32" s="3">
        <v>0</v>
      </c>
      <c r="I32" s="3">
        <v>0</v>
      </c>
      <c r="J32" s="3">
        <v>0</v>
      </c>
      <c r="K32" s="3">
        <f t="shared" si="0"/>
        <v>0</v>
      </c>
      <c r="L32" s="3"/>
      <c r="M32" s="3">
        <f t="shared" si="1"/>
        <v>0</v>
      </c>
      <c r="O32" s="5"/>
      <c r="S32" s="6"/>
    </row>
    <row r="33" spans="1:22" customFormat="1" x14ac:dyDescent="0.45">
      <c r="A33">
        <v>113038</v>
      </c>
      <c r="B33" t="s">
        <v>16404</v>
      </c>
      <c r="C33" t="s">
        <v>16405</v>
      </c>
      <c r="D33">
        <v>1</v>
      </c>
      <c r="E33" t="s">
        <v>16334</v>
      </c>
      <c r="F33" s="124"/>
      <c r="G33" s="7">
        <v>0</v>
      </c>
      <c r="H33" s="7">
        <v>0</v>
      </c>
      <c r="I33" s="7">
        <v>0</v>
      </c>
      <c r="J33" s="7">
        <v>0</v>
      </c>
      <c r="K33" s="3">
        <f t="shared" si="0"/>
        <v>0</v>
      </c>
      <c r="L33" s="3"/>
      <c r="M33" s="3">
        <f t="shared" si="1"/>
        <v>0</v>
      </c>
      <c r="O33" s="5"/>
      <c r="S33" s="6"/>
    </row>
    <row r="34" spans="1:22" customFormat="1" x14ac:dyDescent="0.45">
      <c r="A34">
        <v>113475</v>
      </c>
      <c r="B34" t="s">
        <v>16406</v>
      </c>
      <c r="C34" t="s">
        <v>16407</v>
      </c>
      <c r="D34">
        <v>1</v>
      </c>
      <c r="E34" t="s">
        <v>16334</v>
      </c>
      <c r="F34" s="124"/>
      <c r="G34" s="7">
        <v>0</v>
      </c>
      <c r="H34" s="7">
        <v>0</v>
      </c>
      <c r="I34" s="7">
        <v>0</v>
      </c>
      <c r="J34" s="7">
        <v>0</v>
      </c>
      <c r="K34" s="3">
        <f t="shared" si="0"/>
        <v>0</v>
      </c>
      <c r="L34" s="3"/>
      <c r="M34" s="3">
        <f t="shared" si="1"/>
        <v>0</v>
      </c>
      <c r="O34" s="5"/>
      <c r="S34" s="6"/>
    </row>
    <row r="35" spans="1:22" customFormat="1" x14ac:dyDescent="0.45">
      <c r="A35">
        <v>113831</v>
      </c>
      <c r="B35" t="s">
        <v>16408</v>
      </c>
      <c r="C35" t="s">
        <v>16331</v>
      </c>
      <c r="D35">
        <v>2</v>
      </c>
      <c r="E35" t="s">
        <v>16336</v>
      </c>
      <c r="F35" s="124"/>
      <c r="G35" s="7">
        <v>0</v>
      </c>
      <c r="H35" s="7">
        <v>0</v>
      </c>
      <c r="I35" s="7">
        <v>0</v>
      </c>
      <c r="J35" s="7">
        <v>0</v>
      </c>
      <c r="K35" s="3">
        <f t="shared" si="0"/>
        <v>0</v>
      </c>
      <c r="L35" s="3"/>
      <c r="M35" s="3">
        <f t="shared" si="1"/>
        <v>0</v>
      </c>
      <c r="O35" s="5"/>
      <c r="S35" s="6"/>
    </row>
    <row r="36" spans="1:22" customFormat="1" x14ac:dyDescent="0.45">
      <c r="A36">
        <v>113991</v>
      </c>
      <c r="B36" t="s">
        <v>16409</v>
      </c>
      <c r="C36" t="s">
        <v>16410</v>
      </c>
      <c r="D36">
        <v>0</v>
      </c>
      <c r="E36" t="s">
        <v>16334</v>
      </c>
      <c r="F36" s="124"/>
      <c r="G36" s="7">
        <v>0</v>
      </c>
      <c r="H36" s="7">
        <v>0</v>
      </c>
      <c r="I36" s="7">
        <v>0</v>
      </c>
      <c r="J36" s="7">
        <v>0</v>
      </c>
      <c r="K36" s="3">
        <f t="shared" si="0"/>
        <v>0</v>
      </c>
      <c r="L36" s="3"/>
      <c r="M36" s="3">
        <f t="shared" si="1"/>
        <v>0</v>
      </c>
      <c r="N36" s="7"/>
      <c r="O36" s="5"/>
      <c r="S36" s="6"/>
    </row>
    <row r="37" spans="1:22" customFormat="1" x14ac:dyDescent="0.45">
      <c r="A37">
        <v>114008</v>
      </c>
      <c r="B37" t="s">
        <v>16411</v>
      </c>
      <c r="C37" t="s">
        <v>16412</v>
      </c>
      <c r="D37">
        <v>0</v>
      </c>
      <c r="E37" t="s">
        <v>16334</v>
      </c>
      <c r="F37" s="124"/>
      <c r="G37" s="7">
        <v>0</v>
      </c>
      <c r="H37" s="7">
        <v>0</v>
      </c>
      <c r="I37" s="7">
        <v>0</v>
      </c>
      <c r="J37" s="7">
        <v>0</v>
      </c>
      <c r="K37" s="3">
        <f t="shared" si="0"/>
        <v>0</v>
      </c>
      <c r="L37" s="3"/>
      <c r="M37" s="3">
        <f t="shared" si="1"/>
        <v>0</v>
      </c>
      <c r="N37" s="7"/>
      <c r="O37" s="5"/>
      <c r="S37" s="6"/>
    </row>
    <row r="38" spans="1:22" customFormat="1" x14ac:dyDescent="0.45">
      <c r="A38">
        <v>114159</v>
      </c>
      <c r="B38" t="s">
        <v>16413</v>
      </c>
      <c r="C38" t="s">
        <v>16414</v>
      </c>
      <c r="D38">
        <v>0</v>
      </c>
      <c r="E38" t="s">
        <v>16334</v>
      </c>
      <c r="F38" s="124"/>
      <c r="G38" s="7">
        <v>0</v>
      </c>
      <c r="H38" s="7">
        <v>0</v>
      </c>
      <c r="I38" s="7">
        <v>0</v>
      </c>
      <c r="J38" s="7">
        <v>0</v>
      </c>
      <c r="K38" s="3">
        <f t="shared" si="0"/>
        <v>0</v>
      </c>
      <c r="L38" s="3"/>
      <c r="M38" s="3">
        <f t="shared" si="1"/>
        <v>0</v>
      </c>
      <c r="N38" s="7"/>
      <c r="O38" s="5"/>
      <c r="S38" s="6"/>
    </row>
    <row r="39" spans="1:22" x14ac:dyDescent="0.45">
      <c r="A39" s="124">
        <v>114216</v>
      </c>
      <c r="B39" s="124" t="s">
        <v>16415</v>
      </c>
      <c r="C39" s="125" t="s">
        <v>16416</v>
      </c>
      <c r="D39" s="124">
        <v>7</v>
      </c>
      <c r="E39" s="124" t="s">
        <v>16417</v>
      </c>
      <c r="F39" s="126">
        <v>4.4000000000000003E-3</v>
      </c>
      <c r="G39" s="126">
        <v>1.95E-2</v>
      </c>
      <c r="H39" s="126">
        <v>2.5000000000000001E-3</v>
      </c>
      <c r="I39" s="127">
        <v>0</v>
      </c>
      <c r="J39" s="127"/>
      <c r="K39" s="126">
        <f t="shared" si="0"/>
        <v>2.1999999999999999E-2</v>
      </c>
      <c r="L39" s="3"/>
      <c r="M39" s="126">
        <f t="shared" si="1"/>
        <v>2.64E-2</v>
      </c>
      <c r="N39" s="124" t="s">
        <v>16418</v>
      </c>
      <c r="O39" s="125" t="s">
        <v>16419</v>
      </c>
      <c r="P39" s="125" t="s">
        <v>16420</v>
      </c>
      <c r="Q39" s="134">
        <v>727330000000</v>
      </c>
      <c r="R39" s="134" t="s">
        <v>16</v>
      </c>
      <c r="S39" s="134">
        <v>67922000000</v>
      </c>
      <c r="T39" s="129">
        <f>S39/Q39</f>
        <v>9.3385395900072873E-2</v>
      </c>
      <c r="U39" s="134"/>
      <c r="V39" s="125" t="s">
        <v>16421</v>
      </c>
    </row>
    <row r="40" spans="1:22" customFormat="1" x14ac:dyDescent="0.45">
      <c r="A40">
        <v>114276</v>
      </c>
      <c r="B40" t="s">
        <v>16422</v>
      </c>
      <c r="C40" s="2" t="s">
        <v>16423</v>
      </c>
      <c r="D40">
        <v>21</v>
      </c>
      <c r="E40" t="s">
        <v>16417</v>
      </c>
      <c r="F40" s="124"/>
      <c r="G40" s="3">
        <v>0</v>
      </c>
      <c r="H40" s="12">
        <v>0</v>
      </c>
      <c r="I40" s="12">
        <v>0</v>
      </c>
      <c r="J40" s="12">
        <v>0</v>
      </c>
      <c r="K40" s="3">
        <f t="shared" si="0"/>
        <v>0</v>
      </c>
      <c r="L40" s="3"/>
      <c r="M40" s="3">
        <f t="shared" si="1"/>
        <v>0</v>
      </c>
      <c r="N40" s="7"/>
      <c r="O40" s="5"/>
      <c r="S40" s="6"/>
    </row>
    <row r="41" spans="1:22" customFormat="1" x14ac:dyDescent="0.45">
      <c r="A41">
        <v>114318</v>
      </c>
      <c r="B41" t="s">
        <v>16424</v>
      </c>
      <c r="C41" t="s">
        <v>16425</v>
      </c>
      <c r="D41">
        <v>4</v>
      </c>
      <c r="E41" t="s">
        <v>16334</v>
      </c>
      <c r="F41" s="124"/>
      <c r="G41" s="3">
        <v>0</v>
      </c>
      <c r="H41" s="3">
        <v>0</v>
      </c>
      <c r="I41" s="3">
        <v>0</v>
      </c>
      <c r="J41" s="3">
        <v>0</v>
      </c>
      <c r="K41" s="3">
        <f t="shared" si="0"/>
        <v>0</v>
      </c>
      <c r="L41" s="3"/>
      <c r="M41" s="3">
        <f t="shared" si="1"/>
        <v>0</v>
      </c>
      <c r="O41" s="5"/>
      <c r="S41" s="6"/>
    </row>
    <row r="42" spans="1:22" customFormat="1" x14ac:dyDescent="0.45">
      <c r="A42">
        <v>114322</v>
      </c>
      <c r="B42" t="s">
        <v>16426</v>
      </c>
      <c r="C42" t="s">
        <v>16427</v>
      </c>
      <c r="D42">
        <v>15</v>
      </c>
      <c r="E42" t="s">
        <v>16334</v>
      </c>
      <c r="F42" s="124"/>
      <c r="G42" s="3">
        <v>0</v>
      </c>
      <c r="H42" s="13">
        <v>0</v>
      </c>
      <c r="I42" s="13">
        <v>0</v>
      </c>
      <c r="J42" s="13">
        <v>0</v>
      </c>
      <c r="K42" s="3">
        <f t="shared" si="0"/>
        <v>0</v>
      </c>
      <c r="L42" s="3"/>
      <c r="M42" s="3">
        <f t="shared" si="1"/>
        <v>0</v>
      </c>
      <c r="O42" s="5"/>
      <c r="S42" s="6"/>
    </row>
    <row r="43" spans="1:22" customFormat="1" x14ac:dyDescent="0.45">
      <c r="A43">
        <v>114324</v>
      </c>
      <c r="B43" t="s">
        <v>16428</v>
      </c>
      <c r="C43" t="s">
        <v>16429</v>
      </c>
      <c r="D43">
        <v>11</v>
      </c>
      <c r="E43" t="s">
        <v>16417</v>
      </c>
      <c r="F43" s="124"/>
      <c r="G43" s="3">
        <v>0</v>
      </c>
      <c r="H43" s="7">
        <v>0</v>
      </c>
      <c r="I43" s="7">
        <v>0</v>
      </c>
      <c r="J43" s="7">
        <v>0</v>
      </c>
      <c r="K43" s="3">
        <f t="shared" si="0"/>
        <v>0</v>
      </c>
      <c r="L43" s="3"/>
      <c r="M43" s="3">
        <f t="shared" si="1"/>
        <v>0</v>
      </c>
      <c r="N43" s="7"/>
      <c r="O43" s="5"/>
      <c r="S43" s="6"/>
    </row>
    <row r="44" spans="1:22" customFormat="1" x14ac:dyDescent="0.45">
      <c r="A44">
        <v>114341</v>
      </c>
      <c r="B44" t="s">
        <v>16430</v>
      </c>
      <c r="C44" t="s">
        <v>16431</v>
      </c>
      <c r="D44">
        <v>3</v>
      </c>
      <c r="E44" t="s">
        <v>16334</v>
      </c>
      <c r="F44" s="124"/>
      <c r="G44" s="3"/>
      <c r="K44" s="3">
        <f t="shared" si="0"/>
        <v>0</v>
      </c>
      <c r="L44" s="3"/>
      <c r="M44" s="3">
        <f t="shared" si="1"/>
        <v>0</v>
      </c>
      <c r="O44" s="5"/>
      <c r="S44" s="6"/>
    </row>
    <row r="45" spans="1:22" customFormat="1" x14ac:dyDescent="0.45">
      <c r="A45">
        <v>114354</v>
      </c>
      <c r="B45" t="s">
        <v>16432</v>
      </c>
      <c r="C45" t="s">
        <v>16433</v>
      </c>
      <c r="D45">
        <v>2</v>
      </c>
      <c r="E45" t="s">
        <v>16334</v>
      </c>
      <c r="F45" s="124"/>
      <c r="G45" s="3">
        <v>0</v>
      </c>
      <c r="H45" s="7">
        <v>0</v>
      </c>
      <c r="I45" s="7">
        <v>0</v>
      </c>
      <c r="J45" s="7">
        <v>0</v>
      </c>
      <c r="K45" s="3">
        <f t="shared" si="0"/>
        <v>0</v>
      </c>
      <c r="L45" s="3"/>
      <c r="M45" s="3">
        <f t="shared" si="1"/>
        <v>0</v>
      </c>
      <c r="O45" s="5"/>
      <c r="S45" s="6"/>
    </row>
    <row r="46" spans="1:22" customFormat="1" x14ac:dyDescent="0.45">
      <c r="A46">
        <v>114360</v>
      </c>
      <c r="B46" t="s">
        <v>16434</v>
      </c>
      <c r="C46" t="s">
        <v>16435</v>
      </c>
      <c r="D46">
        <v>4</v>
      </c>
      <c r="E46" t="s">
        <v>16334</v>
      </c>
      <c r="F46" s="124"/>
      <c r="G46" s="3">
        <v>0</v>
      </c>
      <c r="H46" s="7">
        <v>0</v>
      </c>
      <c r="I46" s="7">
        <v>0</v>
      </c>
      <c r="J46" s="7">
        <v>0</v>
      </c>
      <c r="K46" s="3">
        <f t="shared" si="0"/>
        <v>0</v>
      </c>
      <c r="L46" s="3"/>
      <c r="M46" s="3">
        <f t="shared" si="1"/>
        <v>0</v>
      </c>
      <c r="O46" s="5"/>
      <c r="S46" s="6"/>
    </row>
    <row r="47" spans="1:22" customFormat="1" x14ac:dyDescent="0.45">
      <c r="A47">
        <v>114370</v>
      </c>
      <c r="B47" t="s">
        <v>16436</v>
      </c>
      <c r="C47" t="s">
        <v>16437</v>
      </c>
      <c r="D47">
        <v>2</v>
      </c>
      <c r="E47" t="s">
        <v>16334</v>
      </c>
      <c r="F47" s="124"/>
      <c r="G47" s="3">
        <v>0</v>
      </c>
      <c r="H47" s="3">
        <v>0</v>
      </c>
      <c r="I47" s="3">
        <v>0</v>
      </c>
      <c r="J47" s="3">
        <v>0</v>
      </c>
      <c r="K47" s="3">
        <f t="shared" si="0"/>
        <v>0</v>
      </c>
      <c r="L47" s="3"/>
      <c r="M47" s="3">
        <f t="shared" si="1"/>
        <v>0</v>
      </c>
      <c r="O47" s="5"/>
      <c r="S47" s="6"/>
    </row>
    <row r="48" spans="1:22" customFormat="1" x14ac:dyDescent="0.45">
      <c r="A48">
        <v>114390</v>
      </c>
      <c r="B48" t="s">
        <v>16438</v>
      </c>
      <c r="C48" t="s">
        <v>16439</v>
      </c>
      <c r="D48">
        <v>2</v>
      </c>
      <c r="E48" t="s">
        <v>16334</v>
      </c>
      <c r="F48" s="124"/>
      <c r="G48" s="3">
        <v>0</v>
      </c>
      <c r="H48" s="7">
        <v>0</v>
      </c>
      <c r="I48" s="7">
        <v>0</v>
      </c>
      <c r="J48" s="7">
        <v>0</v>
      </c>
      <c r="K48" s="3">
        <f t="shared" si="0"/>
        <v>0</v>
      </c>
      <c r="L48" s="3"/>
      <c r="M48" s="3">
        <f t="shared" si="1"/>
        <v>0</v>
      </c>
      <c r="O48" s="5"/>
      <c r="S48" s="6"/>
    </row>
    <row r="49" spans="1:23" customFormat="1" x14ac:dyDescent="0.45">
      <c r="A49">
        <v>137472</v>
      </c>
      <c r="B49" t="s">
        <v>16440</v>
      </c>
      <c r="C49" s="2" t="s">
        <v>16441</v>
      </c>
      <c r="D49">
        <v>2</v>
      </c>
      <c r="E49" t="s">
        <v>16334</v>
      </c>
      <c r="F49" s="126"/>
      <c r="G49" s="3"/>
      <c r="H49" s="3"/>
      <c r="I49" s="4"/>
      <c r="J49" s="4"/>
      <c r="K49" s="3"/>
      <c r="L49" s="3"/>
      <c r="M49" s="3"/>
      <c r="O49" s="2" t="s">
        <v>16442</v>
      </c>
      <c r="Q49" s="6">
        <v>209303</v>
      </c>
      <c r="R49" t="s">
        <v>16348</v>
      </c>
      <c r="S49" s="6">
        <v>194205</v>
      </c>
      <c r="T49" s="10">
        <f>S49/Q49</f>
        <v>0.92786534354500416</v>
      </c>
      <c r="V49" s="2" t="s">
        <v>16443</v>
      </c>
    </row>
    <row r="50" spans="1:23" customFormat="1" x14ac:dyDescent="0.45">
      <c r="A50">
        <v>114402</v>
      </c>
      <c r="B50" t="s">
        <v>16444</v>
      </c>
      <c r="C50" t="s">
        <v>16445</v>
      </c>
      <c r="D50">
        <v>0</v>
      </c>
      <c r="E50" t="s">
        <v>16417</v>
      </c>
      <c r="F50" s="124"/>
      <c r="G50" s="3">
        <v>0</v>
      </c>
      <c r="H50" s="3">
        <v>0</v>
      </c>
      <c r="I50" s="3">
        <v>0</v>
      </c>
      <c r="J50" s="3">
        <v>0</v>
      </c>
      <c r="K50" s="3">
        <f t="shared" ref="K50:K77" si="2">SUM(G50:J50)</f>
        <v>0</v>
      </c>
      <c r="L50" s="3"/>
      <c r="M50" s="3">
        <f t="shared" ref="M50:M77" si="3">K50+F50</f>
        <v>0</v>
      </c>
      <c r="O50" s="5"/>
      <c r="S50" s="6"/>
      <c r="U50" t="s">
        <v>19</v>
      </c>
    </row>
    <row r="51" spans="1:23" customFormat="1" x14ac:dyDescent="0.45">
      <c r="A51">
        <v>114423</v>
      </c>
      <c r="B51" t="s">
        <v>16446</v>
      </c>
      <c r="C51" t="s">
        <v>16447</v>
      </c>
      <c r="D51">
        <v>11</v>
      </c>
      <c r="E51" t="s">
        <v>16334</v>
      </c>
      <c r="F51" s="124"/>
      <c r="G51" s="3">
        <v>0</v>
      </c>
      <c r="H51" s="7">
        <v>0</v>
      </c>
      <c r="I51" s="7">
        <v>0</v>
      </c>
      <c r="J51" s="7">
        <v>0</v>
      </c>
      <c r="K51" s="3">
        <f t="shared" si="2"/>
        <v>0</v>
      </c>
      <c r="L51" s="3"/>
      <c r="M51" s="3">
        <f t="shared" si="3"/>
        <v>0</v>
      </c>
      <c r="O51" s="5"/>
      <c r="S51" s="6"/>
    </row>
    <row r="52" spans="1:23" customFormat="1" x14ac:dyDescent="0.45">
      <c r="A52">
        <v>114428</v>
      </c>
      <c r="B52" t="s">
        <v>16448</v>
      </c>
      <c r="C52" t="s">
        <v>16449</v>
      </c>
      <c r="D52">
        <v>7</v>
      </c>
      <c r="E52" t="s">
        <v>16334</v>
      </c>
      <c r="F52" s="124"/>
      <c r="G52" s="3">
        <v>0</v>
      </c>
      <c r="H52" s="7">
        <v>0</v>
      </c>
      <c r="I52" s="7">
        <v>0</v>
      </c>
      <c r="J52" s="7">
        <v>0</v>
      </c>
      <c r="K52" s="3">
        <f t="shared" si="2"/>
        <v>0</v>
      </c>
      <c r="L52" s="3"/>
      <c r="M52" s="3">
        <f t="shared" si="3"/>
        <v>0</v>
      </c>
      <c r="O52" s="5"/>
      <c r="S52" s="6"/>
    </row>
    <row r="53" spans="1:23" customFormat="1" x14ac:dyDescent="0.45">
      <c r="A53">
        <v>114526</v>
      </c>
      <c r="B53" t="s">
        <v>16450</v>
      </c>
      <c r="C53" t="s">
        <v>16451</v>
      </c>
      <c r="D53">
        <v>2</v>
      </c>
      <c r="E53" t="s">
        <v>16334</v>
      </c>
      <c r="F53" s="124"/>
      <c r="G53" s="3">
        <v>0</v>
      </c>
      <c r="H53" s="7">
        <v>0</v>
      </c>
      <c r="I53" s="7">
        <v>0</v>
      </c>
      <c r="J53" s="7">
        <v>0</v>
      </c>
      <c r="K53" s="3">
        <f t="shared" si="2"/>
        <v>0</v>
      </c>
      <c r="L53" s="3"/>
      <c r="M53" s="3">
        <f t="shared" si="3"/>
        <v>0</v>
      </c>
      <c r="O53" s="5"/>
      <c r="S53" s="6"/>
    </row>
    <row r="54" spans="1:23" customFormat="1" x14ac:dyDescent="0.45">
      <c r="A54">
        <v>114543</v>
      </c>
      <c r="B54" t="s">
        <v>16452</v>
      </c>
      <c r="C54" t="s">
        <v>16453</v>
      </c>
      <c r="D54">
        <v>4</v>
      </c>
      <c r="E54" t="s">
        <v>16334</v>
      </c>
      <c r="F54" s="124"/>
      <c r="G54" s="3">
        <v>0</v>
      </c>
      <c r="H54" s="7">
        <v>0</v>
      </c>
      <c r="I54" s="7">
        <v>0</v>
      </c>
      <c r="J54" s="7">
        <v>0</v>
      </c>
      <c r="K54" s="3">
        <f t="shared" si="2"/>
        <v>0</v>
      </c>
      <c r="L54" s="3"/>
      <c r="M54" s="3">
        <f t="shared" si="3"/>
        <v>0</v>
      </c>
      <c r="O54" s="5"/>
      <c r="S54" s="6"/>
    </row>
    <row r="55" spans="1:23" x14ac:dyDescent="0.45">
      <c r="A55" s="124">
        <v>826457</v>
      </c>
      <c r="B55" s="124" t="s">
        <v>16454</v>
      </c>
      <c r="C55" s="125" t="s">
        <v>16455</v>
      </c>
      <c r="D55" s="124">
        <v>9</v>
      </c>
      <c r="E55" s="124" t="s">
        <v>16334</v>
      </c>
      <c r="F55" s="126">
        <v>1.6999999999999999E-3</v>
      </c>
      <c r="G55" s="126">
        <v>0.01</v>
      </c>
      <c r="H55" s="126">
        <v>7.4999999999999997E-3</v>
      </c>
      <c r="I55" s="127">
        <v>0</v>
      </c>
      <c r="J55" s="127"/>
      <c r="K55" s="126">
        <f t="shared" si="2"/>
        <v>1.7500000000000002E-2</v>
      </c>
      <c r="L55" s="3"/>
      <c r="M55" s="126">
        <f t="shared" si="3"/>
        <v>1.9200000000000002E-2</v>
      </c>
      <c r="N55" s="125"/>
      <c r="O55" s="131" t="s">
        <v>16456</v>
      </c>
      <c r="P55" s="128" t="s">
        <v>26918</v>
      </c>
      <c r="Q55" s="130">
        <f>451814+1486163</f>
        <v>1937977</v>
      </c>
      <c r="R55" s="124" t="s">
        <v>16348</v>
      </c>
      <c r="S55" s="132">
        <v>1765811</v>
      </c>
      <c r="T55" s="129">
        <f>S55/Q55</f>
        <v>0.91116200037461748</v>
      </c>
      <c r="V55" s="125" t="s">
        <v>16457</v>
      </c>
    </row>
    <row r="56" spans="1:23" customFormat="1" x14ac:dyDescent="0.45">
      <c r="A56">
        <v>114617</v>
      </c>
      <c r="B56" t="s">
        <v>16458</v>
      </c>
      <c r="C56" t="s">
        <v>16459</v>
      </c>
      <c r="D56">
        <v>8</v>
      </c>
      <c r="E56" t="s">
        <v>16334</v>
      </c>
      <c r="F56" s="124"/>
      <c r="G56" s="3">
        <v>0</v>
      </c>
      <c r="H56" s="7">
        <v>0</v>
      </c>
      <c r="I56" s="7">
        <v>0</v>
      </c>
      <c r="J56" s="7">
        <v>0</v>
      </c>
      <c r="K56" s="3">
        <f t="shared" si="2"/>
        <v>0</v>
      </c>
      <c r="L56" s="3"/>
      <c r="M56" s="3">
        <f t="shared" si="3"/>
        <v>0</v>
      </c>
      <c r="O56" s="5"/>
      <c r="S56" s="6"/>
    </row>
    <row r="57" spans="1:23" customFormat="1" x14ac:dyDescent="0.45">
      <c r="A57">
        <v>114640</v>
      </c>
      <c r="B57" t="s">
        <v>16460</v>
      </c>
      <c r="C57" t="s">
        <v>16331</v>
      </c>
      <c r="D57">
        <v>1</v>
      </c>
      <c r="E57" t="s">
        <v>16331</v>
      </c>
      <c r="F57" s="124"/>
      <c r="G57" s="3">
        <v>0</v>
      </c>
      <c r="H57" s="7">
        <v>0</v>
      </c>
      <c r="I57" s="7">
        <v>0</v>
      </c>
      <c r="J57" s="7">
        <v>0</v>
      </c>
      <c r="K57" s="3">
        <f t="shared" si="2"/>
        <v>0</v>
      </c>
      <c r="L57" s="3"/>
      <c r="M57" s="3">
        <f t="shared" si="3"/>
        <v>0</v>
      </c>
      <c r="O57" s="5"/>
      <c r="S57" s="6"/>
    </row>
    <row r="58" spans="1:23" customFormat="1" x14ac:dyDescent="0.45">
      <c r="A58">
        <v>114650</v>
      </c>
      <c r="B58" t="s">
        <v>16461</v>
      </c>
      <c r="C58" t="s">
        <v>16462</v>
      </c>
      <c r="D58">
        <v>22</v>
      </c>
      <c r="E58" t="s">
        <v>16463</v>
      </c>
      <c r="F58" s="124"/>
      <c r="G58" s="3"/>
      <c r="H58" s="3"/>
      <c r="I58" s="3"/>
      <c r="J58" s="3"/>
      <c r="K58" s="3">
        <f t="shared" si="2"/>
        <v>0</v>
      </c>
      <c r="L58" s="3"/>
      <c r="M58" s="3">
        <f t="shared" si="3"/>
        <v>0</v>
      </c>
      <c r="N58" t="s">
        <v>26703</v>
      </c>
      <c r="O58" s="5"/>
      <c r="S58" s="6"/>
    </row>
    <row r="59" spans="1:23" customFormat="1" x14ac:dyDescent="0.45">
      <c r="A59">
        <v>114694</v>
      </c>
      <c r="B59" t="s">
        <v>16464</v>
      </c>
      <c r="C59" t="s">
        <v>16451</v>
      </c>
      <c r="D59">
        <v>82</v>
      </c>
      <c r="E59" t="s">
        <v>16417</v>
      </c>
      <c r="F59" s="124"/>
      <c r="G59" s="3"/>
      <c r="K59" s="3">
        <f t="shared" si="2"/>
        <v>0</v>
      </c>
      <c r="L59" s="3"/>
      <c r="M59" s="3">
        <f t="shared" si="3"/>
        <v>0</v>
      </c>
      <c r="O59" s="5"/>
      <c r="S59" s="6"/>
    </row>
    <row r="60" spans="1:23" x14ac:dyDescent="0.45">
      <c r="A60" s="124">
        <v>769033</v>
      </c>
      <c r="B60" s="124" t="s">
        <v>16465</v>
      </c>
      <c r="C60" s="125" t="s">
        <v>16466</v>
      </c>
      <c r="D60" s="124">
        <v>4</v>
      </c>
      <c r="E60" s="124" t="s">
        <v>16334</v>
      </c>
      <c r="F60" s="126">
        <v>1.6999999999999999E-3</v>
      </c>
      <c r="G60" s="126">
        <f>(825*12)/100000</f>
        <v>9.9000000000000005E-2</v>
      </c>
      <c r="H60" s="126">
        <v>0</v>
      </c>
      <c r="I60" s="127">
        <v>0</v>
      </c>
      <c r="J60" s="127">
        <v>0</v>
      </c>
      <c r="K60" s="126">
        <f t="shared" si="2"/>
        <v>9.9000000000000005E-2</v>
      </c>
      <c r="L60" s="3"/>
      <c r="M60" s="126">
        <f t="shared" si="3"/>
        <v>0.1007</v>
      </c>
      <c r="N60" s="124" t="s">
        <v>16467</v>
      </c>
      <c r="O60" s="125" t="s">
        <v>16468</v>
      </c>
      <c r="P60" s="128" t="s">
        <v>26918</v>
      </c>
      <c r="Q60" s="132">
        <f>287038+6160</f>
        <v>293198</v>
      </c>
      <c r="R60" s="124" t="s">
        <v>16348</v>
      </c>
      <c r="S60" s="132">
        <v>287038</v>
      </c>
      <c r="T60" s="129">
        <f>S60/Q60</f>
        <v>0.97899030689158861</v>
      </c>
      <c r="V60" s="125" t="s">
        <v>16469</v>
      </c>
      <c r="W60" s="124" t="s">
        <v>16354</v>
      </c>
    </row>
    <row r="61" spans="1:23" customFormat="1" x14ac:dyDescent="0.45">
      <c r="A61">
        <v>114778</v>
      </c>
      <c r="B61" t="s">
        <v>16470</v>
      </c>
      <c r="C61" t="s">
        <v>16471</v>
      </c>
      <c r="D61">
        <v>12</v>
      </c>
      <c r="E61" t="s">
        <v>16334</v>
      </c>
      <c r="F61" s="124"/>
      <c r="G61" s="3">
        <v>0</v>
      </c>
      <c r="H61" s="3">
        <v>0</v>
      </c>
      <c r="I61" s="3">
        <v>0</v>
      </c>
      <c r="J61" s="3">
        <v>0</v>
      </c>
      <c r="K61" s="3">
        <f t="shared" si="2"/>
        <v>0</v>
      </c>
      <c r="L61" s="3"/>
      <c r="M61" s="3">
        <f t="shared" si="3"/>
        <v>0</v>
      </c>
      <c r="O61" s="5"/>
      <c r="S61" s="6"/>
    </row>
    <row r="62" spans="1:23" customFormat="1" x14ac:dyDescent="0.45">
      <c r="A62">
        <v>114800</v>
      </c>
      <c r="B62" t="s">
        <v>16472</v>
      </c>
      <c r="C62" s="2" t="s">
        <v>16473</v>
      </c>
      <c r="D62">
        <v>8</v>
      </c>
      <c r="E62" t="s">
        <v>16334</v>
      </c>
      <c r="F62" s="125"/>
      <c r="G62" s="3">
        <v>0</v>
      </c>
      <c r="H62" s="3">
        <v>0</v>
      </c>
      <c r="I62" s="3">
        <v>0</v>
      </c>
      <c r="J62" s="3">
        <v>0</v>
      </c>
      <c r="K62" s="3">
        <f t="shared" si="2"/>
        <v>0</v>
      </c>
      <c r="L62" s="3"/>
      <c r="M62" s="3">
        <f t="shared" si="3"/>
        <v>0</v>
      </c>
      <c r="O62" s="5"/>
      <c r="S62" s="6"/>
    </row>
    <row r="63" spans="1:23" customFormat="1" x14ac:dyDescent="0.45">
      <c r="A63">
        <v>114852</v>
      </c>
      <c r="B63" t="s">
        <v>16474</v>
      </c>
      <c r="C63" t="s">
        <v>16475</v>
      </c>
      <c r="D63">
        <v>4</v>
      </c>
      <c r="E63" t="s">
        <v>16334</v>
      </c>
      <c r="F63" s="124"/>
      <c r="G63" s="3">
        <v>0</v>
      </c>
      <c r="H63" s="7">
        <v>0</v>
      </c>
      <c r="I63" s="7">
        <v>0</v>
      </c>
      <c r="J63" s="7">
        <v>0</v>
      </c>
      <c r="K63" s="3">
        <f t="shared" si="2"/>
        <v>0</v>
      </c>
      <c r="L63" s="3"/>
      <c r="M63" s="3">
        <f t="shared" si="3"/>
        <v>0</v>
      </c>
      <c r="N63" s="7"/>
      <c r="O63" s="5"/>
      <c r="S63" s="6"/>
    </row>
    <row r="64" spans="1:23" customFormat="1" x14ac:dyDescent="0.45">
      <c r="A64">
        <v>114943</v>
      </c>
      <c r="B64" t="s">
        <v>16476</v>
      </c>
      <c r="C64" t="s">
        <v>16477</v>
      </c>
      <c r="D64">
        <v>1</v>
      </c>
      <c r="E64" t="s">
        <v>16334</v>
      </c>
      <c r="F64" s="124"/>
      <c r="G64" s="3">
        <v>0</v>
      </c>
      <c r="H64" s="7">
        <v>0</v>
      </c>
      <c r="I64" s="7">
        <v>0</v>
      </c>
      <c r="J64" s="7">
        <v>0</v>
      </c>
      <c r="K64" s="3">
        <f t="shared" si="2"/>
        <v>0</v>
      </c>
      <c r="L64" s="3"/>
      <c r="M64" s="3">
        <f t="shared" si="3"/>
        <v>0</v>
      </c>
      <c r="O64" s="5"/>
      <c r="S64" s="6"/>
    </row>
    <row r="65" spans="1:23" customFormat="1" x14ac:dyDescent="0.45">
      <c r="A65">
        <v>114952</v>
      </c>
      <c r="B65" t="s">
        <v>16478</v>
      </c>
      <c r="C65" t="s">
        <v>16479</v>
      </c>
      <c r="D65">
        <v>0</v>
      </c>
      <c r="E65" t="s">
        <v>16334</v>
      </c>
      <c r="F65" s="124"/>
      <c r="G65" s="3">
        <v>0</v>
      </c>
      <c r="H65" s="7">
        <v>0</v>
      </c>
      <c r="I65" s="7">
        <v>0</v>
      </c>
      <c r="J65" s="7">
        <v>0</v>
      </c>
      <c r="K65" s="3">
        <f t="shared" si="2"/>
        <v>0</v>
      </c>
      <c r="L65" s="3"/>
      <c r="M65" s="3">
        <f t="shared" si="3"/>
        <v>0</v>
      </c>
      <c r="O65" s="5"/>
      <c r="S65" s="6"/>
    </row>
    <row r="66" spans="1:23" customFormat="1" x14ac:dyDescent="0.45">
      <c r="A66">
        <v>114975</v>
      </c>
      <c r="B66" t="s">
        <v>16480</v>
      </c>
      <c r="C66" t="s">
        <v>16481</v>
      </c>
      <c r="D66">
        <v>1</v>
      </c>
      <c r="E66" t="s">
        <v>16334</v>
      </c>
      <c r="F66" s="124"/>
      <c r="G66" s="3">
        <v>0</v>
      </c>
      <c r="H66" s="7">
        <v>0</v>
      </c>
      <c r="I66" s="7">
        <v>0</v>
      </c>
      <c r="J66" s="7">
        <v>0</v>
      </c>
      <c r="K66" s="3">
        <f t="shared" si="2"/>
        <v>0</v>
      </c>
      <c r="L66" s="3"/>
      <c r="M66" s="3">
        <f t="shared" si="3"/>
        <v>0</v>
      </c>
      <c r="O66" s="5"/>
      <c r="S66" s="6"/>
    </row>
    <row r="67" spans="1:23" customFormat="1" x14ac:dyDescent="0.45">
      <c r="A67">
        <v>114986</v>
      </c>
      <c r="B67" t="s">
        <v>16482</v>
      </c>
      <c r="C67" t="s">
        <v>16331</v>
      </c>
      <c r="D67">
        <v>1</v>
      </c>
      <c r="E67" t="s">
        <v>16331</v>
      </c>
      <c r="F67" s="124"/>
      <c r="G67" s="3"/>
      <c r="K67" s="3">
        <f t="shared" si="2"/>
        <v>0</v>
      </c>
      <c r="L67" s="3"/>
      <c r="M67" s="3">
        <f t="shared" si="3"/>
        <v>0</v>
      </c>
      <c r="O67" s="5"/>
      <c r="S67" s="6"/>
    </row>
    <row r="68" spans="1:23" customFormat="1" x14ac:dyDescent="0.45">
      <c r="A68">
        <v>114997</v>
      </c>
      <c r="B68" t="s">
        <v>16483</v>
      </c>
      <c r="C68" t="s">
        <v>16484</v>
      </c>
      <c r="D68">
        <v>1</v>
      </c>
      <c r="E68" t="s">
        <v>16334</v>
      </c>
      <c r="F68" s="124"/>
      <c r="G68" s="3">
        <v>0</v>
      </c>
      <c r="H68" s="7">
        <v>0</v>
      </c>
      <c r="I68" s="7">
        <v>0</v>
      </c>
      <c r="J68" s="7">
        <v>0</v>
      </c>
      <c r="K68" s="3">
        <f t="shared" si="2"/>
        <v>0</v>
      </c>
      <c r="L68" s="3"/>
      <c r="M68" s="3">
        <f t="shared" si="3"/>
        <v>0</v>
      </c>
      <c r="O68" s="5"/>
      <c r="S68" s="6"/>
    </row>
    <row r="69" spans="1:23" customFormat="1" x14ac:dyDescent="0.45">
      <c r="A69">
        <v>115020</v>
      </c>
      <c r="B69" t="s">
        <v>16485</v>
      </c>
      <c r="C69" t="s">
        <v>16486</v>
      </c>
      <c r="D69">
        <v>3</v>
      </c>
      <c r="E69" t="s">
        <v>16334</v>
      </c>
      <c r="F69" s="124"/>
      <c r="G69" s="3">
        <v>0</v>
      </c>
      <c r="H69" s="7">
        <v>0</v>
      </c>
      <c r="I69" s="7">
        <v>0</v>
      </c>
      <c r="J69" s="7">
        <v>0</v>
      </c>
      <c r="K69" s="3">
        <f t="shared" si="2"/>
        <v>0</v>
      </c>
      <c r="L69" s="3"/>
      <c r="M69" s="3">
        <f t="shared" si="3"/>
        <v>0</v>
      </c>
      <c r="O69" s="5"/>
      <c r="S69" s="6"/>
    </row>
    <row r="70" spans="1:23" customFormat="1" x14ac:dyDescent="0.45">
      <c r="A70">
        <v>115045</v>
      </c>
      <c r="B70" t="s">
        <v>16487</v>
      </c>
      <c r="C70" t="s">
        <v>16488</v>
      </c>
      <c r="D70">
        <v>2</v>
      </c>
      <c r="E70" t="s">
        <v>16334</v>
      </c>
      <c r="F70" s="124"/>
      <c r="G70" s="3">
        <v>0</v>
      </c>
      <c r="H70" s="7">
        <v>0</v>
      </c>
      <c r="I70" s="7">
        <v>0</v>
      </c>
      <c r="J70" s="7">
        <v>0</v>
      </c>
      <c r="K70" s="3">
        <f t="shared" si="2"/>
        <v>0</v>
      </c>
      <c r="L70" s="3"/>
      <c r="M70" s="3">
        <f t="shared" si="3"/>
        <v>0</v>
      </c>
      <c r="O70" s="5"/>
      <c r="S70" s="6"/>
    </row>
    <row r="71" spans="1:23" customFormat="1" x14ac:dyDescent="0.45">
      <c r="A71">
        <v>115057</v>
      </c>
      <c r="B71" t="s">
        <v>16489</v>
      </c>
      <c r="C71" t="s">
        <v>16490</v>
      </c>
      <c r="D71">
        <v>3</v>
      </c>
      <c r="E71" t="s">
        <v>16491</v>
      </c>
      <c r="F71" s="124"/>
      <c r="G71" s="3"/>
      <c r="K71" s="3">
        <f t="shared" si="2"/>
        <v>0</v>
      </c>
      <c r="L71" s="3"/>
      <c r="M71" s="3">
        <f t="shared" si="3"/>
        <v>0</v>
      </c>
      <c r="O71" s="5"/>
      <c r="S71" s="6"/>
    </row>
    <row r="72" spans="1:23" customFormat="1" x14ac:dyDescent="0.45">
      <c r="A72">
        <v>115088</v>
      </c>
      <c r="B72" t="s">
        <v>16492</v>
      </c>
      <c r="C72" t="s">
        <v>16493</v>
      </c>
      <c r="D72">
        <v>3</v>
      </c>
      <c r="E72" t="s">
        <v>16334</v>
      </c>
      <c r="F72" s="124"/>
      <c r="G72" s="3">
        <v>0</v>
      </c>
      <c r="H72" s="7">
        <v>0</v>
      </c>
      <c r="I72" s="7">
        <v>0</v>
      </c>
      <c r="J72" s="7">
        <v>0</v>
      </c>
      <c r="K72" s="3">
        <f t="shared" si="2"/>
        <v>0</v>
      </c>
      <c r="L72" s="3"/>
      <c r="M72" s="3">
        <f t="shared" si="3"/>
        <v>0</v>
      </c>
      <c r="N72" s="7"/>
      <c r="O72" s="5"/>
      <c r="S72" s="6"/>
    </row>
    <row r="73" spans="1:23" customFormat="1" x14ac:dyDescent="0.45">
      <c r="A73">
        <v>115092</v>
      </c>
      <c r="B73" t="s">
        <v>16494</v>
      </c>
      <c r="C73" t="s">
        <v>16331</v>
      </c>
      <c r="D73">
        <v>2</v>
      </c>
      <c r="E73" t="s">
        <v>16331</v>
      </c>
      <c r="F73" s="124"/>
      <c r="G73" s="3"/>
      <c r="K73" s="3">
        <f t="shared" si="2"/>
        <v>0</v>
      </c>
      <c r="L73" s="3"/>
      <c r="M73" s="3">
        <f t="shared" si="3"/>
        <v>0</v>
      </c>
      <c r="O73" s="5"/>
      <c r="S73" s="6"/>
    </row>
    <row r="74" spans="1:23" customFormat="1" x14ac:dyDescent="0.45">
      <c r="A74">
        <v>115134</v>
      </c>
      <c r="B74" t="s">
        <v>16495</v>
      </c>
      <c r="C74" t="s">
        <v>16496</v>
      </c>
      <c r="D74">
        <v>5</v>
      </c>
      <c r="E74" t="s">
        <v>16334</v>
      </c>
      <c r="F74" s="124"/>
      <c r="G74" s="3">
        <v>0</v>
      </c>
      <c r="H74" s="3">
        <v>0</v>
      </c>
      <c r="I74" s="3">
        <v>0</v>
      </c>
      <c r="J74" s="3">
        <v>0</v>
      </c>
      <c r="K74" s="3">
        <f t="shared" si="2"/>
        <v>0</v>
      </c>
      <c r="L74" s="3"/>
      <c r="M74" s="3">
        <f t="shared" si="3"/>
        <v>0</v>
      </c>
      <c r="O74" s="5"/>
      <c r="S74" s="6"/>
    </row>
    <row r="75" spans="1:23" customFormat="1" x14ac:dyDescent="0.45">
      <c r="A75">
        <v>115180</v>
      </c>
      <c r="B75" t="s">
        <v>16497</v>
      </c>
      <c r="C75" t="s">
        <v>16498</v>
      </c>
      <c r="D75">
        <v>9</v>
      </c>
      <c r="E75" t="s">
        <v>16334</v>
      </c>
      <c r="F75" s="124"/>
      <c r="G75" s="3">
        <v>0</v>
      </c>
      <c r="H75" s="3">
        <v>0</v>
      </c>
      <c r="I75" s="3">
        <v>0</v>
      </c>
      <c r="J75" s="3">
        <v>0</v>
      </c>
      <c r="K75" s="3">
        <f t="shared" si="2"/>
        <v>0</v>
      </c>
      <c r="L75" s="3"/>
      <c r="M75" s="3">
        <f t="shared" si="3"/>
        <v>0</v>
      </c>
      <c r="O75" s="5"/>
      <c r="S75" s="6"/>
    </row>
    <row r="76" spans="1:23" x14ac:dyDescent="0.45">
      <c r="A76" s="124">
        <v>125569</v>
      </c>
      <c r="B76" s="124" t="s">
        <v>16499</v>
      </c>
      <c r="C76" s="125" t="s">
        <v>16500</v>
      </c>
      <c r="D76" s="124">
        <v>4</v>
      </c>
      <c r="E76" s="124" t="s">
        <v>16417</v>
      </c>
      <c r="F76" s="126">
        <v>5.0000000000000001E-3</v>
      </c>
      <c r="G76" s="126">
        <v>0</v>
      </c>
      <c r="H76" s="126">
        <v>0</v>
      </c>
      <c r="I76" s="127">
        <v>3.5000000000000003E-2</v>
      </c>
      <c r="J76" s="127">
        <v>0.01</v>
      </c>
      <c r="K76" s="126">
        <f t="shared" si="2"/>
        <v>4.5000000000000005E-2</v>
      </c>
      <c r="L76" s="3"/>
      <c r="M76" s="126">
        <f t="shared" si="3"/>
        <v>0.05</v>
      </c>
      <c r="O76" s="125" t="s">
        <v>16501</v>
      </c>
      <c r="P76" s="125" t="s">
        <v>16502</v>
      </c>
      <c r="Q76" s="132">
        <f>2619215+454657</f>
        <v>3073872</v>
      </c>
      <c r="R76" s="124" t="s">
        <v>16348</v>
      </c>
      <c r="S76" s="132">
        <v>2579320</v>
      </c>
      <c r="T76" s="129">
        <f>S76/Q76</f>
        <v>0.83911106252960432</v>
      </c>
      <c r="U76" s="124" t="s">
        <v>19</v>
      </c>
      <c r="V76" s="125" t="s">
        <v>16503</v>
      </c>
      <c r="W76" s="124" t="s">
        <v>16354</v>
      </c>
    </row>
    <row r="77" spans="1:23" x14ac:dyDescent="0.45">
      <c r="A77" s="124">
        <v>131706</v>
      </c>
      <c r="B77" s="124" t="s">
        <v>16504</v>
      </c>
      <c r="C77" s="125" t="s">
        <v>16505</v>
      </c>
      <c r="D77" s="124">
        <v>6</v>
      </c>
      <c r="E77" s="124" t="s">
        <v>16417</v>
      </c>
      <c r="F77" s="126">
        <v>5.0000000000000001E-3</v>
      </c>
      <c r="G77" s="135">
        <v>0</v>
      </c>
      <c r="H77" s="135">
        <v>0</v>
      </c>
      <c r="I77" s="127">
        <v>3.5000000000000003E-2</v>
      </c>
      <c r="J77" s="127">
        <v>0.01</v>
      </c>
      <c r="K77" s="126">
        <f t="shared" si="2"/>
        <v>4.5000000000000005E-2</v>
      </c>
      <c r="L77" s="3"/>
      <c r="M77" s="126">
        <f t="shared" si="3"/>
        <v>0.05</v>
      </c>
      <c r="O77" s="125" t="s">
        <v>16501</v>
      </c>
      <c r="P77" s="125" t="s">
        <v>16502</v>
      </c>
      <c r="Q77" s="130">
        <f>3860221+476311</f>
        <v>4336532</v>
      </c>
      <c r="R77" s="124" t="s">
        <v>16348</v>
      </c>
      <c r="S77" s="130">
        <v>3856536</v>
      </c>
      <c r="T77" s="129">
        <f>S77/Q77</f>
        <v>0.88931339605011561</v>
      </c>
      <c r="U77" s="124" t="s">
        <v>19</v>
      </c>
      <c r="V77" s="125" t="s">
        <v>16506</v>
      </c>
      <c r="W77" s="124" t="s">
        <v>16354</v>
      </c>
    </row>
    <row r="78" spans="1:23" s="14" customFormat="1" x14ac:dyDescent="0.45">
      <c r="A78" s="14">
        <v>115248</v>
      </c>
      <c r="B78" s="14" t="s">
        <v>16507</v>
      </c>
      <c r="C78" s="15" t="s">
        <v>16508</v>
      </c>
      <c r="D78" s="14">
        <v>0</v>
      </c>
      <c r="E78" s="14" t="s">
        <v>16509</v>
      </c>
      <c r="F78" s="126"/>
      <c r="G78" s="16"/>
      <c r="H78" s="16"/>
      <c r="I78" s="17"/>
      <c r="J78" s="17"/>
      <c r="K78" s="16"/>
      <c r="L78" s="16"/>
      <c r="M78" s="16"/>
      <c r="N78" s="14" t="s">
        <v>16510</v>
      </c>
      <c r="O78" s="15" t="s">
        <v>16511</v>
      </c>
      <c r="P78" s="2"/>
      <c r="Q78" s="18">
        <v>1499.2</v>
      </c>
      <c r="R78" s="18" t="s">
        <v>16</v>
      </c>
      <c r="S78" s="18">
        <v>390</v>
      </c>
      <c r="T78" s="18">
        <f>S78/Q78</f>
        <v>0.26013874066168624</v>
      </c>
      <c r="U78" s="18"/>
      <c r="V78" s="14" t="s">
        <v>16512</v>
      </c>
    </row>
    <row r="79" spans="1:23" customFormat="1" x14ac:dyDescent="0.45">
      <c r="A79">
        <v>115308</v>
      </c>
      <c r="B79" t="s">
        <v>16513</v>
      </c>
      <c r="C79" t="s">
        <v>16514</v>
      </c>
      <c r="D79">
        <v>0</v>
      </c>
      <c r="E79" t="s">
        <v>16515</v>
      </c>
      <c r="F79" s="124"/>
      <c r="G79" s="3">
        <v>0</v>
      </c>
      <c r="H79" s="7">
        <v>0</v>
      </c>
      <c r="I79" s="7">
        <v>0</v>
      </c>
      <c r="J79" s="7">
        <v>0</v>
      </c>
      <c r="K79" s="3">
        <f t="shared" ref="K79:K142" si="4">SUM(G79:J79)</f>
        <v>0</v>
      </c>
      <c r="L79" s="3"/>
      <c r="M79" s="3">
        <f t="shared" ref="M79:M142" si="5">K79+F79</f>
        <v>0</v>
      </c>
      <c r="N79" s="7"/>
      <c r="O79" s="5"/>
      <c r="S79" s="6"/>
    </row>
    <row r="80" spans="1:23" customFormat="1" x14ac:dyDescent="0.45">
      <c r="A80">
        <v>116018</v>
      </c>
      <c r="B80" t="s">
        <v>16516</v>
      </c>
      <c r="C80" t="s">
        <v>16517</v>
      </c>
      <c r="D80">
        <v>1</v>
      </c>
      <c r="E80" t="s">
        <v>16334</v>
      </c>
      <c r="F80" s="124"/>
      <c r="G80" s="3">
        <v>0</v>
      </c>
      <c r="H80" s="7">
        <v>0</v>
      </c>
      <c r="I80" s="7">
        <v>0</v>
      </c>
      <c r="J80" s="7">
        <v>0</v>
      </c>
      <c r="K80" s="3">
        <f t="shared" si="4"/>
        <v>0</v>
      </c>
      <c r="L80" s="3"/>
      <c r="M80" s="3">
        <f t="shared" si="5"/>
        <v>0</v>
      </c>
      <c r="O80" s="5"/>
      <c r="S80" s="6"/>
    </row>
    <row r="81" spans="1:23" customFormat="1" x14ac:dyDescent="0.45">
      <c r="A81">
        <v>116031</v>
      </c>
      <c r="B81" t="s">
        <v>16518</v>
      </c>
      <c r="C81" t="s">
        <v>16519</v>
      </c>
      <c r="D81">
        <v>3</v>
      </c>
      <c r="E81" t="s">
        <v>16334</v>
      </c>
      <c r="F81" s="124"/>
      <c r="G81" s="3">
        <v>0</v>
      </c>
      <c r="H81" s="3">
        <v>0</v>
      </c>
      <c r="I81" s="3">
        <v>0</v>
      </c>
      <c r="J81" s="3">
        <v>0</v>
      </c>
      <c r="K81" s="3">
        <f t="shared" si="4"/>
        <v>0</v>
      </c>
      <c r="L81" s="3"/>
      <c r="M81" s="3">
        <f t="shared" si="5"/>
        <v>0</v>
      </c>
      <c r="O81" s="5"/>
      <c r="S81" s="6"/>
    </row>
    <row r="82" spans="1:23" customFormat="1" x14ac:dyDescent="0.45">
      <c r="A82">
        <v>116140</v>
      </c>
      <c r="B82" t="s">
        <v>16520</v>
      </c>
      <c r="C82" t="s">
        <v>16331</v>
      </c>
      <c r="D82">
        <v>1</v>
      </c>
      <c r="E82" t="s">
        <v>16331</v>
      </c>
      <c r="F82" s="124"/>
      <c r="G82" s="3">
        <v>0</v>
      </c>
      <c r="H82" s="7">
        <v>0</v>
      </c>
      <c r="I82" s="7">
        <v>0</v>
      </c>
      <c r="J82" s="7">
        <v>0</v>
      </c>
      <c r="K82" s="3">
        <f t="shared" si="4"/>
        <v>0</v>
      </c>
      <c r="L82" s="3"/>
      <c r="M82" s="3">
        <f t="shared" si="5"/>
        <v>0</v>
      </c>
      <c r="O82" s="5"/>
      <c r="S82" s="6"/>
    </row>
    <row r="83" spans="1:23" customFormat="1" x14ac:dyDescent="0.45">
      <c r="A83">
        <v>116245</v>
      </c>
      <c r="B83" t="s">
        <v>16521</v>
      </c>
      <c r="C83" t="s">
        <v>16522</v>
      </c>
      <c r="D83">
        <v>0</v>
      </c>
      <c r="E83" t="s">
        <v>16523</v>
      </c>
      <c r="F83" s="124"/>
      <c r="G83" s="3"/>
      <c r="K83" s="3">
        <f t="shared" si="4"/>
        <v>0</v>
      </c>
      <c r="L83" s="3"/>
      <c r="M83" s="3">
        <f t="shared" si="5"/>
        <v>0</v>
      </c>
      <c r="O83" s="5"/>
      <c r="S83" s="6"/>
    </row>
    <row r="84" spans="1:23" customFormat="1" x14ac:dyDescent="0.45">
      <c r="A84">
        <v>116306</v>
      </c>
      <c r="B84" t="s">
        <v>16524</v>
      </c>
      <c r="C84" t="s">
        <v>16525</v>
      </c>
      <c r="D84">
        <v>4</v>
      </c>
      <c r="E84" t="s">
        <v>16334</v>
      </c>
      <c r="F84" s="124"/>
      <c r="G84" s="3">
        <v>0</v>
      </c>
      <c r="H84" s="7">
        <v>0</v>
      </c>
      <c r="I84" s="7">
        <v>0</v>
      </c>
      <c r="J84" s="7">
        <v>0</v>
      </c>
      <c r="K84" s="3">
        <f t="shared" si="4"/>
        <v>0</v>
      </c>
      <c r="L84" s="3"/>
      <c r="M84" s="3">
        <f t="shared" si="5"/>
        <v>0</v>
      </c>
      <c r="O84" s="5"/>
      <c r="S84" s="6"/>
    </row>
    <row r="85" spans="1:23" x14ac:dyDescent="0.45">
      <c r="A85" s="124">
        <v>126756</v>
      </c>
      <c r="B85" s="124" t="s">
        <v>16526</v>
      </c>
      <c r="C85" s="125" t="s">
        <v>16527</v>
      </c>
      <c r="D85" s="124">
        <v>3</v>
      </c>
      <c r="E85" s="124" t="s">
        <v>16417</v>
      </c>
      <c r="F85" s="126">
        <v>3.1999999999999997E-3</v>
      </c>
      <c r="G85" s="135">
        <v>0</v>
      </c>
      <c r="H85" s="135">
        <v>0</v>
      </c>
      <c r="I85" s="127">
        <v>3.5000000000000003E-2</v>
      </c>
      <c r="J85" s="127">
        <v>0.01</v>
      </c>
      <c r="K85" s="126">
        <f t="shared" si="4"/>
        <v>4.5000000000000005E-2</v>
      </c>
      <c r="L85" s="3"/>
      <c r="M85" s="126">
        <f t="shared" si="5"/>
        <v>4.8200000000000007E-2</v>
      </c>
      <c r="O85" s="125" t="s">
        <v>16501</v>
      </c>
      <c r="P85" s="128" t="s">
        <v>26918</v>
      </c>
      <c r="Q85" s="130">
        <v>1581293</v>
      </c>
      <c r="R85" s="124" t="s">
        <v>16348</v>
      </c>
      <c r="S85" s="130">
        <v>1287353</v>
      </c>
      <c r="T85" s="129">
        <f>S85/Q85</f>
        <v>0.81411414582876163</v>
      </c>
      <c r="U85" s="124" t="s">
        <v>19</v>
      </c>
      <c r="V85" s="125" t="s">
        <v>16528</v>
      </c>
      <c r="W85" s="124" t="s">
        <v>16354</v>
      </c>
    </row>
    <row r="86" spans="1:23" customFormat="1" x14ac:dyDescent="0.45">
      <c r="A86">
        <v>116320</v>
      </c>
      <c r="B86" t="s">
        <v>16529</v>
      </c>
      <c r="C86" t="s">
        <v>16530</v>
      </c>
      <c r="D86">
        <v>5</v>
      </c>
      <c r="E86" t="s">
        <v>16334</v>
      </c>
      <c r="F86" s="124"/>
      <c r="G86" s="3">
        <v>0</v>
      </c>
      <c r="H86" s="7">
        <v>0</v>
      </c>
      <c r="I86" s="7">
        <v>0</v>
      </c>
      <c r="J86" s="7">
        <v>0</v>
      </c>
      <c r="K86" s="3">
        <f t="shared" si="4"/>
        <v>0</v>
      </c>
      <c r="L86" s="3"/>
      <c r="M86" s="3">
        <f t="shared" si="5"/>
        <v>0</v>
      </c>
      <c r="O86" s="5"/>
      <c r="S86" s="6"/>
    </row>
    <row r="87" spans="1:23" x14ac:dyDescent="0.45">
      <c r="A87" s="124">
        <v>209530</v>
      </c>
      <c r="B87" s="124" t="s">
        <v>16531</v>
      </c>
      <c r="C87" s="125" t="s">
        <v>16532</v>
      </c>
      <c r="D87" s="124">
        <v>10</v>
      </c>
      <c r="E87" s="124" t="s">
        <v>16417</v>
      </c>
      <c r="F87" s="126">
        <v>5.0000000000000001E-3</v>
      </c>
      <c r="G87" s="126">
        <v>0</v>
      </c>
      <c r="H87" s="126">
        <v>0</v>
      </c>
      <c r="I87" s="127">
        <v>3.5000000000000003E-2</v>
      </c>
      <c r="J87" s="127">
        <v>0.01</v>
      </c>
      <c r="K87" s="126">
        <f t="shared" si="4"/>
        <v>4.5000000000000005E-2</v>
      </c>
      <c r="L87" s="3"/>
      <c r="M87" s="126">
        <f t="shared" si="5"/>
        <v>0.05</v>
      </c>
      <c r="N87" s="124" t="s">
        <v>16533</v>
      </c>
      <c r="O87" s="125" t="s">
        <v>16501</v>
      </c>
      <c r="P87" s="125" t="s">
        <v>16502</v>
      </c>
      <c r="Q87" s="130">
        <f>6931906+1668788</f>
        <v>8600694</v>
      </c>
      <c r="R87" s="124" t="s">
        <v>16348</v>
      </c>
      <c r="S87" s="130">
        <v>6321947</v>
      </c>
      <c r="T87" s="129">
        <f>S87/Q87</f>
        <v>0.73505079938897955</v>
      </c>
      <c r="U87" s="124" t="s">
        <v>19</v>
      </c>
      <c r="V87" s="125" t="s">
        <v>16534</v>
      </c>
      <c r="W87" s="124" t="s">
        <v>16354</v>
      </c>
    </row>
    <row r="88" spans="1:23" customFormat="1" x14ac:dyDescent="0.45">
      <c r="A88">
        <v>116337</v>
      </c>
      <c r="B88" t="s">
        <v>16535</v>
      </c>
      <c r="C88" s="19" t="s">
        <v>16536</v>
      </c>
      <c r="D88">
        <v>4</v>
      </c>
      <c r="E88" t="s">
        <v>16509</v>
      </c>
      <c r="F88" s="124"/>
      <c r="G88" s="3"/>
      <c r="H88" s="20"/>
      <c r="I88" s="19"/>
      <c r="J88" s="19"/>
      <c r="K88" s="3">
        <f t="shared" si="4"/>
        <v>0</v>
      </c>
      <c r="L88" s="3"/>
      <c r="M88" s="3">
        <f t="shared" si="5"/>
        <v>0</v>
      </c>
      <c r="O88" s="5"/>
      <c r="S88" s="6"/>
    </row>
    <row r="89" spans="1:23" customFormat="1" x14ac:dyDescent="0.45">
      <c r="A89">
        <v>116355</v>
      </c>
      <c r="B89" t="s">
        <v>16537</v>
      </c>
      <c r="C89" t="s">
        <v>16538</v>
      </c>
      <c r="D89">
        <v>1</v>
      </c>
      <c r="E89" t="s">
        <v>16523</v>
      </c>
      <c r="F89" s="124"/>
      <c r="G89" s="3">
        <v>0</v>
      </c>
      <c r="H89" s="7">
        <v>0</v>
      </c>
      <c r="I89" s="7">
        <v>0</v>
      </c>
      <c r="J89" s="7">
        <v>0</v>
      </c>
      <c r="K89" s="3">
        <f t="shared" si="4"/>
        <v>0</v>
      </c>
      <c r="L89" s="3"/>
      <c r="M89" s="3">
        <f t="shared" si="5"/>
        <v>0</v>
      </c>
      <c r="O89" s="5"/>
      <c r="S89" s="6"/>
    </row>
    <row r="90" spans="1:23" customFormat="1" x14ac:dyDescent="0.45">
      <c r="A90">
        <v>116358</v>
      </c>
      <c r="B90" t="s">
        <v>16539</v>
      </c>
      <c r="C90" t="s">
        <v>16540</v>
      </c>
      <c r="D90">
        <v>3</v>
      </c>
      <c r="E90" t="s">
        <v>16334</v>
      </c>
      <c r="F90" s="124"/>
      <c r="G90" s="3">
        <v>0</v>
      </c>
      <c r="H90" s="7">
        <v>0</v>
      </c>
      <c r="I90" s="7">
        <v>0</v>
      </c>
      <c r="J90" s="7">
        <v>0</v>
      </c>
      <c r="K90" s="3">
        <f t="shared" si="4"/>
        <v>0</v>
      </c>
      <c r="L90" s="3"/>
      <c r="M90" s="3">
        <f t="shared" si="5"/>
        <v>0</v>
      </c>
      <c r="O90" s="5"/>
      <c r="S90" s="6"/>
    </row>
    <row r="91" spans="1:23" x14ac:dyDescent="0.45">
      <c r="A91" s="124">
        <v>136914</v>
      </c>
      <c r="B91" s="124" t="s">
        <v>16541</v>
      </c>
      <c r="C91" s="125" t="s">
        <v>16542</v>
      </c>
      <c r="D91" s="124">
        <v>8</v>
      </c>
      <c r="E91" s="124" t="s">
        <v>16417</v>
      </c>
      <c r="F91" s="126">
        <v>3.1999999999999997E-3</v>
      </c>
      <c r="G91" s="126">
        <v>0</v>
      </c>
      <c r="H91" s="126">
        <v>0</v>
      </c>
      <c r="I91" s="127">
        <v>3.5000000000000003E-2</v>
      </c>
      <c r="J91" s="127">
        <v>0.01</v>
      </c>
      <c r="K91" s="126">
        <f t="shared" si="4"/>
        <v>4.5000000000000005E-2</v>
      </c>
      <c r="L91" s="3"/>
      <c r="M91" s="126">
        <f t="shared" si="5"/>
        <v>4.8200000000000007E-2</v>
      </c>
      <c r="O91" s="125" t="s">
        <v>16501</v>
      </c>
      <c r="P91" s="128" t="s">
        <v>26918</v>
      </c>
      <c r="Q91" s="130">
        <v>1581293</v>
      </c>
      <c r="R91" s="124" t="s">
        <v>16348</v>
      </c>
      <c r="S91" s="130">
        <v>1287353</v>
      </c>
      <c r="T91" s="129">
        <f>S91/Q91</f>
        <v>0.81411414582876163</v>
      </c>
      <c r="U91" s="124" t="s">
        <v>19</v>
      </c>
      <c r="V91" s="125" t="s">
        <v>16543</v>
      </c>
      <c r="W91" s="124" t="s">
        <v>16354</v>
      </c>
    </row>
    <row r="92" spans="1:23" customFormat="1" x14ac:dyDescent="0.45">
      <c r="A92">
        <v>116404</v>
      </c>
      <c r="B92" t="s">
        <v>16544</v>
      </c>
      <c r="C92" t="s">
        <v>16545</v>
      </c>
      <c r="D92">
        <v>30</v>
      </c>
      <c r="F92" s="124"/>
      <c r="G92" s="3">
        <v>0</v>
      </c>
      <c r="H92" s="7">
        <v>0</v>
      </c>
      <c r="I92" s="7">
        <v>0</v>
      </c>
      <c r="J92" s="7">
        <v>0</v>
      </c>
      <c r="K92" s="3">
        <f t="shared" si="4"/>
        <v>0</v>
      </c>
      <c r="L92" s="3"/>
      <c r="M92" s="3">
        <f t="shared" si="5"/>
        <v>0</v>
      </c>
      <c r="N92" s="7"/>
      <c r="O92" s="5"/>
      <c r="S92" s="6"/>
    </row>
    <row r="93" spans="1:23" customFormat="1" x14ac:dyDescent="0.45">
      <c r="A93">
        <v>116445</v>
      </c>
      <c r="B93" t="s">
        <v>16546</v>
      </c>
      <c r="C93" t="s">
        <v>16547</v>
      </c>
      <c r="D93">
        <v>1</v>
      </c>
      <c r="E93" t="s">
        <v>16334</v>
      </c>
      <c r="F93" s="124"/>
      <c r="G93" s="3">
        <v>0</v>
      </c>
      <c r="H93" s="7">
        <v>0</v>
      </c>
      <c r="I93" s="7">
        <v>0</v>
      </c>
      <c r="J93" s="7">
        <v>0</v>
      </c>
      <c r="K93" s="3">
        <f t="shared" si="4"/>
        <v>0</v>
      </c>
      <c r="L93" s="3"/>
      <c r="M93" s="3">
        <f t="shared" si="5"/>
        <v>0</v>
      </c>
      <c r="O93" s="5"/>
      <c r="S93" s="6"/>
    </row>
    <row r="94" spans="1:23" customFormat="1" x14ac:dyDescent="0.45">
      <c r="A94">
        <v>116460</v>
      </c>
      <c r="B94" t="s">
        <v>16548</v>
      </c>
      <c r="C94" t="s">
        <v>16549</v>
      </c>
      <c r="D94">
        <v>74</v>
      </c>
      <c r="E94" t="s">
        <v>16417</v>
      </c>
      <c r="F94" s="124"/>
      <c r="G94" s="3">
        <v>0</v>
      </c>
      <c r="H94" s="3">
        <v>0</v>
      </c>
      <c r="I94" s="3">
        <v>0</v>
      </c>
      <c r="J94" s="3">
        <v>0</v>
      </c>
      <c r="K94" s="3">
        <f t="shared" si="4"/>
        <v>0</v>
      </c>
      <c r="L94" s="3"/>
      <c r="M94" s="3">
        <f t="shared" si="5"/>
        <v>0</v>
      </c>
      <c r="O94" s="5"/>
      <c r="S94" s="6"/>
    </row>
    <row r="95" spans="1:23" x14ac:dyDescent="0.45">
      <c r="A95" s="124">
        <v>148204</v>
      </c>
      <c r="B95" s="124" t="s">
        <v>16550</v>
      </c>
      <c r="C95" s="125" t="s">
        <v>16551</v>
      </c>
      <c r="D95" s="124">
        <v>1</v>
      </c>
      <c r="E95" s="124" t="s">
        <v>16417</v>
      </c>
      <c r="F95" s="126">
        <v>3.1999999999999997E-3</v>
      </c>
      <c r="G95" s="135">
        <v>0</v>
      </c>
      <c r="H95" s="135">
        <v>0</v>
      </c>
      <c r="I95" s="127">
        <v>3.5000000000000003E-2</v>
      </c>
      <c r="J95" s="127">
        <v>0.01</v>
      </c>
      <c r="K95" s="126">
        <f t="shared" si="4"/>
        <v>4.5000000000000005E-2</v>
      </c>
      <c r="L95" s="3"/>
      <c r="M95" s="126">
        <f t="shared" si="5"/>
        <v>4.8200000000000007E-2</v>
      </c>
      <c r="O95" s="125" t="s">
        <v>16501</v>
      </c>
      <c r="P95" s="128" t="s">
        <v>26918</v>
      </c>
      <c r="Q95" s="130">
        <v>1581293</v>
      </c>
      <c r="R95" s="124" t="s">
        <v>16348</v>
      </c>
      <c r="S95" s="130">
        <v>1287353</v>
      </c>
      <c r="T95" s="129">
        <f>S95/Q95</f>
        <v>0.81411414582876163</v>
      </c>
      <c r="U95" s="124" t="s">
        <v>19</v>
      </c>
      <c r="V95" s="125" t="s">
        <v>16543</v>
      </c>
      <c r="W95" s="124" t="s">
        <v>16354</v>
      </c>
    </row>
    <row r="96" spans="1:23" customFormat="1" x14ac:dyDescent="0.45">
      <c r="A96">
        <v>116686</v>
      </c>
      <c r="B96" t="s">
        <v>16552</v>
      </c>
      <c r="C96" t="s">
        <v>16553</v>
      </c>
      <c r="D96">
        <v>2</v>
      </c>
      <c r="E96" t="s">
        <v>16334</v>
      </c>
      <c r="F96" s="124"/>
      <c r="G96" s="3">
        <v>0</v>
      </c>
      <c r="H96" s="7">
        <v>0</v>
      </c>
      <c r="I96" s="7">
        <v>0</v>
      </c>
      <c r="J96" s="7">
        <v>0</v>
      </c>
      <c r="K96" s="3">
        <f t="shared" si="4"/>
        <v>0</v>
      </c>
      <c r="L96" s="3"/>
      <c r="M96" s="3">
        <f t="shared" si="5"/>
        <v>0</v>
      </c>
      <c r="O96" s="5"/>
      <c r="S96" s="6"/>
    </row>
    <row r="97" spans="1:23" customFormat="1" x14ac:dyDescent="0.45">
      <c r="A97">
        <v>116734</v>
      </c>
      <c r="B97" t="s">
        <v>16554</v>
      </c>
      <c r="C97" t="s">
        <v>16555</v>
      </c>
      <c r="D97">
        <v>3</v>
      </c>
      <c r="E97" t="s">
        <v>16334</v>
      </c>
      <c r="F97" s="124"/>
      <c r="G97" s="3">
        <v>0</v>
      </c>
      <c r="H97" s="7">
        <v>0</v>
      </c>
      <c r="I97" s="7">
        <v>0</v>
      </c>
      <c r="J97" s="7">
        <v>0</v>
      </c>
      <c r="K97" s="3">
        <f t="shared" si="4"/>
        <v>0</v>
      </c>
      <c r="L97" s="3"/>
      <c r="M97" s="3">
        <f t="shared" si="5"/>
        <v>0</v>
      </c>
      <c r="O97" s="5"/>
      <c r="S97" s="6"/>
    </row>
    <row r="98" spans="1:23" customFormat="1" x14ac:dyDescent="0.45">
      <c r="A98">
        <v>116769</v>
      </c>
      <c r="B98" t="s">
        <v>16556</v>
      </c>
      <c r="C98" t="s">
        <v>16557</v>
      </c>
      <c r="D98">
        <v>5</v>
      </c>
      <c r="E98" t="s">
        <v>16491</v>
      </c>
      <c r="F98" s="124"/>
      <c r="G98" s="3">
        <v>0</v>
      </c>
      <c r="H98" s="7">
        <v>0</v>
      </c>
      <c r="I98" s="7">
        <v>0</v>
      </c>
      <c r="J98" s="7">
        <v>0</v>
      </c>
      <c r="K98" s="3">
        <f t="shared" si="4"/>
        <v>0</v>
      </c>
      <c r="L98" s="3"/>
      <c r="M98" s="3">
        <f t="shared" si="5"/>
        <v>0</v>
      </c>
      <c r="O98" s="5"/>
      <c r="S98" s="6"/>
    </row>
    <row r="99" spans="1:23" x14ac:dyDescent="0.45">
      <c r="A99" s="124">
        <v>155099</v>
      </c>
      <c r="B99" s="124" t="s">
        <v>16558</v>
      </c>
      <c r="C99" s="125" t="s">
        <v>16527</v>
      </c>
      <c r="D99" s="124">
        <v>4</v>
      </c>
      <c r="E99" s="124" t="s">
        <v>16417</v>
      </c>
      <c r="F99" s="126">
        <v>3.1999999999999997E-3</v>
      </c>
      <c r="G99" s="135">
        <v>0</v>
      </c>
      <c r="H99" s="135">
        <v>0</v>
      </c>
      <c r="I99" s="127">
        <v>3.5000000000000003E-2</v>
      </c>
      <c r="J99" s="127">
        <v>0.01</v>
      </c>
      <c r="K99" s="126">
        <f t="shared" si="4"/>
        <v>4.5000000000000005E-2</v>
      </c>
      <c r="L99" s="3"/>
      <c r="M99" s="126">
        <f t="shared" si="5"/>
        <v>4.8200000000000007E-2</v>
      </c>
      <c r="O99" s="125" t="s">
        <v>16501</v>
      </c>
      <c r="P99" s="128" t="s">
        <v>26918</v>
      </c>
      <c r="Q99" s="130">
        <v>1581293</v>
      </c>
      <c r="R99" s="124" t="s">
        <v>16348</v>
      </c>
      <c r="S99" s="130">
        <v>1287353</v>
      </c>
      <c r="T99" s="129">
        <f>S99/Q99</f>
        <v>0.81411414582876163</v>
      </c>
      <c r="U99" s="124" t="s">
        <v>19</v>
      </c>
      <c r="V99" s="125" t="s">
        <v>16543</v>
      </c>
      <c r="W99" s="124" t="s">
        <v>16354</v>
      </c>
    </row>
    <row r="100" spans="1:23" customFormat="1" x14ac:dyDescent="0.45">
      <c r="A100">
        <v>117672</v>
      </c>
      <c r="B100" t="s">
        <v>16559</v>
      </c>
      <c r="C100" t="s">
        <v>16560</v>
      </c>
      <c r="D100">
        <v>0</v>
      </c>
      <c r="E100" t="s">
        <v>16561</v>
      </c>
      <c r="F100" s="124"/>
      <c r="G100" s="3"/>
      <c r="K100" s="3">
        <f t="shared" si="4"/>
        <v>0</v>
      </c>
      <c r="L100" s="3"/>
      <c r="M100" s="3">
        <f t="shared" si="5"/>
        <v>0</v>
      </c>
      <c r="N100" t="s">
        <v>16562</v>
      </c>
      <c r="O100" s="5"/>
      <c r="S100" s="6"/>
    </row>
    <row r="101" spans="1:23" customFormat="1" x14ac:dyDescent="0.45">
      <c r="A101">
        <v>117954</v>
      </c>
      <c r="B101" t="s">
        <v>16563</v>
      </c>
      <c r="C101" t="s">
        <v>16564</v>
      </c>
      <c r="D101">
        <v>3</v>
      </c>
      <c r="E101" t="s">
        <v>16334</v>
      </c>
      <c r="F101" s="124"/>
      <c r="G101" s="3"/>
      <c r="J101" s="7"/>
      <c r="K101" s="3">
        <f t="shared" si="4"/>
        <v>0</v>
      </c>
      <c r="L101" s="3"/>
      <c r="M101" s="3">
        <f t="shared" si="5"/>
        <v>0</v>
      </c>
      <c r="O101" s="5"/>
      <c r="S101" s="6"/>
    </row>
    <row r="102" spans="1:23" customFormat="1" x14ac:dyDescent="0.45">
      <c r="A102">
        <v>118061</v>
      </c>
      <c r="B102" t="s">
        <v>16565</v>
      </c>
      <c r="C102" t="s">
        <v>16566</v>
      </c>
      <c r="D102">
        <v>5</v>
      </c>
      <c r="E102" t="s">
        <v>16334</v>
      </c>
      <c r="F102" s="124"/>
      <c r="G102" s="3"/>
      <c r="H102" s="19"/>
      <c r="I102" s="19">
        <v>0</v>
      </c>
      <c r="J102" s="19"/>
      <c r="K102" s="3">
        <f t="shared" si="4"/>
        <v>0</v>
      </c>
      <c r="L102" s="3"/>
      <c r="M102" s="3">
        <f t="shared" si="5"/>
        <v>0</v>
      </c>
      <c r="O102" s="5"/>
      <c r="S102" s="6"/>
    </row>
    <row r="103" spans="1:23" customFormat="1" x14ac:dyDescent="0.45">
      <c r="A103">
        <v>118068</v>
      </c>
      <c r="B103" t="s">
        <v>16567</v>
      </c>
      <c r="C103" t="s">
        <v>16568</v>
      </c>
      <c r="D103">
        <v>1</v>
      </c>
      <c r="E103" t="s">
        <v>16569</v>
      </c>
      <c r="F103" s="124"/>
      <c r="G103" s="3">
        <v>0</v>
      </c>
      <c r="H103" s="7">
        <v>0</v>
      </c>
      <c r="I103" s="7">
        <v>0</v>
      </c>
      <c r="J103" s="7">
        <v>0</v>
      </c>
      <c r="K103" s="3">
        <f t="shared" si="4"/>
        <v>0</v>
      </c>
      <c r="L103" s="3"/>
      <c r="M103" s="3">
        <f t="shared" si="5"/>
        <v>0</v>
      </c>
      <c r="O103" s="5"/>
      <c r="S103" s="6"/>
    </row>
    <row r="104" spans="1:23" customFormat="1" x14ac:dyDescent="0.45">
      <c r="A104">
        <v>118099</v>
      </c>
      <c r="B104" t="s">
        <v>16570</v>
      </c>
      <c r="C104" t="s">
        <v>16571</v>
      </c>
      <c r="D104">
        <v>3</v>
      </c>
      <c r="E104" t="s">
        <v>16334</v>
      </c>
      <c r="F104" s="124"/>
      <c r="G104" s="3">
        <v>0</v>
      </c>
      <c r="H104" s="7">
        <v>0</v>
      </c>
      <c r="I104" s="7">
        <v>0</v>
      </c>
      <c r="J104" s="7">
        <v>0</v>
      </c>
      <c r="K104" s="3">
        <f t="shared" si="4"/>
        <v>0</v>
      </c>
      <c r="L104" s="3"/>
      <c r="M104" s="3">
        <f t="shared" si="5"/>
        <v>0</v>
      </c>
      <c r="O104" s="5"/>
      <c r="S104" s="6"/>
    </row>
    <row r="105" spans="1:23" customFormat="1" x14ac:dyDescent="0.45">
      <c r="A105">
        <v>118158</v>
      </c>
      <c r="B105" t="s">
        <v>16572</v>
      </c>
      <c r="C105" t="s">
        <v>16573</v>
      </c>
      <c r="D105">
        <v>6</v>
      </c>
      <c r="E105" t="s">
        <v>16334</v>
      </c>
      <c r="F105" s="124"/>
      <c r="G105" s="3">
        <v>0</v>
      </c>
      <c r="H105" s="3">
        <v>0</v>
      </c>
      <c r="I105" s="3">
        <v>0</v>
      </c>
      <c r="J105" s="3">
        <v>0</v>
      </c>
      <c r="K105" s="3">
        <f t="shared" si="4"/>
        <v>0</v>
      </c>
      <c r="L105" s="3"/>
      <c r="M105" s="3">
        <f t="shared" si="5"/>
        <v>0</v>
      </c>
      <c r="O105" s="5"/>
      <c r="S105" s="6"/>
    </row>
    <row r="106" spans="1:23" customFormat="1" x14ac:dyDescent="0.45">
      <c r="A106">
        <v>118162</v>
      </c>
      <c r="B106" t="s">
        <v>16574</v>
      </c>
      <c r="C106" t="s">
        <v>16575</v>
      </c>
      <c r="D106">
        <v>2</v>
      </c>
      <c r="E106" t="s">
        <v>16334</v>
      </c>
      <c r="F106" s="124"/>
      <c r="G106" s="3">
        <v>0</v>
      </c>
      <c r="H106" s="7">
        <v>0</v>
      </c>
      <c r="I106" s="7">
        <v>0</v>
      </c>
      <c r="J106" s="7">
        <v>0</v>
      </c>
      <c r="K106" s="3">
        <f t="shared" si="4"/>
        <v>0</v>
      </c>
      <c r="L106" s="3"/>
      <c r="M106" s="3">
        <f t="shared" si="5"/>
        <v>0</v>
      </c>
      <c r="O106" s="5"/>
      <c r="S106" s="6"/>
    </row>
    <row r="107" spans="1:23" customFormat="1" x14ac:dyDescent="0.45">
      <c r="A107">
        <v>118176</v>
      </c>
      <c r="B107" t="s">
        <v>16576</v>
      </c>
      <c r="C107" t="s">
        <v>16577</v>
      </c>
      <c r="D107">
        <v>5</v>
      </c>
      <c r="E107" t="s">
        <v>16334</v>
      </c>
      <c r="F107" s="124"/>
      <c r="G107" s="3">
        <v>0</v>
      </c>
      <c r="H107" s="7">
        <v>0</v>
      </c>
      <c r="I107" s="7">
        <v>0</v>
      </c>
      <c r="J107" s="7">
        <v>0</v>
      </c>
      <c r="K107" s="3">
        <f t="shared" si="4"/>
        <v>0</v>
      </c>
      <c r="L107" s="3"/>
      <c r="M107" s="3">
        <f t="shared" si="5"/>
        <v>0</v>
      </c>
      <c r="O107" s="5"/>
      <c r="S107" s="6"/>
    </row>
    <row r="108" spans="1:23" customFormat="1" x14ac:dyDescent="0.45">
      <c r="A108">
        <v>118361</v>
      </c>
      <c r="B108" t="s">
        <v>16578</v>
      </c>
      <c r="C108" t="s">
        <v>16579</v>
      </c>
      <c r="D108">
        <v>1</v>
      </c>
      <c r="E108" t="s">
        <v>16523</v>
      </c>
      <c r="F108" s="124"/>
      <c r="G108" s="3">
        <v>0</v>
      </c>
      <c r="H108" s="7">
        <v>0</v>
      </c>
      <c r="I108" s="7">
        <v>0</v>
      </c>
      <c r="J108" s="7">
        <v>0</v>
      </c>
      <c r="K108" s="3">
        <f t="shared" si="4"/>
        <v>0</v>
      </c>
      <c r="L108" s="3"/>
      <c r="M108" s="3">
        <f t="shared" si="5"/>
        <v>0</v>
      </c>
      <c r="O108" s="5"/>
      <c r="S108" s="6"/>
    </row>
    <row r="109" spans="1:23" customFormat="1" x14ac:dyDescent="0.45">
      <c r="A109">
        <v>118396</v>
      </c>
      <c r="B109" t="s">
        <v>16580</v>
      </c>
      <c r="C109" t="s">
        <v>16581</v>
      </c>
      <c r="D109">
        <v>2</v>
      </c>
      <c r="E109" t="s">
        <v>16334</v>
      </c>
      <c r="F109" s="124"/>
      <c r="G109" s="3">
        <v>0</v>
      </c>
      <c r="H109" s="7">
        <v>0</v>
      </c>
      <c r="I109" s="7">
        <v>0</v>
      </c>
      <c r="J109" s="7">
        <v>0</v>
      </c>
      <c r="K109" s="3">
        <f t="shared" si="4"/>
        <v>0</v>
      </c>
      <c r="L109" s="3"/>
      <c r="M109" s="3">
        <f t="shared" si="5"/>
        <v>0</v>
      </c>
      <c r="O109" s="5"/>
      <c r="S109" s="6"/>
    </row>
    <row r="110" spans="1:23" customFormat="1" x14ac:dyDescent="0.45">
      <c r="A110">
        <v>118513</v>
      </c>
      <c r="B110" t="s">
        <v>16582</v>
      </c>
      <c r="C110" t="s">
        <v>16583</v>
      </c>
      <c r="D110">
        <v>4</v>
      </c>
      <c r="E110" t="s">
        <v>16334</v>
      </c>
      <c r="F110" s="124"/>
      <c r="G110" s="3">
        <v>0</v>
      </c>
      <c r="H110" s="7">
        <v>0</v>
      </c>
      <c r="I110" s="7">
        <v>0</v>
      </c>
      <c r="J110" s="7">
        <v>0</v>
      </c>
      <c r="K110" s="3">
        <f t="shared" si="4"/>
        <v>0</v>
      </c>
      <c r="L110" s="3"/>
      <c r="M110" s="3">
        <f t="shared" si="5"/>
        <v>0</v>
      </c>
      <c r="O110" s="5"/>
      <c r="S110" s="6"/>
    </row>
    <row r="111" spans="1:23" customFormat="1" x14ac:dyDescent="0.45">
      <c r="A111">
        <v>118720</v>
      </c>
      <c r="B111" t="s">
        <v>16584</v>
      </c>
      <c r="C111" t="s">
        <v>16585</v>
      </c>
      <c r="D111">
        <v>1</v>
      </c>
      <c r="E111" t="s">
        <v>16523</v>
      </c>
      <c r="F111" s="124"/>
      <c r="G111" s="3">
        <v>0</v>
      </c>
      <c r="H111" s="7">
        <v>0</v>
      </c>
      <c r="I111" s="7">
        <v>0</v>
      </c>
      <c r="J111" s="7">
        <v>0</v>
      </c>
      <c r="K111" s="3">
        <f t="shared" si="4"/>
        <v>0</v>
      </c>
      <c r="L111" s="3"/>
      <c r="M111" s="3">
        <f t="shared" si="5"/>
        <v>0</v>
      </c>
      <c r="O111" s="5"/>
      <c r="S111" s="6"/>
    </row>
    <row r="112" spans="1:23" customFormat="1" x14ac:dyDescent="0.45">
      <c r="A112">
        <v>118803</v>
      </c>
      <c r="B112" t="s">
        <v>16586</v>
      </c>
      <c r="C112" t="s">
        <v>16331</v>
      </c>
      <c r="D112">
        <v>1</v>
      </c>
      <c r="E112" t="s">
        <v>16331</v>
      </c>
      <c r="F112" s="124"/>
      <c r="G112" s="3">
        <v>0</v>
      </c>
      <c r="H112" s="7">
        <v>0</v>
      </c>
      <c r="I112" s="7">
        <v>0</v>
      </c>
      <c r="J112" s="7">
        <v>0</v>
      </c>
      <c r="K112" s="3">
        <f t="shared" si="4"/>
        <v>0</v>
      </c>
      <c r="L112" s="3"/>
      <c r="M112" s="3">
        <f t="shared" si="5"/>
        <v>0</v>
      </c>
      <c r="O112" s="5"/>
      <c r="S112" s="6"/>
    </row>
    <row r="113" spans="1:23" customFormat="1" x14ac:dyDescent="0.45">
      <c r="A113">
        <v>118992</v>
      </c>
      <c r="B113" t="s">
        <v>16587</v>
      </c>
      <c r="C113" t="s">
        <v>16588</v>
      </c>
      <c r="D113">
        <v>1</v>
      </c>
      <c r="E113" t="s">
        <v>16523</v>
      </c>
      <c r="F113" s="124"/>
      <c r="G113" s="3">
        <v>0</v>
      </c>
      <c r="H113" s="3">
        <v>0</v>
      </c>
      <c r="I113" s="3">
        <v>0</v>
      </c>
      <c r="J113" s="3">
        <v>0</v>
      </c>
      <c r="K113" s="3">
        <f t="shared" si="4"/>
        <v>0</v>
      </c>
      <c r="L113" s="3"/>
      <c r="M113" s="3">
        <f t="shared" si="5"/>
        <v>0</v>
      </c>
      <c r="O113" s="5"/>
      <c r="S113" s="6"/>
    </row>
    <row r="114" spans="1:23" customFormat="1" x14ac:dyDescent="0.45">
      <c r="A114">
        <v>119136</v>
      </c>
      <c r="B114" t="s">
        <v>16589</v>
      </c>
      <c r="C114" t="s">
        <v>16590</v>
      </c>
      <c r="D114">
        <v>1</v>
      </c>
      <c r="E114" t="s">
        <v>16491</v>
      </c>
      <c r="F114" s="124"/>
      <c r="G114" s="3">
        <v>0</v>
      </c>
      <c r="H114" s="7">
        <v>0</v>
      </c>
      <c r="I114" s="7">
        <v>0</v>
      </c>
      <c r="J114" s="7">
        <v>0</v>
      </c>
      <c r="K114" s="3">
        <f t="shared" si="4"/>
        <v>0</v>
      </c>
      <c r="L114" s="3"/>
      <c r="M114" s="3">
        <f t="shared" si="5"/>
        <v>0</v>
      </c>
      <c r="O114" s="5"/>
      <c r="S114" s="6"/>
    </row>
    <row r="115" spans="1:23" customFormat="1" x14ac:dyDescent="0.45">
      <c r="A115">
        <v>119193</v>
      </c>
      <c r="B115" t="s">
        <v>16591</v>
      </c>
      <c r="C115" t="s">
        <v>16592</v>
      </c>
      <c r="D115">
        <v>0</v>
      </c>
      <c r="E115" t="s">
        <v>16593</v>
      </c>
      <c r="F115" s="124"/>
      <c r="G115" s="3">
        <v>0</v>
      </c>
      <c r="H115" s="7">
        <v>0</v>
      </c>
      <c r="I115" s="7">
        <v>0</v>
      </c>
      <c r="J115" s="7">
        <v>0</v>
      </c>
      <c r="K115" s="3">
        <f t="shared" si="4"/>
        <v>0</v>
      </c>
      <c r="L115" s="3"/>
      <c r="M115" s="3">
        <f t="shared" si="5"/>
        <v>0</v>
      </c>
      <c r="N115" s="7"/>
      <c r="O115" s="5"/>
      <c r="S115" s="6"/>
    </row>
    <row r="116" spans="1:23" customFormat="1" x14ac:dyDescent="0.45">
      <c r="A116">
        <v>119250</v>
      </c>
      <c r="B116" s="21" t="s">
        <v>16594</v>
      </c>
      <c r="C116" s="2" t="s">
        <v>16595</v>
      </c>
      <c r="D116">
        <v>97</v>
      </c>
      <c r="E116" t="s">
        <v>16596</v>
      </c>
      <c r="F116" s="124"/>
      <c r="G116" s="3">
        <v>0</v>
      </c>
      <c r="H116" s="3">
        <v>0</v>
      </c>
      <c r="I116" s="3">
        <v>0</v>
      </c>
      <c r="J116">
        <v>0</v>
      </c>
      <c r="K116" s="3">
        <f t="shared" si="4"/>
        <v>0</v>
      </c>
      <c r="L116" s="3"/>
      <c r="M116" s="3">
        <f t="shared" si="5"/>
        <v>0</v>
      </c>
      <c r="N116" t="s">
        <v>16597</v>
      </c>
      <c r="O116" s="5" t="s">
        <v>16598</v>
      </c>
      <c r="S116" s="6"/>
    </row>
    <row r="117" spans="1:23" x14ac:dyDescent="0.45">
      <c r="A117" s="124">
        <v>195273</v>
      </c>
      <c r="B117" s="124" t="s">
        <v>16599</v>
      </c>
      <c r="C117" s="125" t="s">
        <v>16600</v>
      </c>
      <c r="D117" s="125">
        <v>6</v>
      </c>
      <c r="E117" s="124" t="s">
        <v>16417</v>
      </c>
      <c r="F117" s="126">
        <v>3.1999999999999997E-3</v>
      </c>
      <c r="G117" s="126">
        <v>0</v>
      </c>
      <c r="H117" s="126">
        <v>0</v>
      </c>
      <c r="I117" s="127">
        <v>3.5000000000000003E-2</v>
      </c>
      <c r="J117" s="127">
        <v>0.01</v>
      </c>
      <c r="K117" s="126">
        <f t="shared" si="4"/>
        <v>4.5000000000000005E-2</v>
      </c>
      <c r="L117" s="3"/>
      <c r="M117" s="126">
        <f t="shared" si="5"/>
        <v>4.8200000000000007E-2</v>
      </c>
      <c r="O117" s="125" t="s">
        <v>16501</v>
      </c>
      <c r="P117" s="128" t="s">
        <v>26918</v>
      </c>
      <c r="Q117" s="130">
        <f>224206+43232</f>
        <v>267438</v>
      </c>
      <c r="R117" s="124" t="s">
        <v>16348</v>
      </c>
      <c r="S117" s="130">
        <v>226100</v>
      </c>
      <c r="T117" s="129">
        <f>S117/Q117</f>
        <v>0.84542959489676117</v>
      </c>
      <c r="U117" s="124" t="s">
        <v>19</v>
      </c>
      <c r="V117" s="125" t="s">
        <v>16601</v>
      </c>
      <c r="W117" s="124" t="s">
        <v>16354</v>
      </c>
    </row>
    <row r="118" spans="1:23" customFormat="1" x14ac:dyDescent="0.45">
      <c r="A118">
        <v>119281</v>
      </c>
      <c r="B118" t="s">
        <v>16602</v>
      </c>
      <c r="C118" t="s">
        <v>16603</v>
      </c>
      <c r="D118">
        <v>0</v>
      </c>
      <c r="E118" t="s">
        <v>16593</v>
      </c>
      <c r="F118" s="124"/>
      <c r="G118" s="3">
        <v>0</v>
      </c>
      <c r="H118" s="7">
        <v>0</v>
      </c>
      <c r="I118" s="7">
        <v>0</v>
      </c>
      <c r="J118" s="7">
        <v>0</v>
      </c>
      <c r="K118" s="3">
        <f t="shared" si="4"/>
        <v>0</v>
      </c>
      <c r="L118" s="3"/>
      <c r="M118" s="3">
        <f t="shared" si="5"/>
        <v>0</v>
      </c>
      <c r="N118" s="7"/>
      <c r="O118" s="5"/>
      <c r="S118" s="6"/>
    </row>
    <row r="119" spans="1:23" customFormat="1" x14ac:dyDescent="0.45">
      <c r="A119">
        <v>119319</v>
      </c>
      <c r="B119" t="s">
        <v>16604</v>
      </c>
      <c r="C119" t="s">
        <v>16605</v>
      </c>
      <c r="D119">
        <v>0</v>
      </c>
      <c r="E119" t="s">
        <v>16417</v>
      </c>
      <c r="F119" s="124"/>
      <c r="G119" s="3">
        <v>0</v>
      </c>
      <c r="H119" s="7">
        <v>0</v>
      </c>
      <c r="I119" s="7">
        <v>0</v>
      </c>
      <c r="J119" s="7">
        <v>0</v>
      </c>
      <c r="K119" s="3">
        <f t="shared" si="4"/>
        <v>0</v>
      </c>
      <c r="L119" s="3"/>
      <c r="M119" s="3">
        <f t="shared" si="5"/>
        <v>0</v>
      </c>
      <c r="N119" s="7"/>
      <c r="O119" s="5"/>
      <c r="S119" s="6"/>
    </row>
    <row r="120" spans="1:23" customFormat="1" x14ac:dyDescent="0.45">
      <c r="A120">
        <v>119329</v>
      </c>
      <c r="B120" t="s">
        <v>16606</v>
      </c>
      <c r="C120" t="s">
        <v>16607</v>
      </c>
      <c r="D120">
        <v>87</v>
      </c>
      <c r="E120" t="s">
        <v>16417</v>
      </c>
      <c r="F120" s="124"/>
      <c r="G120" s="3">
        <v>0</v>
      </c>
      <c r="H120" s="7">
        <v>0</v>
      </c>
      <c r="I120" s="7">
        <v>0</v>
      </c>
      <c r="J120" s="7">
        <v>0</v>
      </c>
      <c r="K120" s="3">
        <f t="shared" si="4"/>
        <v>0</v>
      </c>
      <c r="L120" s="3"/>
      <c r="M120" s="3">
        <f t="shared" si="5"/>
        <v>0</v>
      </c>
      <c r="O120" s="5"/>
      <c r="S120" s="6"/>
    </row>
    <row r="121" spans="1:23" customFormat="1" x14ac:dyDescent="0.45">
      <c r="A121">
        <v>119368</v>
      </c>
      <c r="B121" t="s">
        <v>16608</v>
      </c>
      <c r="C121" t="s">
        <v>16609</v>
      </c>
      <c r="D121">
        <v>0</v>
      </c>
      <c r="E121" t="s">
        <v>16593</v>
      </c>
      <c r="F121" s="124"/>
      <c r="G121" s="3">
        <v>0</v>
      </c>
      <c r="H121" s="7">
        <v>0</v>
      </c>
      <c r="I121" s="7">
        <v>0</v>
      </c>
      <c r="J121" s="7">
        <v>0</v>
      </c>
      <c r="K121" s="3">
        <f t="shared" si="4"/>
        <v>0</v>
      </c>
      <c r="L121" s="3"/>
      <c r="M121" s="3">
        <f t="shared" si="5"/>
        <v>0</v>
      </c>
      <c r="N121" s="7"/>
      <c r="O121" s="5"/>
      <c r="S121" s="6"/>
    </row>
    <row r="122" spans="1:23" x14ac:dyDescent="0.45">
      <c r="A122" s="124">
        <v>209451</v>
      </c>
      <c r="B122" s="124" t="s">
        <v>16610</v>
      </c>
      <c r="C122" s="125" t="s">
        <v>16542</v>
      </c>
      <c r="D122" s="124">
        <v>12</v>
      </c>
      <c r="E122" s="124" t="s">
        <v>16417</v>
      </c>
      <c r="F122" s="126">
        <v>3.1999999999999997E-3</v>
      </c>
      <c r="G122" s="126">
        <v>0</v>
      </c>
      <c r="H122" s="126">
        <v>0</v>
      </c>
      <c r="I122" s="127">
        <v>3.5000000000000003E-2</v>
      </c>
      <c r="J122" s="127">
        <v>0.01</v>
      </c>
      <c r="K122" s="126">
        <f t="shared" si="4"/>
        <v>4.5000000000000005E-2</v>
      </c>
      <c r="L122" s="3"/>
      <c r="M122" s="126">
        <f t="shared" si="5"/>
        <v>4.8200000000000007E-2</v>
      </c>
      <c r="O122" s="125" t="s">
        <v>16501</v>
      </c>
      <c r="P122" s="128" t="s">
        <v>26918</v>
      </c>
      <c r="Q122" s="130">
        <v>1581293</v>
      </c>
      <c r="R122" s="124" t="s">
        <v>16348</v>
      </c>
      <c r="S122" s="130">
        <v>1287353</v>
      </c>
      <c r="T122" s="129">
        <f>S122/Q122</f>
        <v>0.81411414582876163</v>
      </c>
      <c r="U122" s="124" t="s">
        <v>19</v>
      </c>
      <c r="V122" s="125" t="s">
        <v>16543</v>
      </c>
      <c r="W122" s="124" t="s">
        <v>16354</v>
      </c>
    </row>
    <row r="123" spans="1:23" customFormat="1" x14ac:dyDescent="0.45">
      <c r="A123">
        <v>120918</v>
      </c>
      <c r="B123" t="s">
        <v>16611</v>
      </c>
      <c r="C123" s="2" t="s">
        <v>16612</v>
      </c>
      <c r="D123">
        <v>4</v>
      </c>
      <c r="F123" s="125"/>
      <c r="G123" s="3">
        <v>0</v>
      </c>
      <c r="H123" s="3">
        <v>0</v>
      </c>
      <c r="I123" s="3">
        <v>0</v>
      </c>
      <c r="J123" s="3">
        <v>0</v>
      </c>
      <c r="K123" s="3">
        <f t="shared" si="4"/>
        <v>0</v>
      </c>
      <c r="L123" s="3"/>
      <c r="M123" s="3">
        <f t="shared" si="5"/>
        <v>0</v>
      </c>
      <c r="O123" s="5"/>
      <c r="S123" s="6"/>
    </row>
    <row r="124" spans="1:23" x14ac:dyDescent="0.45">
      <c r="A124" s="124">
        <v>432503</v>
      </c>
      <c r="B124" s="124" t="s">
        <v>16613</v>
      </c>
      <c r="C124" s="125" t="s">
        <v>16542</v>
      </c>
      <c r="D124" s="124">
        <v>19</v>
      </c>
      <c r="E124" s="124" t="s">
        <v>16417</v>
      </c>
      <c r="F124" s="126">
        <v>5.0000000000000001E-3</v>
      </c>
      <c r="G124" s="126">
        <v>0</v>
      </c>
      <c r="H124" s="126">
        <v>0</v>
      </c>
      <c r="I124" s="127">
        <v>3.5000000000000003E-2</v>
      </c>
      <c r="J124" s="127">
        <v>0.01</v>
      </c>
      <c r="K124" s="126">
        <f t="shared" si="4"/>
        <v>4.5000000000000005E-2</v>
      </c>
      <c r="L124" s="3"/>
      <c r="M124" s="126">
        <f t="shared" si="5"/>
        <v>0.05</v>
      </c>
      <c r="O124" s="125" t="s">
        <v>16501</v>
      </c>
      <c r="P124" s="125" t="s">
        <v>16502</v>
      </c>
      <c r="Q124" s="130">
        <f>6741492+1952787</f>
        <v>8694279</v>
      </c>
      <c r="R124" s="124" t="s">
        <v>16348</v>
      </c>
      <c r="S124" s="130">
        <f>6238498</f>
        <v>6238498</v>
      </c>
      <c r="T124" s="129">
        <f>S124/Q124</f>
        <v>0.71754058042075719</v>
      </c>
      <c r="U124" s="124" t="s">
        <v>19</v>
      </c>
      <c r="V124" s="125" t="s">
        <v>16614</v>
      </c>
      <c r="W124" s="124" t="s">
        <v>16354</v>
      </c>
    </row>
    <row r="125" spans="1:23" customFormat="1" x14ac:dyDescent="0.45">
      <c r="A125">
        <v>120973</v>
      </c>
      <c r="B125" t="s">
        <v>16615</v>
      </c>
      <c r="C125" t="s">
        <v>16331</v>
      </c>
      <c r="D125">
        <v>2</v>
      </c>
      <c r="E125" t="s">
        <v>16331</v>
      </c>
      <c r="F125" s="124"/>
      <c r="G125" s="3">
        <v>0</v>
      </c>
      <c r="H125" s="7">
        <v>0</v>
      </c>
      <c r="I125" s="7">
        <v>0</v>
      </c>
      <c r="J125" s="7">
        <v>0</v>
      </c>
      <c r="K125" s="3">
        <f t="shared" si="4"/>
        <v>0</v>
      </c>
      <c r="L125" s="3"/>
      <c r="M125" s="3">
        <f t="shared" si="5"/>
        <v>0</v>
      </c>
      <c r="O125" s="5"/>
      <c r="S125" s="6"/>
    </row>
    <row r="126" spans="1:23" customFormat="1" x14ac:dyDescent="0.45">
      <c r="A126">
        <v>120982</v>
      </c>
      <c r="B126" t="s">
        <v>16616</v>
      </c>
      <c r="C126" s="2" t="s">
        <v>16617</v>
      </c>
      <c r="D126">
        <v>0</v>
      </c>
      <c r="E126" t="s">
        <v>16561</v>
      </c>
      <c r="F126" s="125"/>
      <c r="G126" s="3">
        <v>0</v>
      </c>
      <c r="H126" s="7">
        <v>0</v>
      </c>
      <c r="I126" s="7">
        <v>0</v>
      </c>
      <c r="J126" s="7">
        <v>0</v>
      </c>
      <c r="K126" s="3">
        <f t="shared" si="4"/>
        <v>0</v>
      </c>
      <c r="L126" s="3"/>
      <c r="M126" s="3">
        <f t="shared" si="5"/>
        <v>0</v>
      </c>
      <c r="O126" s="5"/>
      <c r="S126" s="6"/>
    </row>
    <row r="127" spans="1:23" customFormat="1" x14ac:dyDescent="0.45">
      <c r="A127">
        <v>121020</v>
      </c>
      <c r="B127" t="s">
        <v>16618</v>
      </c>
      <c r="C127" t="s">
        <v>16331</v>
      </c>
      <c r="D127">
        <v>1</v>
      </c>
      <c r="E127" t="s">
        <v>16331</v>
      </c>
      <c r="F127" s="124"/>
      <c r="G127" s="3">
        <v>0</v>
      </c>
      <c r="H127" s="7">
        <v>0</v>
      </c>
      <c r="I127" s="7">
        <v>0</v>
      </c>
      <c r="J127" s="7">
        <v>0</v>
      </c>
      <c r="K127" s="3">
        <f t="shared" si="4"/>
        <v>0</v>
      </c>
      <c r="L127" s="3"/>
      <c r="M127" s="3">
        <f t="shared" si="5"/>
        <v>0</v>
      </c>
      <c r="O127" s="5"/>
      <c r="S127" s="6"/>
    </row>
    <row r="128" spans="1:23" customFormat="1" x14ac:dyDescent="0.45">
      <c r="A128">
        <v>121023</v>
      </c>
      <c r="B128" t="s">
        <v>16619</v>
      </c>
      <c r="C128" t="s">
        <v>16620</v>
      </c>
      <c r="D128">
        <v>4</v>
      </c>
      <c r="F128" s="124"/>
      <c r="G128" s="3">
        <v>0</v>
      </c>
      <c r="H128" s="3">
        <v>0</v>
      </c>
      <c r="I128" s="3">
        <v>0</v>
      </c>
      <c r="J128" s="3">
        <v>0</v>
      </c>
      <c r="K128" s="3">
        <f t="shared" si="4"/>
        <v>0</v>
      </c>
      <c r="L128" s="3"/>
      <c r="M128" s="3">
        <f t="shared" si="5"/>
        <v>0</v>
      </c>
      <c r="O128" s="5"/>
      <c r="S128" s="6"/>
    </row>
    <row r="129" spans="1:23" customFormat="1" x14ac:dyDescent="0.45">
      <c r="A129">
        <v>121066</v>
      </c>
      <c r="B129" t="s">
        <v>16621</v>
      </c>
      <c r="C129" t="s">
        <v>16622</v>
      </c>
      <c r="D129">
        <v>17</v>
      </c>
      <c r="E129" t="s">
        <v>16417</v>
      </c>
      <c r="F129" s="124"/>
      <c r="G129" s="3"/>
      <c r="K129" s="3">
        <f t="shared" si="4"/>
        <v>0</v>
      </c>
      <c r="L129" s="3"/>
      <c r="M129" s="3">
        <f t="shared" si="5"/>
        <v>0</v>
      </c>
      <c r="N129" t="s">
        <v>16623</v>
      </c>
      <c r="O129" s="2" t="s">
        <v>16624</v>
      </c>
      <c r="Q129" t="s">
        <v>16624</v>
      </c>
      <c r="S129" s="6"/>
    </row>
    <row r="130" spans="1:23" customFormat="1" x14ac:dyDescent="0.45">
      <c r="A130">
        <v>121074</v>
      </c>
      <c r="B130" t="s">
        <v>16625</v>
      </c>
      <c r="C130" t="s">
        <v>16626</v>
      </c>
      <c r="D130">
        <v>4</v>
      </c>
      <c r="F130" s="124"/>
      <c r="G130" s="3"/>
      <c r="K130" s="3">
        <f t="shared" si="4"/>
        <v>0</v>
      </c>
      <c r="L130" s="3"/>
      <c r="M130" s="3">
        <f t="shared" si="5"/>
        <v>0</v>
      </c>
      <c r="O130" s="5"/>
      <c r="S130" s="6"/>
    </row>
    <row r="131" spans="1:23" customFormat="1" x14ac:dyDescent="0.45">
      <c r="A131">
        <v>121212</v>
      </c>
      <c r="B131" t="s">
        <v>16627</v>
      </c>
      <c r="C131" t="s">
        <v>16628</v>
      </c>
      <c r="D131">
        <v>2</v>
      </c>
      <c r="F131" s="124"/>
      <c r="G131" s="3"/>
      <c r="K131" s="3">
        <f t="shared" si="4"/>
        <v>0</v>
      </c>
      <c r="L131" s="3"/>
      <c r="M131" s="3">
        <f t="shared" si="5"/>
        <v>0</v>
      </c>
      <c r="O131" s="5"/>
      <c r="S131" s="6"/>
    </row>
    <row r="132" spans="1:23" customFormat="1" x14ac:dyDescent="0.45">
      <c r="A132">
        <v>121225</v>
      </c>
      <c r="B132" t="s">
        <v>16629</v>
      </c>
      <c r="C132" t="s">
        <v>16630</v>
      </c>
      <c r="D132">
        <v>1</v>
      </c>
      <c r="F132" s="124"/>
      <c r="G132" s="3">
        <v>0</v>
      </c>
      <c r="H132" s="7">
        <v>0</v>
      </c>
      <c r="I132" s="7">
        <v>0</v>
      </c>
      <c r="J132" s="7">
        <v>0</v>
      </c>
      <c r="K132" s="3">
        <f t="shared" si="4"/>
        <v>0</v>
      </c>
      <c r="L132" s="3"/>
      <c r="M132" s="3">
        <f t="shared" si="5"/>
        <v>0</v>
      </c>
      <c r="O132" s="5"/>
      <c r="S132" s="6"/>
    </row>
    <row r="133" spans="1:23" x14ac:dyDescent="0.45">
      <c r="A133" s="124">
        <v>401162</v>
      </c>
      <c r="B133" s="124" t="s">
        <v>16631</v>
      </c>
      <c r="C133" s="125" t="s">
        <v>16632</v>
      </c>
      <c r="D133" s="124">
        <v>5</v>
      </c>
      <c r="E133" s="124" t="s">
        <v>16417</v>
      </c>
      <c r="F133" s="126">
        <v>3.1999999999999997E-3</v>
      </c>
      <c r="G133" s="126">
        <v>0</v>
      </c>
      <c r="H133" s="126">
        <v>0</v>
      </c>
      <c r="I133" s="127">
        <v>3.5000000000000003E-2</v>
      </c>
      <c r="J133" s="127">
        <v>0.01</v>
      </c>
      <c r="K133" s="126">
        <f t="shared" si="4"/>
        <v>4.5000000000000005E-2</v>
      </c>
      <c r="L133" s="3"/>
      <c r="M133" s="126">
        <f t="shared" si="5"/>
        <v>4.8200000000000007E-2</v>
      </c>
      <c r="O133" s="125" t="s">
        <v>16501</v>
      </c>
      <c r="P133" s="128" t="s">
        <v>26918</v>
      </c>
      <c r="Q133" s="130">
        <f>1416945+54196</f>
        <v>1471141</v>
      </c>
      <c r="R133" s="124" t="s">
        <v>16348</v>
      </c>
      <c r="S133" s="130">
        <v>1022853</v>
      </c>
      <c r="T133" s="129">
        <f>S133/Q133</f>
        <v>0.69527869864275416</v>
      </c>
      <c r="U133" s="124" t="s">
        <v>19</v>
      </c>
      <c r="V133" s="125" t="s">
        <v>16633</v>
      </c>
      <c r="W133" s="124" t="s">
        <v>16354</v>
      </c>
    </row>
    <row r="134" spans="1:23" customFormat="1" x14ac:dyDescent="0.45">
      <c r="A134">
        <v>121356</v>
      </c>
      <c r="B134" t="s">
        <v>16634</v>
      </c>
      <c r="C134" t="s">
        <v>16635</v>
      </c>
      <c r="D134">
        <v>2</v>
      </c>
      <c r="F134" s="124"/>
      <c r="G134" s="3">
        <v>0</v>
      </c>
      <c r="H134" s="7">
        <v>0</v>
      </c>
      <c r="I134" s="7">
        <v>0</v>
      </c>
      <c r="J134" s="7">
        <v>0</v>
      </c>
      <c r="K134" s="3">
        <f t="shared" si="4"/>
        <v>0</v>
      </c>
      <c r="L134" s="3"/>
      <c r="M134" s="3">
        <f t="shared" si="5"/>
        <v>0</v>
      </c>
      <c r="O134" s="5"/>
      <c r="S134" s="6"/>
    </row>
    <row r="135" spans="1:23" customFormat="1" x14ac:dyDescent="0.45">
      <c r="A135">
        <v>121398</v>
      </c>
      <c r="B135" t="s">
        <v>16636</v>
      </c>
      <c r="C135" t="s">
        <v>16637</v>
      </c>
      <c r="D135">
        <v>5</v>
      </c>
      <c r="F135" s="124"/>
      <c r="G135" s="3">
        <v>0</v>
      </c>
      <c r="H135" s="7">
        <v>0</v>
      </c>
      <c r="I135" s="7">
        <v>0</v>
      </c>
      <c r="J135" s="7">
        <v>0</v>
      </c>
      <c r="K135" s="3">
        <f t="shared" si="4"/>
        <v>0</v>
      </c>
      <c r="L135" s="3"/>
      <c r="M135" s="3">
        <f t="shared" si="5"/>
        <v>0</v>
      </c>
      <c r="N135" s="7"/>
      <c r="O135" s="5"/>
      <c r="S135" s="6"/>
    </row>
    <row r="136" spans="1:23" customFormat="1" x14ac:dyDescent="0.45">
      <c r="A136">
        <v>121412</v>
      </c>
      <c r="B136" t="s">
        <v>16638</v>
      </c>
      <c r="C136" t="s">
        <v>16331</v>
      </c>
      <c r="D136">
        <v>0</v>
      </c>
      <c r="E136" t="s">
        <v>16331</v>
      </c>
      <c r="F136" s="124"/>
      <c r="G136" s="3">
        <v>0</v>
      </c>
      <c r="H136" s="7">
        <v>0</v>
      </c>
      <c r="I136" s="7">
        <v>0</v>
      </c>
      <c r="J136" s="7">
        <v>0</v>
      </c>
      <c r="K136" s="3">
        <f t="shared" si="4"/>
        <v>0</v>
      </c>
      <c r="L136" s="3"/>
      <c r="M136" s="3">
        <f t="shared" si="5"/>
        <v>0</v>
      </c>
      <c r="O136" s="5"/>
      <c r="S136" s="6"/>
    </row>
    <row r="137" spans="1:23" customFormat="1" x14ac:dyDescent="0.45">
      <c r="A137">
        <v>121418</v>
      </c>
      <c r="B137" t="s">
        <v>16639</v>
      </c>
      <c r="C137" t="s">
        <v>16640</v>
      </c>
      <c r="D137">
        <v>9</v>
      </c>
      <c r="F137" s="124"/>
      <c r="G137" s="3">
        <v>0</v>
      </c>
      <c r="H137" s="7">
        <v>0</v>
      </c>
      <c r="I137" s="7">
        <v>0</v>
      </c>
      <c r="J137" s="7">
        <v>0</v>
      </c>
      <c r="K137" s="3">
        <f t="shared" si="4"/>
        <v>0</v>
      </c>
      <c r="L137" s="3"/>
      <c r="M137" s="3">
        <f t="shared" si="5"/>
        <v>0</v>
      </c>
      <c r="O137" s="5"/>
      <c r="S137" s="6"/>
    </row>
    <row r="138" spans="1:23" customFormat="1" x14ac:dyDescent="0.45">
      <c r="A138">
        <v>121492</v>
      </c>
      <c r="B138" t="s">
        <v>16641</v>
      </c>
      <c r="C138" t="s">
        <v>16331</v>
      </c>
      <c r="D138">
        <v>1</v>
      </c>
      <c r="E138" t="s">
        <v>16331</v>
      </c>
      <c r="F138" s="124"/>
      <c r="G138" s="3">
        <v>0</v>
      </c>
      <c r="H138" s="7">
        <v>0</v>
      </c>
      <c r="I138" s="7">
        <v>0</v>
      </c>
      <c r="J138" s="7">
        <v>0</v>
      </c>
      <c r="K138" s="3">
        <f t="shared" si="4"/>
        <v>0</v>
      </c>
      <c r="L138" s="3"/>
      <c r="M138" s="3">
        <f t="shared" si="5"/>
        <v>0</v>
      </c>
      <c r="O138" s="5"/>
      <c r="S138" s="6"/>
    </row>
    <row r="139" spans="1:23" customFormat="1" x14ac:dyDescent="0.45">
      <c r="A139">
        <v>121535</v>
      </c>
      <c r="B139" t="s">
        <v>16642</v>
      </c>
      <c r="C139" t="s">
        <v>16643</v>
      </c>
      <c r="D139">
        <v>1</v>
      </c>
      <c r="F139" s="124"/>
      <c r="G139" s="3"/>
      <c r="K139" s="3">
        <f t="shared" si="4"/>
        <v>0</v>
      </c>
      <c r="L139" s="3"/>
      <c r="M139" s="3">
        <f t="shared" si="5"/>
        <v>0</v>
      </c>
      <c r="O139" s="5"/>
      <c r="S139" s="6"/>
    </row>
    <row r="140" spans="1:23" customFormat="1" x14ac:dyDescent="0.45">
      <c r="A140">
        <v>121551</v>
      </c>
      <c r="B140" t="s">
        <v>16644</v>
      </c>
      <c r="C140" t="s">
        <v>16331</v>
      </c>
      <c r="D140">
        <v>1</v>
      </c>
      <c r="E140" t="s">
        <v>16331</v>
      </c>
      <c r="F140" s="124"/>
      <c r="G140" s="3">
        <v>0</v>
      </c>
      <c r="H140" s="7">
        <v>0</v>
      </c>
      <c r="I140" s="7">
        <v>0</v>
      </c>
      <c r="J140" s="7">
        <v>0</v>
      </c>
      <c r="K140" s="3">
        <f t="shared" si="4"/>
        <v>0</v>
      </c>
      <c r="L140" s="3"/>
      <c r="M140" s="3">
        <f t="shared" si="5"/>
        <v>0</v>
      </c>
      <c r="O140" s="5"/>
      <c r="S140" s="6"/>
    </row>
    <row r="141" spans="1:23" customFormat="1" x14ac:dyDescent="0.45">
      <c r="A141">
        <v>121662</v>
      </c>
      <c r="B141" t="s">
        <v>16645</v>
      </c>
      <c r="C141" t="s">
        <v>16331</v>
      </c>
      <c r="D141">
        <v>1</v>
      </c>
      <c r="E141" t="s">
        <v>16331</v>
      </c>
      <c r="F141" s="124"/>
      <c r="G141" s="3">
        <v>0</v>
      </c>
      <c r="H141" s="3">
        <v>0</v>
      </c>
      <c r="I141" s="3">
        <v>0</v>
      </c>
      <c r="J141" s="3">
        <v>0</v>
      </c>
      <c r="K141" s="3">
        <f t="shared" si="4"/>
        <v>0</v>
      </c>
      <c r="L141" s="3"/>
      <c r="M141" s="3">
        <f t="shared" si="5"/>
        <v>0</v>
      </c>
      <c r="O141" s="5"/>
      <c r="S141" s="6"/>
    </row>
    <row r="142" spans="1:23" x14ac:dyDescent="0.45">
      <c r="A142" s="124">
        <v>456896</v>
      </c>
      <c r="B142" s="124" t="s">
        <v>16646</v>
      </c>
      <c r="C142" s="125" t="s">
        <v>16647</v>
      </c>
      <c r="D142" s="124">
        <v>22</v>
      </c>
      <c r="E142" s="124" t="s">
        <v>16417</v>
      </c>
      <c r="F142" s="126">
        <v>5.0000000000000001E-3</v>
      </c>
      <c r="G142" s="126">
        <v>0</v>
      </c>
      <c r="H142" s="126">
        <v>0</v>
      </c>
      <c r="I142" s="127">
        <v>3.5000000000000003E-2</v>
      </c>
      <c r="J142" s="127">
        <v>0.01</v>
      </c>
      <c r="K142" s="126">
        <f t="shared" si="4"/>
        <v>4.5000000000000005E-2</v>
      </c>
      <c r="L142" s="3"/>
      <c r="M142" s="126">
        <f t="shared" si="5"/>
        <v>0.05</v>
      </c>
      <c r="O142" s="125" t="s">
        <v>16501</v>
      </c>
      <c r="P142" s="125" t="s">
        <v>16502</v>
      </c>
      <c r="Q142" s="130">
        <f>7845371+2924698</f>
        <v>10770069</v>
      </c>
      <c r="R142" s="124" t="s">
        <v>16348</v>
      </c>
      <c r="S142" s="130">
        <v>6527956</v>
      </c>
      <c r="T142" s="129">
        <f>S142/Q142</f>
        <v>0.60612016506115229</v>
      </c>
      <c r="U142" s="124" t="s">
        <v>19</v>
      </c>
      <c r="V142" s="125" t="s">
        <v>16648</v>
      </c>
      <c r="W142" s="124" t="s">
        <v>16354</v>
      </c>
    </row>
    <row r="143" spans="1:23" customFormat="1" x14ac:dyDescent="0.45">
      <c r="A143">
        <v>121715</v>
      </c>
      <c r="B143" t="s">
        <v>16649</v>
      </c>
      <c r="C143" t="s">
        <v>16331</v>
      </c>
      <c r="D143">
        <v>2</v>
      </c>
      <c r="E143" t="s">
        <v>16331</v>
      </c>
      <c r="F143" s="124"/>
      <c r="G143" s="3"/>
      <c r="K143" s="3">
        <f t="shared" ref="K143:K188" si="6">SUM(G143:J143)</f>
        <v>0</v>
      </c>
      <c r="L143" s="3"/>
      <c r="M143" s="3">
        <f t="shared" ref="M143:M188" si="7">K143+F143</f>
        <v>0</v>
      </c>
      <c r="O143" s="5"/>
      <c r="S143" s="6"/>
    </row>
    <row r="144" spans="1:23" customFormat="1" x14ac:dyDescent="0.45">
      <c r="A144">
        <v>121738</v>
      </c>
      <c r="B144" t="s">
        <v>16650</v>
      </c>
      <c r="C144" t="s">
        <v>16331</v>
      </c>
      <c r="D144">
        <v>2</v>
      </c>
      <c r="E144" t="s">
        <v>16331</v>
      </c>
      <c r="F144" s="124"/>
      <c r="G144" s="3"/>
      <c r="K144" s="3">
        <f t="shared" si="6"/>
        <v>0</v>
      </c>
      <c r="L144" s="3"/>
      <c r="M144" s="3">
        <f t="shared" si="7"/>
        <v>0</v>
      </c>
      <c r="O144" s="5"/>
      <c r="S144" s="6"/>
    </row>
    <row r="145" spans="1:23" customFormat="1" x14ac:dyDescent="0.45">
      <c r="A145">
        <v>121743</v>
      </c>
      <c r="B145" t="s">
        <v>16651</v>
      </c>
      <c r="C145" t="s">
        <v>16331</v>
      </c>
      <c r="D145">
        <v>1</v>
      </c>
      <c r="E145" t="s">
        <v>16331</v>
      </c>
      <c r="F145" s="124"/>
      <c r="G145" s="3">
        <v>0</v>
      </c>
      <c r="H145" s="7">
        <v>0</v>
      </c>
      <c r="I145" s="7">
        <v>0</v>
      </c>
      <c r="J145" s="7">
        <v>0</v>
      </c>
      <c r="K145" s="3">
        <f t="shared" si="6"/>
        <v>0</v>
      </c>
      <c r="L145" s="3"/>
      <c r="M145" s="3">
        <f t="shared" si="7"/>
        <v>0</v>
      </c>
      <c r="N145" s="7"/>
      <c r="O145" s="5"/>
      <c r="S145" s="6"/>
    </row>
    <row r="146" spans="1:23" customFormat="1" x14ac:dyDescent="0.45">
      <c r="A146">
        <v>121754</v>
      </c>
      <c r="B146" t="s">
        <v>16652</v>
      </c>
      <c r="C146" t="s">
        <v>16331</v>
      </c>
      <c r="D146">
        <v>2</v>
      </c>
      <c r="E146" t="s">
        <v>16331</v>
      </c>
      <c r="F146" s="124"/>
      <c r="G146" s="3">
        <v>0</v>
      </c>
      <c r="H146" s="3">
        <v>0</v>
      </c>
      <c r="I146" s="3">
        <v>0</v>
      </c>
      <c r="J146" s="3">
        <v>0</v>
      </c>
      <c r="K146" s="3">
        <f t="shared" si="6"/>
        <v>0</v>
      </c>
      <c r="L146" s="3"/>
      <c r="M146" s="3">
        <f t="shared" si="7"/>
        <v>0</v>
      </c>
      <c r="O146" s="5"/>
      <c r="S146" s="6"/>
    </row>
    <row r="147" spans="1:23" customFormat="1" x14ac:dyDescent="0.45">
      <c r="A147">
        <v>121873</v>
      </c>
      <c r="B147" t="s">
        <v>16653</v>
      </c>
      <c r="C147" t="s">
        <v>16654</v>
      </c>
      <c r="D147">
        <v>0</v>
      </c>
      <c r="E147" t="s">
        <v>16561</v>
      </c>
      <c r="F147" s="124"/>
      <c r="G147" s="3">
        <v>0</v>
      </c>
      <c r="H147" s="7">
        <v>0</v>
      </c>
      <c r="I147" s="7">
        <v>0</v>
      </c>
      <c r="J147" s="7">
        <v>0</v>
      </c>
      <c r="K147" s="3">
        <f t="shared" si="6"/>
        <v>0</v>
      </c>
      <c r="L147" s="3"/>
      <c r="M147" s="3">
        <f t="shared" si="7"/>
        <v>0</v>
      </c>
      <c r="O147" s="5"/>
      <c r="S147" s="6"/>
    </row>
    <row r="148" spans="1:23" x14ac:dyDescent="0.45">
      <c r="A148" s="124">
        <v>478217</v>
      </c>
      <c r="B148" s="124" t="s">
        <v>16655</v>
      </c>
      <c r="C148" s="125" t="s">
        <v>16656</v>
      </c>
      <c r="D148" s="124">
        <v>14</v>
      </c>
      <c r="E148" s="124" t="s">
        <v>16417</v>
      </c>
      <c r="F148" s="126">
        <v>5.0000000000000001E-3</v>
      </c>
      <c r="G148" s="126">
        <v>0</v>
      </c>
      <c r="H148" s="126">
        <v>0</v>
      </c>
      <c r="I148" s="127">
        <v>3.5000000000000003E-2</v>
      </c>
      <c r="J148" s="127">
        <v>0.01</v>
      </c>
      <c r="K148" s="126">
        <f t="shared" si="6"/>
        <v>4.5000000000000005E-2</v>
      </c>
      <c r="L148" s="3"/>
      <c r="M148" s="126">
        <f t="shared" si="7"/>
        <v>0.05</v>
      </c>
      <c r="O148" s="125" t="s">
        <v>16501</v>
      </c>
      <c r="P148" s="125" t="s">
        <v>16502</v>
      </c>
      <c r="Q148" s="130">
        <f>6503772+2933883</f>
        <v>9437655</v>
      </c>
      <c r="R148" s="124" t="s">
        <v>16348</v>
      </c>
      <c r="S148" s="130">
        <v>6324075</v>
      </c>
      <c r="T148" s="129">
        <f>S148/Q148</f>
        <v>0.67008965680563659</v>
      </c>
      <c r="U148" s="124" t="s">
        <v>19</v>
      </c>
      <c r="V148" s="125" t="s">
        <v>16657</v>
      </c>
      <c r="W148" s="124" t="s">
        <v>16354</v>
      </c>
    </row>
    <row r="149" spans="1:23" customFormat="1" x14ac:dyDescent="0.45">
      <c r="A149" s="22">
        <v>121882</v>
      </c>
      <c r="B149" t="s">
        <v>16658</v>
      </c>
      <c r="C149" t="s">
        <v>16659</v>
      </c>
      <c r="D149">
        <v>1</v>
      </c>
      <c r="E149" t="s">
        <v>16561</v>
      </c>
      <c r="F149" s="124"/>
      <c r="G149" s="3">
        <v>0</v>
      </c>
      <c r="H149" s="7">
        <v>0</v>
      </c>
      <c r="I149" s="7">
        <v>0</v>
      </c>
      <c r="J149" s="7">
        <v>0</v>
      </c>
      <c r="K149" s="3">
        <f t="shared" si="6"/>
        <v>0</v>
      </c>
      <c r="L149" s="3"/>
      <c r="M149" s="3">
        <f t="shared" si="7"/>
        <v>0</v>
      </c>
      <c r="N149" s="7"/>
      <c r="O149" s="5"/>
      <c r="S149" s="6"/>
    </row>
    <row r="150" spans="1:23" customFormat="1" x14ac:dyDescent="0.45">
      <c r="A150">
        <v>121885</v>
      </c>
      <c r="B150" t="s">
        <v>16660</v>
      </c>
      <c r="C150" t="s">
        <v>16661</v>
      </c>
      <c r="D150">
        <v>0</v>
      </c>
      <c r="E150" t="s">
        <v>16561</v>
      </c>
      <c r="F150" s="124"/>
      <c r="G150" s="3">
        <v>0</v>
      </c>
      <c r="H150" s="7">
        <v>0</v>
      </c>
      <c r="I150" s="7">
        <v>0</v>
      </c>
      <c r="J150" s="7">
        <v>0</v>
      </c>
      <c r="K150" s="3">
        <f t="shared" si="6"/>
        <v>0</v>
      </c>
      <c r="L150" s="3"/>
      <c r="M150" s="3">
        <f t="shared" si="7"/>
        <v>0</v>
      </c>
      <c r="O150" s="5"/>
      <c r="S150" s="6"/>
    </row>
    <row r="151" spans="1:23" customFormat="1" x14ac:dyDescent="0.45">
      <c r="A151">
        <v>121926</v>
      </c>
      <c r="B151" t="s">
        <v>16662</v>
      </c>
      <c r="C151" t="s">
        <v>16663</v>
      </c>
      <c r="D151">
        <v>0</v>
      </c>
      <c r="E151" t="s">
        <v>16417</v>
      </c>
      <c r="F151" s="124"/>
      <c r="G151" s="3">
        <v>0</v>
      </c>
      <c r="H151" s="7">
        <v>0</v>
      </c>
      <c r="I151" s="7">
        <v>0</v>
      </c>
      <c r="J151" s="7">
        <v>0</v>
      </c>
      <c r="K151" s="3">
        <f t="shared" si="6"/>
        <v>0</v>
      </c>
      <c r="L151" s="3"/>
      <c r="M151" s="3">
        <f t="shared" si="7"/>
        <v>0</v>
      </c>
      <c r="O151" s="5"/>
      <c r="S151" s="6"/>
    </row>
    <row r="152" spans="1:23" customFormat="1" x14ac:dyDescent="0.45">
      <c r="A152">
        <v>121935</v>
      </c>
      <c r="B152" t="s">
        <v>16664</v>
      </c>
      <c r="C152" t="s">
        <v>16665</v>
      </c>
      <c r="D152">
        <v>30</v>
      </c>
      <c r="E152" t="s">
        <v>16417</v>
      </c>
      <c r="F152" s="124"/>
      <c r="G152" s="3">
        <v>0</v>
      </c>
      <c r="H152" s="7">
        <v>0</v>
      </c>
      <c r="I152" s="7">
        <v>0</v>
      </c>
      <c r="J152" s="7">
        <v>0</v>
      </c>
      <c r="K152" s="3">
        <f t="shared" si="6"/>
        <v>0</v>
      </c>
      <c r="L152" s="3"/>
      <c r="M152" s="3">
        <f t="shared" si="7"/>
        <v>0</v>
      </c>
      <c r="N152" s="7"/>
      <c r="O152" s="5"/>
      <c r="S152" s="6"/>
    </row>
    <row r="153" spans="1:23" x14ac:dyDescent="0.45">
      <c r="A153" s="124">
        <v>486512</v>
      </c>
      <c r="B153" s="124" t="s">
        <v>16666</v>
      </c>
      <c r="C153" s="125" t="s">
        <v>16667</v>
      </c>
      <c r="D153" s="124">
        <v>26</v>
      </c>
      <c r="E153" s="124" t="s">
        <v>16417</v>
      </c>
      <c r="F153" s="126">
        <v>5.0000000000000001E-3</v>
      </c>
      <c r="G153" s="126">
        <v>0</v>
      </c>
      <c r="H153" s="126">
        <v>0</v>
      </c>
      <c r="I153" s="127">
        <v>3.5000000000000003E-2</v>
      </c>
      <c r="J153" s="127">
        <v>0.01</v>
      </c>
      <c r="K153" s="126">
        <f t="shared" si="6"/>
        <v>4.5000000000000005E-2</v>
      </c>
      <c r="L153" s="3"/>
      <c r="M153" s="126">
        <f t="shared" si="7"/>
        <v>0.05</v>
      </c>
      <c r="O153" s="125" t="s">
        <v>16501</v>
      </c>
      <c r="P153" s="125" t="s">
        <v>16502</v>
      </c>
      <c r="Q153" s="130">
        <f>3486232+920766</f>
        <v>4406998</v>
      </c>
      <c r="R153" s="124" t="s">
        <v>16348</v>
      </c>
      <c r="S153" s="130">
        <v>3119891</v>
      </c>
      <c r="T153" s="129">
        <f>S153/Q153</f>
        <v>0.70794018967106409</v>
      </c>
      <c r="U153" s="124" t="s">
        <v>19</v>
      </c>
      <c r="V153" s="125" t="s">
        <v>16668</v>
      </c>
      <c r="W153" s="124" t="s">
        <v>16354</v>
      </c>
    </row>
    <row r="154" spans="1:23" customFormat="1" x14ac:dyDescent="0.45">
      <c r="A154">
        <v>122229</v>
      </c>
      <c r="B154" t="s">
        <v>16669</v>
      </c>
      <c r="C154" t="s">
        <v>16331</v>
      </c>
      <c r="D154">
        <v>0</v>
      </c>
      <c r="E154" t="s">
        <v>16331</v>
      </c>
      <c r="F154" s="124"/>
      <c r="G154" s="3">
        <v>0</v>
      </c>
      <c r="H154" s="7">
        <v>0</v>
      </c>
      <c r="I154" s="7">
        <v>0</v>
      </c>
      <c r="J154" s="7">
        <v>0</v>
      </c>
      <c r="K154" s="3">
        <f t="shared" si="6"/>
        <v>0</v>
      </c>
      <c r="L154" s="3"/>
      <c r="M154" s="3">
        <f t="shared" si="7"/>
        <v>0</v>
      </c>
      <c r="N154" s="7"/>
      <c r="O154" s="5"/>
      <c r="S154" s="6"/>
    </row>
    <row r="155" spans="1:23" customFormat="1" x14ac:dyDescent="0.45">
      <c r="A155">
        <v>122261</v>
      </c>
      <c r="B155" t="s">
        <v>16670</v>
      </c>
      <c r="C155" s="2" t="s">
        <v>16671</v>
      </c>
      <c r="D155">
        <v>0</v>
      </c>
      <c r="E155" t="s">
        <v>16561</v>
      </c>
      <c r="F155" s="125"/>
      <c r="G155" s="3">
        <v>0</v>
      </c>
      <c r="H155" s="3">
        <v>0</v>
      </c>
      <c r="I155" s="3">
        <v>0</v>
      </c>
      <c r="J155" s="3">
        <v>0</v>
      </c>
      <c r="K155" s="3">
        <f t="shared" si="6"/>
        <v>0</v>
      </c>
      <c r="L155" s="3"/>
      <c r="M155" s="3">
        <f t="shared" si="7"/>
        <v>0</v>
      </c>
      <c r="O155" s="5"/>
      <c r="S155" s="6"/>
    </row>
    <row r="156" spans="1:23" x14ac:dyDescent="0.45">
      <c r="A156" s="124">
        <v>526134</v>
      </c>
      <c r="B156" s="124" t="s">
        <v>16672</v>
      </c>
      <c r="C156" s="124" t="s">
        <v>16673</v>
      </c>
      <c r="D156" s="124">
        <v>16</v>
      </c>
      <c r="E156" s="124" t="s">
        <v>16417</v>
      </c>
      <c r="F156" s="126">
        <v>5.0000000000000001E-3</v>
      </c>
      <c r="G156" s="126">
        <v>0</v>
      </c>
      <c r="H156" s="126">
        <v>0</v>
      </c>
      <c r="I156" s="127">
        <v>3.5000000000000003E-2</v>
      </c>
      <c r="J156" s="127">
        <v>0.01</v>
      </c>
      <c r="K156" s="126">
        <f t="shared" si="6"/>
        <v>4.5000000000000005E-2</v>
      </c>
      <c r="L156" s="3"/>
      <c r="M156" s="126">
        <f t="shared" si="7"/>
        <v>0.05</v>
      </c>
      <c r="O156" s="125" t="s">
        <v>16501</v>
      </c>
      <c r="Q156" s="130">
        <f>4061179+1644170</f>
        <v>5705349</v>
      </c>
      <c r="R156" s="124" t="s">
        <v>16348</v>
      </c>
      <c r="S156" s="130">
        <v>3268024</v>
      </c>
      <c r="T156" s="129">
        <f>S156/Q156</f>
        <v>0.57280001626543797</v>
      </c>
      <c r="U156" s="124" t="s">
        <v>19</v>
      </c>
      <c r="V156" s="125" t="s">
        <v>16674</v>
      </c>
      <c r="W156" s="124" t="s">
        <v>16354</v>
      </c>
    </row>
    <row r="157" spans="1:23" customFormat="1" x14ac:dyDescent="0.45">
      <c r="A157">
        <v>122330</v>
      </c>
      <c r="B157" t="s">
        <v>16675</v>
      </c>
      <c r="C157" t="s">
        <v>16676</v>
      </c>
      <c r="D157">
        <v>3</v>
      </c>
      <c r="F157" s="124"/>
      <c r="G157" s="3">
        <v>0</v>
      </c>
      <c r="H157" s="7">
        <v>0</v>
      </c>
      <c r="I157" s="7">
        <v>0</v>
      </c>
      <c r="J157" s="7">
        <v>0</v>
      </c>
      <c r="K157" s="3">
        <f t="shared" si="6"/>
        <v>0</v>
      </c>
      <c r="L157" s="3"/>
      <c r="M157" s="3">
        <f t="shared" si="7"/>
        <v>0</v>
      </c>
      <c r="N157" s="7"/>
      <c r="O157" s="5"/>
      <c r="S157" s="6"/>
    </row>
    <row r="158" spans="1:23" customFormat="1" x14ac:dyDescent="0.45">
      <c r="A158">
        <v>122335</v>
      </c>
      <c r="B158" t="s">
        <v>16677</v>
      </c>
      <c r="C158" t="s">
        <v>16678</v>
      </c>
      <c r="D158">
        <v>0</v>
      </c>
      <c r="E158" t="s">
        <v>16561</v>
      </c>
      <c r="F158" s="124"/>
      <c r="G158" s="3">
        <v>0</v>
      </c>
      <c r="H158" s="7">
        <v>0</v>
      </c>
      <c r="I158" s="7">
        <v>0</v>
      </c>
      <c r="J158" s="7">
        <v>0</v>
      </c>
      <c r="K158" s="3">
        <f t="shared" si="6"/>
        <v>0</v>
      </c>
      <c r="L158" s="3"/>
      <c r="M158" s="3">
        <f t="shared" si="7"/>
        <v>0</v>
      </c>
      <c r="N158" s="7"/>
      <c r="O158" s="5"/>
      <c r="S158" s="6"/>
    </row>
    <row r="159" spans="1:23" customFormat="1" x14ac:dyDescent="0.45">
      <c r="A159">
        <v>122336</v>
      </c>
      <c r="B159" t="s">
        <v>16679</v>
      </c>
      <c r="C159" t="s">
        <v>16331</v>
      </c>
      <c r="D159">
        <v>0</v>
      </c>
      <c r="E159" t="s">
        <v>16331</v>
      </c>
      <c r="F159" s="124"/>
      <c r="G159" s="3">
        <v>0</v>
      </c>
      <c r="H159" s="7">
        <v>0</v>
      </c>
      <c r="I159" s="7">
        <v>0</v>
      </c>
      <c r="J159" s="7">
        <v>0</v>
      </c>
      <c r="K159" s="3">
        <f t="shared" si="6"/>
        <v>0</v>
      </c>
      <c r="L159" s="3"/>
      <c r="M159" s="3">
        <f t="shared" si="7"/>
        <v>0</v>
      </c>
      <c r="O159" s="5"/>
      <c r="S159" s="6"/>
    </row>
    <row r="160" spans="1:23" customFormat="1" x14ac:dyDescent="0.45">
      <c r="A160">
        <v>122428</v>
      </c>
      <c r="B160" t="s">
        <v>16680</v>
      </c>
      <c r="C160" t="s">
        <v>16681</v>
      </c>
      <c r="D160">
        <v>7</v>
      </c>
      <c r="F160" s="124"/>
      <c r="G160" s="3">
        <v>0</v>
      </c>
      <c r="H160" s="7">
        <v>0</v>
      </c>
      <c r="I160" s="7">
        <v>0</v>
      </c>
      <c r="J160" s="7">
        <v>0</v>
      </c>
      <c r="K160" s="3">
        <f t="shared" si="6"/>
        <v>0</v>
      </c>
      <c r="L160" s="3"/>
      <c r="M160" s="3">
        <f t="shared" si="7"/>
        <v>0</v>
      </c>
      <c r="N160" s="7"/>
      <c r="O160" s="5"/>
      <c r="S160" s="6"/>
    </row>
    <row r="161" spans="1:23" customFormat="1" x14ac:dyDescent="0.45">
      <c r="A161">
        <v>122451</v>
      </c>
      <c r="B161" t="s">
        <v>16682</v>
      </c>
      <c r="C161" t="s">
        <v>16683</v>
      </c>
      <c r="D161">
        <v>0</v>
      </c>
      <c r="E161" t="s">
        <v>16561</v>
      </c>
      <c r="F161" s="124"/>
      <c r="G161" s="3">
        <v>0</v>
      </c>
      <c r="H161" s="7">
        <v>0</v>
      </c>
      <c r="I161" s="7">
        <v>0</v>
      </c>
      <c r="J161" s="7">
        <v>0</v>
      </c>
      <c r="K161" s="3">
        <f t="shared" si="6"/>
        <v>0</v>
      </c>
      <c r="L161" s="3"/>
      <c r="M161" s="3">
        <f t="shared" si="7"/>
        <v>0</v>
      </c>
      <c r="O161" s="5"/>
      <c r="S161" s="6"/>
    </row>
    <row r="162" spans="1:23" customFormat="1" x14ac:dyDescent="0.45">
      <c r="A162">
        <v>122467</v>
      </c>
      <c r="B162" t="s">
        <v>16684</v>
      </c>
      <c r="C162" t="s">
        <v>16685</v>
      </c>
      <c r="D162">
        <v>0</v>
      </c>
      <c r="E162" t="s">
        <v>16561</v>
      </c>
      <c r="F162" s="124"/>
      <c r="G162" s="3">
        <v>0</v>
      </c>
      <c r="H162" s="7">
        <v>0</v>
      </c>
      <c r="I162" s="7">
        <v>0</v>
      </c>
      <c r="J162" s="7">
        <v>0</v>
      </c>
      <c r="K162" s="3">
        <f t="shared" si="6"/>
        <v>0</v>
      </c>
      <c r="L162" s="3"/>
      <c r="M162" s="3">
        <f t="shared" si="7"/>
        <v>0</v>
      </c>
      <c r="N162" s="7"/>
      <c r="O162" s="5"/>
      <c r="S162" s="6"/>
    </row>
    <row r="163" spans="1:23" customFormat="1" x14ac:dyDescent="0.45">
      <c r="A163">
        <v>122483</v>
      </c>
      <c r="B163" t="s">
        <v>16686</v>
      </c>
      <c r="C163" t="s">
        <v>16687</v>
      </c>
      <c r="D163">
        <v>14</v>
      </c>
      <c r="E163" t="s">
        <v>16417</v>
      </c>
      <c r="F163" s="124"/>
      <c r="G163" s="3">
        <v>0</v>
      </c>
      <c r="H163" s="7">
        <v>0</v>
      </c>
      <c r="I163" s="7">
        <v>0</v>
      </c>
      <c r="J163" s="7">
        <v>0</v>
      </c>
      <c r="K163" s="3">
        <f t="shared" si="6"/>
        <v>0</v>
      </c>
      <c r="L163" s="3"/>
      <c r="M163" s="3">
        <f t="shared" si="7"/>
        <v>0</v>
      </c>
      <c r="N163" s="7"/>
      <c r="O163" s="5"/>
      <c r="S163" s="6"/>
    </row>
    <row r="164" spans="1:23" customFormat="1" x14ac:dyDescent="0.45">
      <c r="A164">
        <v>122499</v>
      </c>
      <c r="B164" t="s">
        <v>16688</v>
      </c>
      <c r="C164" t="s">
        <v>16689</v>
      </c>
      <c r="D164">
        <v>16</v>
      </c>
      <c r="E164" t="s">
        <v>16417</v>
      </c>
      <c r="F164" s="124"/>
      <c r="G164" s="3">
        <v>0</v>
      </c>
      <c r="H164" s="7">
        <v>0</v>
      </c>
      <c r="I164" s="7">
        <v>0</v>
      </c>
      <c r="J164" s="7">
        <v>0</v>
      </c>
      <c r="K164" s="3">
        <f t="shared" si="6"/>
        <v>0</v>
      </c>
      <c r="L164" s="3"/>
      <c r="M164" s="3">
        <f t="shared" si="7"/>
        <v>0</v>
      </c>
      <c r="O164" s="5"/>
      <c r="S164" s="6"/>
    </row>
    <row r="165" spans="1:23" customFormat="1" x14ac:dyDescent="0.45">
      <c r="A165">
        <v>122528</v>
      </c>
      <c r="B165" t="s">
        <v>16690</v>
      </c>
      <c r="C165" t="s">
        <v>16331</v>
      </c>
      <c r="D165">
        <v>1</v>
      </c>
      <c r="E165" t="s">
        <v>16331</v>
      </c>
      <c r="F165" s="124"/>
      <c r="G165" s="3">
        <v>0</v>
      </c>
      <c r="H165" s="7">
        <v>0</v>
      </c>
      <c r="I165" s="7">
        <v>0</v>
      </c>
      <c r="J165" s="7">
        <v>0</v>
      </c>
      <c r="K165" s="3">
        <f t="shared" si="6"/>
        <v>0</v>
      </c>
      <c r="L165" s="3"/>
      <c r="M165" s="3">
        <f t="shared" si="7"/>
        <v>0</v>
      </c>
      <c r="N165" s="7"/>
      <c r="O165" s="5"/>
      <c r="S165" s="6"/>
    </row>
    <row r="166" spans="1:23" customFormat="1" x14ac:dyDescent="0.45">
      <c r="A166">
        <v>122588</v>
      </c>
      <c r="B166" t="s">
        <v>16691</v>
      </c>
      <c r="C166" t="s">
        <v>16692</v>
      </c>
      <c r="D166">
        <v>15</v>
      </c>
      <c r="E166" t="s">
        <v>16417</v>
      </c>
      <c r="F166" s="124"/>
      <c r="G166" s="3">
        <v>0</v>
      </c>
      <c r="H166" s="23">
        <v>0</v>
      </c>
      <c r="I166" s="23">
        <v>0</v>
      </c>
      <c r="J166" s="23">
        <v>0</v>
      </c>
      <c r="K166" s="3">
        <f t="shared" si="6"/>
        <v>0</v>
      </c>
      <c r="L166" s="3"/>
      <c r="M166" s="3">
        <f t="shared" si="7"/>
        <v>0</v>
      </c>
      <c r="N166" s="7"/>
      <c r="O166" s="5"/>
      <c r="S166" s="6"/>
    </row>
    <row r="167" spans="1:23" x14ac:dyDescent="0.45">
      <c r="A167" s="124">
        <v>509960</v>
      </c>
      <c r="B167" s="124" t="s">
        <v>16693</v>
      </c>
      <c r="C167" s="125" t="s">
        <v>16542</v>
      </c>
      <c r="D167" s="124">
        <v>4</v>
      </c>
      <c r="E167" s="124" t="s">
        <v>16417</v>
      </c>
      <c r="F167" s="126">
        <v>3.1999999999999997E-3</v>
      </c>
      <c r="G167" s="126">
        <v>0</v>
      </c>
      <c r="H167" s="126">
        <v>0</v>
      </c>
      <c r="I167" s="127">
        <v>3.5000000000000003E-2</v>
      </c>
      <c r="J167" s="127">
        <v>0.01</v>
      </c>
      <c r="K167" s="126">
        <f t="shared" si="6"/>
        <v>4.5000000000000005E-2</v>
      </c>
      <c r="L167" s="3"/>
      <c r="M167" s="126">
        <f t="shared" si="7"/>
        <v>4.8200000000000007E-2</v>
      </c>
      <c r="O167" s="125" t="s">
        <v>16501</v>
      </c>
      <c r="P167" s="128" t="s">
        <v>26918</v>
      </c>
      <c r="Q167" s="130">
        <v>1581293</v>
      </c>
      <c r="R167" s="124" t="s">
        <v>16348</v>
      </c>
      <c r="S167" s="130">
        <v>1287353</v>
      </c>
      <c r="T167" s="129">
        <f>S167/Q167</f>
        <v>0.81411414582876163</v>
      </c>
      <c r="U167" s="124" t="s">
        <v>19</v>
      </c>
      <c r="V167" s="125" t="s">
        <v>16543</v>
      </c>
      <c r="W167" s="124" t="s">
        <v>16354</v>
      </c>
    </row>
    <row r="168" spans="1:23" customFormat="1" x14ac:dyDescent="0.45">
      <c r="A168">
        <v>123475</v>
      </c>
      <c r="B168" t="s">
        <v>16694</v>
      </c>
      <c r="C168" t="s">
        <v>16695</v>
      </c>
      <c r="D168">
        <v>1</v>
      </c>
      <c r="F168" s="124"/>
      <c r="G168" s="3">
        <v>0</v>
      </c>
      <c r="H168" s="7">
        <v>0</v>
      </c>
      <c r="I168" s="7">
        <v>0</v>
      </c>
      <c r="J168" s="7">
        <v>0</v>
      </c>
      <c r="K168" s="3">
        <f t="shared" si="6"/>
        <v>0</v>
      </c>
      <c r="L168" s="3"/>
      <c r="M168" s="3">
        <f t="shared" si="7"/>
        <v>0</v>
      </c>
      <c r="O168" s="5"/>
      <c r="S168" s="6"/>
    </row>
    <row r="169" spans="1:23" customFormat="1" x14ac:dyDescent="0.45">
      <c r="A169">
        <v>123714</v>
      </c>
      <c r="B169" t="s">
        <v>16696</v>
      </c>
      <c r="C169" s="2" t="s">
        <v>16697</v>
      </c>
      <c r="D169">
        <v>0</v>
      </c>
      <c r="E169" t="s">
        <v>16561</v>
      </c>
      <c r="F169" s="125"/>
      <c r="G169" s="3"/>
      <c r="K169" s="3">
        <f t="shared" si="6"/>
        <v>0</v>
      </c>
      <c r="L169" s="3"/>
      <c r="M169" s="3">
        <f t="shared" si="7"/>
        <v>0</v>
      </c>
      <c r="O169" s="5"/>
      <c r="S169" s="6"/>
    </row>
    <row r="170" spans="1:23" x14ac:dyDescent="0.45">
      <c r="A170" s="124">
        <v>611272</v>
      </c>
      <c r="B170" s="124" t="s">
        <v>16698</v>
      </c>
      <c r="C170" s="125" t="s">
        <v>16699</v>
      </c>
      <c r="D170" s="124">
        <v>8</v>
      </c>
      <c r="E170" s="124" t="s">
        <v>16417</v>
      </c>
      <c r="F170" s="126">
        <v>5.0000000000000001E-3</v>
      </c>
      <c r="G170" s="126">
        <v>0</v>
      </c>
      <c r="H170" s="126">
        <v>0</v>
      </c>
      <c r="I170" s="127">
        <v>3.5000000000000003E-2</v>
      </c>
      <c r="J170" s="127">
        <v>0.01</v>
      </c>
      <c r="K170" s="126">
        <f t="shared" si="6"/>
        <v>4.5000000000000005E-2</v>
      </c>
      <c r="L170" s="3"/>
      <c r="M170" s="126">
        <f t="shared" si="7"/>
        <v>0.05</v>
      </c>
      <c r="O170" s="125" t="s">
        <v>16501</v>
      </c>
      <c r="Q170" s="130">
        <f>1682934+5729063</f>
        <v>7411997</v>
      </c>
      <c r="R170" s="124" t="s">
        <v>16348</v>
      </c>
      <c r="S170" s="130">
        <v>1553844</v>
      </c>
      <c r="T170" s="129">
        <f>S170/Q170</f>
        <v>0.20963904869362468</v>
      </c>
      <c r="U170" s="124" t="s">
        <v>19</v>
      </c>
      <c r="V170" s="125" t="s">
        <v>16700</v>
      </c>
      <c r="W170" s="124" t="s">
        <v>16354</v>
      </c>
    </row>
    <row r="171" spans="1:23" customFormat="1" x14ac:dyDescent="0.45">
      <c r="A171">
        <v>124259</v>
      </c>
      <c r="B171" t="s">
        <v>16701</v>
      </c>
      <c r="C171" t="s">
        <v>16702</v>
      </c>
      <c r="D171">
        <v>174</v>
      </c>
      <c r="E171" t="s">
        <v>16593</v>
      </c>
      <c r="F171" s="124"/>
      <c r="G171" s="3">
        <v>0</v>
      </c>
      <c r="H171" s="3">
        <v>0</v>
      </c>
      <c r="I171" s="3">
        <v>0</v>
      </c>
      <c r="J171" s="3">
        <v>0</v>
      </c>
      <c r="K171" s="3">
        <f t="shared" si="6"/>
        <v>0</v>
      </c>
      <c r="L171" s="3"/>
      <c r="M171" s="3">
        <f t="shared" si="7"/>
        <v>0</v>
      </c>
      <c r="O171" s="5" t="s">
        <v>16703</v>
      </c>
      <c r="P171" s="24" t="s">
        <v>16704</v>
      </c>
      <c r="S171" s="6"/>
    </row>
    <row r="172" spans="1:23" customFormat="1" x14ac:dyDescent="0.45">
      <c r="A172">
        <v>124269</v>
      </c>
      <c r="B172" t="s">
        <v>16705</v>
      </c>
      <c r="C172" t="s">
        <v>16706</v>
      </c>
      <c r="D172">
        <v>50</v>
      </c>
      <c r="E172" t="s">
        <v>16417</v>
      </c>
      <c r="F172" s="124"/>
      <c r="G172" s="3">
        <v>0</v>
      </c>
      <c r="H172" s="7">
        <v>0</v>
      </c>
      <c r="I172" s="7">
        <v>0</v>
      </c>
      <c r="J172" s="7">
        <v>0</v>
      </c>
      <c r="K172" s="3">
        <f t="shared" si="6"/>
        <v>0</v>
      </c>
      <c r="L172" s="3"/>
      <c r="M172" s="3">
        <f t="shared" si="7"/>
        <v>0</v>
      </c>
      <c r="N172" s="7"/>
      <c r="O172" s="5"/>
      <c r="S172" s="6"/>
    </row>
    <row r="173" spans="1:23" customFormat="1" x14ac:dyDescent="0.45">
      <c r="A173">
        <v>124279</v>
      </c>
      <c r="B173" t="s">
        <v>16707</v>
      </c>
      <c r="C173" t="s">
        <v>16708</v>
      </c>
      <c r="D173">
        <v>17</v>
      </c>
      <c r="E173" t="s">
        <v>16417</v>
      </c>
      <c r="F173" s="124"/>
      <c r="G173" s="3">
        <v>0</v>
      </c>
      <c r="H173" s="7">
        <v>0</v>
      </c>
      <c r="I173" s="7">
        <v>0</v>
      </c>
      <c r="J173" s="7">
        <v>0</v>
      </c>
      <c r="K173" s="3">
        <f t="shared" si="6"/>
        <v>0</v>
      </c>
      <c r="L173" s="3"/>
      <c r="M173" s="3">
        <f t="shared" si="7"/>
        <v>0</v>
      </c>
      <c r="N173" s="7"/>
      <c r="O173" s="5"/>
      <c r="S173" s="6"/>
    </row>
    <row r="174" spans="1:23" customFormat="1" x14ac:dyDescent="0.45">
      <c r="A174">
        <v>124394</v>
      </c>
      <c r="B174" t="s">
        <v>16709</v>
      </c>
      <c r="C174" t="s">
        <v>16710</v>
      </c>
      <c r="D174">
        <v>5</v>
      </c>
      <c r="F174" s="124"/>
      <c r="G174" s="3">
        <v>0</v>
      </c>
      <c r="H174" s="7">
        <v>0</v>
      </c>
      <c r="I174" s="7">
        <v>0</v>
      </c>
      <c r="J174" s="7">
        <v>0</v>
      </c>
      <c r="K174" s="3">
        <f t="shared" si="6"/>
        <v>0</v>
      </c>
      <c r="L174" s="3"/>
      <c r="M174" s="3">
        <f t="shared" si="7"/>
        <v>0</v>
      </c>
      <c r="N174" s="7"/>
      <c r="O174" s="5"/>
      <c r="S174" s="6"/>
    </row>
    <row r="175" spans="1:23" x14ac:dyDescent="0.45">
      <c r="A175" s="124">
        <v>528330</v>
      </c>
      <c r="B175" s="124" t="s">
        <v>16711</v>
      </c>
      <c r="C175" s="125" t="s">
        <v>16542</v>
      </c>
      <c r="D175" s="124">
        <v>3</v>
      </c>
      <c r="E175" s="124" t="s">
        <v>16417</v>
      </c>
      <c r="F175" s="126">
        <v>3.1999999999999997E-3</v>
      </c>
      <c r="G175" s="126">
        <v>0</v>
      </c>
      <c r="H175" s="126">
        <v>0</v>
      </c>
      <c r="I175" s="127">
        <v>3.5000000000000003E-2</v>
      </c>
      <c r="J175" s="127">
        <v>0.01</v>
      </c>
      <c r="K175" s="126">
        <f t="shared" si="6"/>
        <v>4.5000000000000005E-2</v>
      </c>
      <c r="L175" s="3"/>
      <c r="M175" s="126">
        <f t="shared" si="7"/>
        <v>4.8200000000000007E-2</v>
      </c>
      <c r="O175" s="125" t="s">
        <v>16501</v>
      </c>
      <c r="P175" s="128" t="s">
        <v>26918</v>
      </c>
      <c r="Q175" s="130">
        <v>1581293</v>
      </c>
      <c r="R175" s="124" t="s">
        <v>16348</v>
      </c>
      <c r="S175" s="130">
        <v>1287353</v>
      </c>
      <c r="T175" s="129">
        <f>S175/Q175</f>
        <v>0.81411414582876163</v>
      </c>
      <c r="U175" s="124" t="s">
        <v>19</v>
      </c>
      <c r="V175" s="125" t="s">
        <v>16543</v>
      </c>
      <c r="W175" s="124" t="s">
        <v>16354</v>
      </c>
    </row>
    <row r="176" spans="1:23" x14ac:dyDescent="0.45">
      <c r="A176" s="124">
        <v>707896</v>
      </c>
      <c r="B176" s="124" t="s">
        <v>16712</v>
      </c>
      <c r="C176" s="125" t="s">
        <v>16542</v>
      </c>
      <c r="D176" s="124">
        <v>16</v>
      </c>
      <c r="E176" s="124" t="s">
        <v>16417</v>
      </c>
      <c r="F176" s="126">
        <v>5.0000000000000001E-3</v>
      </c>
      <c r="G176" s="126">
        <v>0</v>
      </c>
      <c r="H176" s="126">
        <v>0</v>
      </c>
      <c r="I176" s="127">
        <v>3.5000000000000003E-2</v>
      </c>
      <c r="J176" s="127">
        <v>0.01</v>
      </c>
      <c r="K176" s="126">
        <f t="shared" si="6"/>
        <v>4.5000000000000005E-2</v>
      </c>
      <c r="L176" s="3"/>
      <c r="M176" s="126">
        <f t="shared" si="7"/>
        <v>0.05</v>
      </c>
      <c r="O176" s="125" t="s">
        <v>16501</v>
      </c>
      <c r="Q176" s="130">
        <f>1492517+1262004</f>
        <v>2754521</v>
      </c>
      <c r="R176" s="124" t="s">
        <v>16348</v>
      </c>
      <c r="S176" s="130">
        <v>1373567</v>
      </c>
      <c r="T176" s="129">
        <f>S176/Q176</f>
        <v>0.49865911350830144</v>
      </c>
      <c r="U176" s="124" t="s">
        <v>19</v>
      </c>
      <c r="V176" s="125" t="s">
        <v>16713</v>
      </c>
      <c r="W176" s="124" t="s">
        <v>16354</v>
      </c>
    </row>
    <row r="177" spans="1:23" customFormat="1" x14ac:dyDescent="0.45">
      <c r="A177">
        <v>124451</v>
      </c>
      <c r="B177" t="s">
        <v>16714</v>
      </c>
      <c r="C177" t="s">
        <v>16715</v>
      </c>
      <c r="D177">
        <v>0</v>
      </c>
      <c r="E177" t="s">
        <v>16334</v>
      </c>
      <c r="F177" s="124"/>
      <c r="G177" s="3">
        <v>0</v>
      </c>
      <c r="H177" s="7">
        <v>0</v>
      </c>
      <c r="I177" s="7">
        <v>0</v>
      </c>
      <c r="J177" s="7">
        <v>0</v>
      </c>
      <c r="K177" s="3">
        <f t="shared" si="6"/>
        <v>0</v>
      </c>
      <c r="L177" s="3"/>
      <c r="M177" s="3">
        <f t="shared" si="7"/>
        <v>0</v>
      </c>
      <c r="N177" s="7"/>
      <c r="O177" s="5"/>
      <c r="S177" s="6"/>
    </row>
    <row r="178" spans="1:23" x14ac:dyDescent="0.45">
      <c r="A178" s="124">
        <v>789217</v>
      </c>
      <c r="B178" s="124" t="s">
        <v>16716</v>
      </c>
      <c r="C178" s="125" t="s">
        <v>16717</v>
      </c>
      <c r="D178" s="124">
        <v>8</v>
      </c>
      <c r="E178" s="124" t="s">
        <v>16417</v>
      </c>
      <c r="F178" s="126">
        <v>5.0000000000000001E-3</v>
      </c>
      <c r="G178" s="135">
        <v>0</v>
      </c>
      <c r="H178" s="135">
        <v>0</v>
      </c>
      <c r="I178" s="127">
        <v>3.5000000000000003E-2</v>
      </c>
      <c r="J178" s="127">
        <v>0.01</v>
      </c>
      <c r="K178" s="126">
        <f t="shared" si="6"/>
        <v>4.5000000000000005E-2</v>
      </c>
      <c r="L178" s="3"/>
      <c r="M178" s="126">
        <f t="shared" si="7"/>
        <v>0.05</v>
      </c>
      <c r="O178" s="125" t="s">
        <v>16501</v>
      </c>
      <c r="Q178" s="130">
        <f>1405662+322065</f>
        <v>1727727</v>
      </c>
      <c r="R178" s="124" t="s">
        <v>16348</v>
      </c>
      <c r="S178" s="130">
        <v>1262678</v>
      </c>
      <c r="T178" s="129">
        <f>S178/Q178</f>
        <v>0.73083189647438518</v>
      </c>
      <c r="U178" s="124" t="s">
        <v>19</v>
      </c>
      <c r="V178" s="125" t="s">
        <v>16718</v>
      </c>
      <c r="W178" s="124" t="s">
        <v>16354</v>
      </c>
    </row>
    <row r="179" spans="1:23" customFormat="1" x14ac:dyDescent="0.45">
      <c r="A179">
        <v>124543</v>
      </c>
      <c r="B179" t="s">
        <v>16719</v>
      </c>
      <c r="C179" t="s">
        <v>16720</v>
      </c>
      <c r="D179">
        <v>9</v>
      </c>
      <c r="F179" s="124"/>
      <c r="G179" s="3">
        <v>0</v>
      </c>
      <c r="H179" s="3">
        <v>0</v>
      </c>
      <c r="I179" s="3">
        <v>0</v>
      </c>
      <c r="J179" s="3">
        <v>0</v>
      </c>
      <c r="K179" s="3">
        <f t="shared" si="6"/>
        <v>0</v>
      </c>
      <c r="L179" s="3"/>
      <c r="M179" s="3">
        <f t="shared" si="7"/>
        <v>0</v>
      </c>
      <c r="O179" s="5"/>
      <c r="S179" s="6"/>
    </row>
    <row r="180" spans="1:23" customFormat="1" x14ac:dyDescent="0.45">
      <c r="A180">
        <v>124548</v>
      </c>
      <c r="B180" t="s">
        <v>16721</v>
      </c>
      <c r="C180" t="s">
        <v>16722</v>
      </c>
      <c r="D180">
        <v>59</v>
      </c>
      <c r="E180" t="s">
        <v>16417</v>
      </c>
      <c r="F180" s="124"/>
      <c r="G180" s="7">
        <v>0</v>
      </c>
      <c r="H180" s="7">
        <v>0</v>
      </c>
      <c r="I180" s="7">
        <v>0</v>
      </c>
      <c r="J180" s="7">
        <v>0</v>
      </c>
      <c r="K180" s="3">
        <f t="shared" si="6"/>
        <v>0</v>
      </c>
      <c r="L180" s="3"/>
      <c r="M180" s="3">
        <f t="shared" si="7"/>
        <v>0</v>
      </c>
      <c r="N180" s="7"/>
      <c r="O180" s="5" t="s">
        <v>16723</v>
      </c>
      <c r="S180" s="6"/>
    </row>
    <row r="181" spans="1:23" customFormat="1" x14ac:dyDescent="0.45">
      <c r="A181">
        <v>124605</v>
      </c>
      <c r="B181" t="s">
        <v>16724</v>
      </c>
      <c r="C181" t="s">
        <v>16725</v>
      </c>
      <c r="D181">
        <v>0</v>
      </c>
      <c r="E181" t="s">
        <v>16561</v>
      </c>
      <c r="F181" s="124"/>
      <c r="G181" s="7">
        <v>0</v>
      </c>
      <c r="H181" s="7">
        <v>0</v>
      </c>
      <c r="I181" s="7">
        <v>0</v>
      </c>
      <c r="J181" s="7">
        <v>0</v>
      </c>
      <c r="K181" s="3">
        <f t="shared" si="6"/>
        <v>0</v>
      </c>
      <c r="L181" s="3"/>
      <c r="M181" s="3">
        <f t="shared" si="7"/>
        <v>0</v>
      </c>
      <c r="N181" s="7"/>
      <c r="O181" s="5"/>
      <c r="S181" s="6"/>
    </row>
    <row r="182" spans="1:23" x14ac:dyDescent="0.45">
      <c r="A182" s="124">
        <v>124704</v>
      </c>
      <c r="B182" s="124" t="s">
        <v>16726</v>
      </c>
      <c r="C182" s="124" t="s">
        <v>16727</v>
      </c>
      <c r="D182" s="124">
        <v>140</v>
      </c>
      <c r="E182" s="124" t="s">
        <v>16417</v>
      </c>
      <c r="F182" s="126">
        <v>1.2500000000000001E-2</v>
      </c>
      <c r="G182" s="136"/>
      <c r="H182" s="135">
        <v>0</v>
      </c>
      <c r="I182" s="136">
        <f>5.75%/2</f>
        <v>2.8750000000000001E-2</v>
      </c>
      <c r="J182" s="135">
        <v>0</v>
      </c>
      <c r="K182" s="126">
        <f t="shared" si="6"/>
        <v>2.8750000000000001E-2</v>
      </c>
      <c r="L182" s="3"/>
      <c r="M182" s="126">
        <f t="shared" si="7"/>
        <v>4.1250000000000002E-2</v>
      </c>
      <c r="N182" s="124" t="s">
        <v>16728</v>
      </c>
      <c r="O182" s="125" t="s">
        <v>16729</v>
      </c>
      <c r="P182" s="125" t="s">
        <v>16730</v>
      </c>
      <c r="Q182" s="130">
        <v>684629000</v>
      </c>
      <c r="R182" s="124" t="s">
        <v>16</v>
      </c>
      <c r="S182" s="130">
        <v>517960000</v>
      </c>
      <c r="T182" s="129">
        <f>Table34[[#This Row],[Total Asset]]/Table34[[#This Row],[Net Asset]]</f>
        <v>1.3217796741061085</v>
      </c>
      <c r="V182" s="125" t="s">
        <v>16731</v>
      </c>
    </row>
    <row r="183" spans="1:23" customFormat="1" x14ac:dyDescent="0.45">
      <c r="A183">
        <v>124784</v>
      </c>
      <c r="B183" t="s">
        <v>16732</v>
      </c>
      <c r="C183" t="s">
        <v>16733</v>
      </c>
      <c r="D183">
        <v>0</v>
      </c>
      <c r="E183" t="s">
        <v>16561</v>
      </c>
      <c r="F183" s="124"/>
      <c r="G183" s="7">
        <v>0</v>
      </c>
      <c r="H183" s="3">
        <v>0</v>
      </c>
      <c r="I183" s="3">
        <v>0</v>
      </c>
      <c r="J183">
        <v>0</v>
      </c>
      <c r="K183" s="3">
        <f t="shared" si="6"/>
        <v>0</v>
      </c>
      <c r="L183" s="3"/>
      <c r="M183" s="3">
        <f t="shared" si="7"/>
        <v>0</v>
      </c>
      <c r="O183" s="5"/>
      <c r="S183" s="6"/>
    </row>
    <row r="184" spans="1:23" customFormat="1" x14ac:dyDescent="0.45">
      <c r="A184">
        <v>124823</v>
      </c>
      <c r="B184" t="s">
        <v>16734</v>
      </c>
      <c r="C184" t="s">
        <v>16735</v>
      </c>
      <c r="D184">
        <v>0</v>
      </c>
      <c r="E184" t="s">
        <v>16561</v>
      </c>
      <c r="F184" s="124"/>
      <c r="G184" s="7">
        <v>0</v>
      </c>
      <c r="H184" s="7">
        <v>0</v>
      </c>
      <c r="I184" s="7">
        <v>0</v>
      </c>
      <c r="J184" s="7">
        <v>0</v>
      </c>
      <c r="K184" s="3">
        <f t="shared" si="6"/>
        <v>0</v>
      </c>
      <c r="L184" s="3"/>
      <c r="M184" s="3">
        <f t="shared" si="7"/>
        <v>0</v>
      </c>
      <c r="N184" s="7"/>
      <c r="O184" s="5"/>
      <c r="S184" s="6"/>
    </row>
    <row r="185" spans="1:23" customFormat="1" x14ac:dyDescent="0.45">
      <c r="A185">
        <v>124866</v>
      </c>
      <c r="B185" t="s">
        <v>16736</v>
      </c>
      <c r="C185" t="s">
        <v>16737</v>
      </c>
      <c r="D185">
        <v>0</v>
      </c>
      <c r="E185" t="s">
        <v>16561</v>
      </c>
      <c r="F185" s="124"/>
      <c r="G185" s="7">
        <v>0</v>
      </c>
      <c r="H185" s="3">
        <v>0</v>
      </c>
      <c r="I185" s="3">
        <v>0</v>
      </c>
      <c r="J185">
        <v>0</v>
      </c>
      <c r="K185" s="3">
        <f t="shared" si="6"/>
        <v>0</v>
      </c>
      <c r="L185" s="3"/>
      <c r="M185" s="3">
        <f t="shared" si="7"/>
        <v>0</v>
      </c>
      <c r="O185" s="5"/>
      <c r="S185" s="6"/>
    </row>
    <row r="186" spans="1:23" customFormat="1" x14ac:dyDescent="0.45">
      <c r="A186">
        <v>124885</v>
      </c>
      <c r="B186" t="s">
        <v>16738</v>
      </c>
      <c r="C186" t="s">
        <v>16739</v>
      </c>
      <c r="D186">
        <v>14</v>
      </c>
      <c r="F186" s="124"/>
      <c r="G186" s="7">
        <v>0</v>
      </c>
      <c r="H186" s="7">
        <v>0</v>
      </c>
      <c r="I186" s="7">
        <v>0</v>
      </c>
      <c r="J186" s="7">
        <v>0</v>
      </c>
      <c r="K186" s="3">
        <f t="shared" si="6"/>
        <v>0</v>
      </c>
      <c r="L186" s="3"/>
      <c r="M186" s="3">
        <f t="shared" si="7"/>
        <v>0</v>
      </c>
      <c r="N186" s="7"/>
      <c r="O186" s="5"/>
      <c r="S186" s="6"/>
    </row>
    <row r="187" spans="1:23" customFormat="1" x14ac:dyDescent="0.45">
      <c r="A187">
        <v>124940</v>
      </c>
      <c r="B187" t="s">
        <v>16740</v>
      </c>
      <c r="C187" t="s">
        <v>16741</v>
      </c>
      <c r="D187">
        <v>0</v>
      </c>
      <c r="E187" t="s">
        <v>16561</v>
      </c>
      <c r="F187" s="124"/>
      <c r="G187" s="7">
        <v>0</v>
      </c>
      <c r="H187" s="7">
        <v>0</v>
      </c>
      <c r="I187" s="7">
        <v>0</v>
      </c>
      <c r="J187" s="7">
        <v>0</v>
      </c>
      <c r="K187" s="3">
        <f t="shared" si="6"/>
        <v>0</v>
      </c>
      <c r="L187" s="3"/>
      <c r="M187" s="3">
        <f t="shared" si="7"/>
        <v>0</v>
      </c>
      <c r="N187" s="7"/>
      <c r="O187" s="5"/>
      <c r="S187" s="6"/>
    </row>
    <row r="188" spans="1:23" customFormat="1" x14ac:dyDescent="0.45">
      <c r="A188">
        <v>124974</v>
      </c>
      <c r="B188" t="s">
        <v>16742</v>
      </c>
      <c r="C188" t="s">
        <v>16331</v>
      </c>
      <c r="D188">
        <v>2</v>
      </c>
      <c r="E188" t="s">
        <v>16331</v>
      </c>
      <c r="F188" s="124"/>
      <c r="G188" s="7">
        <v>0</v>
      </c>
      <c r="H188" s="7">
        <v>0</v>
      </c>
      <c r="I188" s="7">
        <v>0</v>
      </c>
      <c r="J188" s="7">
        <v>0</v>
      </c>
      <c r="K188" s="3">
        <f t="shared" si="6"/>
        <v>0</v>
      </c>
      <c r="L188" s="3"/>
      <c r="M188" s="3">
        <f t="shared" si="7"/>
        <v>0</v>
      </c>
      <c r="O188" s="5"/>
      <c r="S188" s="6"/>
    </row>
    <row r="189" spans="1:23" customFormat="1" x14ac:dyDescent="0.45">
      <c r="A189">
        <v>124984</v>
      </c>
      <c r="B189" t="s">
        <v>16743</v>
      </c>
      <c r="C189" s="2" t="s">
        <v>16744</v>
      </c>
      <c r="D189">
        <v>10</v>
      </c>
      <c r="E189" t="s">
        <v>16334</v>
      </c>
      <c r="F189" s="126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/>
      <c r="M189" s="3">
        <v>0</v>
      </c>
      <c r="O189" s="5"/>
      <c r="S189" s="6"/>
    </row>
    <row r="190" spans="1:23" customFormat="1" x14ac:dyDescent="0.45">
      <c r="A190">
        <v>124995</v>
      </c>
      <c r="B190" t="s">
        <v>16745</v>
      </c>
      <c r="C190" t="s">
        <v>16536</v>
      </c>
      <c r="D190">
        <v>21</v>
      </c>
      <c r="E190" t="s">
        <v>16417</v>
      </c>
      <c r="F190" s="124"/>
      <c r="G190" s="19"/>
      <c r="H190" s="20"/>
      <c r="I190" s="19"/>
      <c r="J190" s="19"/>
      <c r="K190" s="3">
        <f t="shared" ref="K190:K253" si="8">SUM(G190:J190)</f>
        <v>0</v>
      </c>
      <c r="L190" s="3"/>
      <c r="M190" s="3">
        <f t="shared" ref="M190:M253" si="9">K190+F190</f>
        <v>0</v>
      </c>
      <c r="O190" s="5"/>
      <c r="S190" s="6"/>
    </row>
    <row r="191" spans="1:23" customFormat="1" x14ac:dyDescent="0.45">
      <c r="A191">
        <v>125041</v>
      </c>
      <c r="B191" t="s">
        <v>16746</v>
      </c>
      <c r="C191" t="s">
        <v>16747</v>
      </c>
      <c r="D191">
        <v>3</v>
      </c>
      <c r="F191" s="124"/>
      <c r="G191" s="7">
        <v>0</v>
      </c>
      <c r="H191" s="7">
        <v>0</v>
      </c>
      <c r="I191" s="7">
        <v>0</v>
      </c>
      <c r="J191" s="7">
        <v>0</v>
      </c>
      <c r="K191" s="3">
        <f t="shared" si="8"/>
        <v>0</v>
      </c>
      <c r="L191" s="3"/>
      <c r="M191" s="3">
        <f t="shared" si="9"/>
        <v>0</v>
      </c>
      <c r="O191" s="5"/>
      <c r="S191" s="6"/>
    </row>
    <row r="192" spans="1:23" x14ac:dyDescent="0.45">
      <c r="A192" s="124">
        <v>979562</v>
      </c>
      <c r="B192" s="124" t="s">
        <v>16748</v>
      </c>
      <c r="C192" s="125" t="s">
        <v>16717</v>
      </c>
      <c r="D192" s="124">
        <v>1</v>
      </c>
      <c r="E192" s="124" t="s">
        <v>16417</v>
      </c>
      <c r="F192" s="126">
        <v>3.1999999999999997E-3</v>
      </c>
      <c r="G192" s="135">
        <v>0</v>
      </c>
      <c r="H192" s="135">
        <v>0</v>
      </c>
      <c r="I192" s="127">
        <v>3.5000000000000003E-2</v>
      </c>
      <c r="J192" s="127">
        <v>0.01</v>
      </c>
      <c r="K192" s="126">
        <f t="shared" si="8"/>
        <v>4.5000000000000005E-2</v>
      </c>
      <c r="L192" s="3"/>
      <c r="M192" s="126">
        <f t="shared" si="9"/>
        <v>4.8200000000000007E-2</v>
      </c>
      <c r="N192" s="135"/>
      <c r="O192" s="125" t="s">
        <v>16501</v>
      </c>
      <c r="P192" s="128" t="s">
        <v>26918</v>
      </c>
      <c r="Q192" s="130">
        <v>1581293</v>
      </c>
      <c r="R192" s="124" t="s">
        <v>16348</v>
      </c>
      <c r="S192" s="130">
        <v>1287353</v>
      </c>
      <c r="T192" s="129">
        <f>S192/Q192</f>
        <v>0.81411414582876163</v>
      </c>
      <c r="U192" s="124" t="s">
        <v>19</v>
      </c>
      <c r="V192" s="125" t="s">
        <v>16543</v>
      </c>
      <c r="W192" s="124" t="s">
        <v>16354</v>
      </c>
    </row>
    <row r="193" spans="1:24" customFormat="1" x14ac:dyDescent="0.45">
      <c r="A193">
        <v>125062</v>
      </c>
      <c r="B193" t="s">
        <v>16749</v>
      </c>
      <c r="C193" t="s">
        <v>16750</v>
      </c>
      <c r="D193">
        <v>2</v>
      </c>
      <c r="F193" s="124"/>
      <c r="G193" s="7">
        <v>0</v>
      </c>
      <c r="H193" s="7">
        <v>0</v>
      </c>
      <c r="I193" s="7">
        <v>0</v>
      </c>
      <c r="J193" s="7">
        <v>0</v>
      </c>
      <c r="K193" s="3">
        <f t="shared" si="8"/>
        <v>0</v>
      </c>
      <c r="L193" s="3"/>
      <c r="M193" s="3">
        <f t="shared" si="9"/>
        <v>0</v>
      </c>
      <c r="O193" s="5"/>
      <c r="S193" s="6"/>
    </row>
    <row r="194" spans="1:24" customFormat="1" x14ac:dyDescent="0.45">
      <c r="A194">
        <v>125073</v>
      </c>
      <c r="B194" t="s">
        <v>16751</v>
      </c>
      <c r="C194" t="s">
        <v>16331</v>
      </c>
      <c r="D194">
        <v>1</v>
      </c>
      <c r="E194" t="s">
        <v>16331</v>
      </c>
      <c r="F194" s="124"/>
      <c r="G194" s="7">
        <v>0</v>
      </c>
      <c r="H194" s="7">
        <v>0</v>
      </c>
      <c r="I194" s="7">
        <v>0</v>
      </c>
      <c r="J194" s="7">
        <v>0</v>
      </c>
      <c r="K194" s="3">
        <f t="shared" si="8"/>
        <v>0</v>
      </c>
      <c r="L194" s="3"/>
      <c r="M194" s="3">
        <f t="shared" si="9"/>
        <v>0</v>
      </c>
      <c r="O194" s="5"/>
      <c r="S194" s="6"/>
    </row>
    <row r="195" spans="1:24" customFormat="1" x14ac:dyDescent="0.45">
      <c r="A195">
        <v>125099</v>
      </c>
      <c r="B195" t="s">
        <v>16752</v>
      </c>
      <c r="C195" t="s">
        <v>16331</v>
      </c>
      <c r="D195">
        <v>1</v>
      </c>
      <c r="E195" t="s">
        <v>16331</v>
      </c>
      <c r="F195" s="124"/>
      <c r="G195" s="7">
        <v>0</v>
      </c>
      <c r="H195" s="7">
        <v>0</v>
      </c>
      <c r="I195" s="7">
        <v>0</v>
      </c>
      <c r="J195" s="7">
        <v>0</v>
      </c>
      <c r="K195" s="3">
        <f t="shared" si="8"/>
        <v>0</v>
      </c>
      <c r="L195" s="3"/>
      <c r="M195" s="3">
        <f t="shared" si="9"/>
        <v>0</v>
      </c>
      <c r="O195" s="5"/>
      <c r="S195" s="6"/>
    </row>
    <row r="196" spans="1:24" customFormat="1" x14ac:dyDescent="0.45">
      <c r="A196">
        <v>125116</v>
      </c>
      <c r="B196" t="s">
        <v>16753</v>
      </c>
      <c r="C196" t="s">
        <v>16754</v>
      </c>
      <c r="D196">
        <v>2</v>
      </c>
      <c r="F196" s="124"/>
      <c r="G196" s="7">
        <v>0</v>
      </c>
      <c r="H196" s="7">
        <v>0</v>
      </c>
      <c r="I196" s="7">
        <v>0</v>
      </c>
      <c r="J196" s="7">
        <v>0</v>
      </c>
      <c r="K196" s="3">
        <f t="shared" si="8"/>
        <v>0</v>
      </c>
      <c r="L196" s="3"/>
      <c r="M196" s="3">
        <f t="shared" si="9"/>
        <v>0</v>
      </c>
      <c r="O196" s="5"/>
      <c r="S196" s="6"/>
    </row>
    <row r="197" spans="1:24" customFormat="1" x14ac:dyDescent="0.45">
      <c r="A197">
        <v>125128</v>
      </c>
      <c r="B197" t="s">
        <v>16755</v>
      </c>
      <c r="C197" t="s">
        <v>16331</v>
      </c>
      <c r="D197">
        <v>5</v>
      </c>
      <c r="E197" t="s">
        <v>16331</v>
      </c>
      <c r="F197" s="124"/>
      <c r="G197" s="7">
        <v>0</v>
      </c>
      <c r="H197" s="7">
        <v>0</v>
      </c>
      <c r="I197" s="7">
        <v>0</v>
      </c>
      <c r="J197" s="7">
        <v>0</v>
      </c>
      <c r="K197" s="3">
        <f t="shared" si="8"/>
        <v>0</v>
      </c>
      <c r="L197" s="3"/>
      <c r="M197" s="3">
        <f t="shared" si="9"/>
        <v>0</v>
      </c>
      <c r="O197" s="5"/>
      <c r="S197" s="6"/>
    </row>
    <row r="198" spans="1:24" customFormat="1" x14ac:dyDescent="0.45">
      <c r="A198">
        <v>125160</v>
      </c>
      <c r="B198" t="s">
        <v>16756</v>
      </c>
      <c r="C198" t="s">
        <v>16757</v>
      </c>
      <c r="D198">
        <v>18</v>
      </c>
      <c r="E198" t="s">
        <v>16334</v>
      </c>
      <c r="F198" s="124"/>
      <c r="G198" s="3">
        <v>0</v>
      </c>
      <c r="H198" s="3">
        <v>0</v>
      </c>
      <c r="I198" s="3">
        <v>0</v>
      </c>
      <c r="J198" s="3">
        <v>0</v>
      </c>
      <c r="K198" s="3">
        <f t="shared" si="8"/>
        <v>0</v>
      </c>
      <c r="L198" s="3"/>
      <c r="M198" s="3">
        <f t="shared" si="9"/>
        <v>0</v>
      </c>
      <c r="O198" s="5"/>
      <c r="S198" s="6"/>
    </row>
    <row r="199" spans="1:24" x14ac:dyDescent="0.45">
      <c r="A199" s="124">
        <v>450754</v>
      </c>
      <c r="B199" s="124" t="s">
        <v>16758</v>
      </c>
      <c r="C199" s="125" t="s">
        <v>16759</v>
      </c>
      <c r="D199" s="124">
        <v>91</v>
      </c>
      <c r="E199" s="124" t="s">
        <v>16417</v>
      </c>
      <c r="F199" s="126">
        <v>8.9999999999999993E-3</v>
      </c>
      <c r="G199" s="124">
        <v>0</v>
      </c>
      <c r="H199" s="126">
        <v>1.0999999999999999E-2</v>
      </c>
      <c r="I199" s="127"/>
      <c r="J199" s="127"/>
      <c r="K199" s="126">
        <f t="shared" si="8"/>
        <v>1.0999999999999999E-2</v>
      </c>
      <c r="L199" s="3"/>
      <c r="M199" s="126">
        <f t="shared" si="9"/>
        <v>1.9999999999999997E-2</v>
      </c>
      <c r="O199" s="125" t="s">
        <v>16760</v>
      </c>
      <c r="P199" s="125" t="s">
        <v>16761</v>
      </c>
      <c r="Q199" s="130">
        <f>79755159+36445569</f>
        <v>116200728</v>
      </c>
      <c r="R199" s="124" t="s">
        <v>16348</v>
      </c>
      <c r="S199" s="130">
        <v>61257321</v>
      </c>
      <c r="T199" s="129">
        <f>S199/Q199</f>
        <v>0.52716813443716115</v>
      </c>
      <c r="V199" s="125" t="s">
        <v>16762</v>
      </c>
      <c r="X199" s="124" t="s">
        <v>16763</v>
      </c>
    </row>
    <row r="200" spans="1:24" customFormat="1" x14ac:dyDescent="0.45">
      <c r="A200">
        <v>125196</v>
      </c>
      <c r="B200" t="s">
        <v>16764</v>
      </c>
      <c r="C200" t="s">
        <v>16765</v>
      </c>
      <c r="D200">
        <v>1</v>
      </c>
      <c r="F200" s="124"/>
      <c r="G200" s="7">
        <v>0</v>
      </c>
      <c r="H200" s="7">
        <v>0</v>
      </c>
      <c r="I200" s="7">
        <v>0</v>
      </c>
      <c r="J200" s="7">
        <v>0</v>
      </c>
      <c r="K200" s="3">
        <f t="shared" si="8"/>
        <v>0</v>
      </c>
      <c r="L200" s="3"/>
      <c r="M200" s="3">
        <f t="shared" si="9"/>
        <v>0</v>
      </c>
      <c r="O200" s="5"/>
      <c r="S200" s="6"/>
    </row>
    <row r="201" spans="1:24" customFormat="1" x14ac:dyDescent="0.45">
      <c r="A201">
        <v>125247</v>
      </c>
      <c r="B201" t="s">
        <v>16766</v>
      </c>
      <c r="C201" t="s">
        <v>16767</v>
      </c>
      <c r="D201">
        <v>3</v>
      </c>
      <c r="F201" s="124"/>
      <c r="G201" s="7">
        <v>0</v>
      </c>
      <c r="H201" s="7">
        <v>0</v>
      </c>
      <c r="I201" s="7">
        <v>0</v>
      </c>
      <c r="J201" s="7">
        <v>0</v>
      </c>
      <c r="K201" s="3">
        <f t="shared" si="8"/>
        <v>0</v>
      </c>
      <c r="L201" s="3"/>
      <c r="M201" s="3">
        <f t="shared" si="9"/>
        <v>0</v>
      </c>
      <c r="O201" s="5"/>
      <c r="S201" s="6"/>
    </row>
    <row r="202" spans="1:24" customFormat="1" x14ac:dyDescent="0.45">
      <c r="A202">
        <v>125270</v>
      </c>
      <c r="B202" t="s">
        <v>16768</v>
      </c>
      <c r="C202" t="s">
        <v>16769</v>
      </c>
      <c r="D202">
        <v>1</v>
      </c>
      <c r="F202" s="124"/>
      <c r="G202" s="7">
        <v>0</v>
      </c>
      <c r="H202" s="7">
        <v>0</v>
      </c>
      <c r="I202" s="7">
        <v>0</v>
      </c>
      <c r="J202" s="7">
        <v>0</v>
      </c>
      <c r="K202" s="3">
        <f t="shared" si="8"/>
        <v>0</v>
      </c>
      <c r="L202" s="3"/>
      <c r="M202" s="3">
        <f t="shared" si="9"/>
        <v>0</v>
      </c>
      <c r="N202" s="7"/>
      <c r="O202" s="5"/>
      <c r="S202" s="6"/>
    </row>
    <row r="203" spans="1:24" customFormat="1" x14ac:dyDescent="0.45">
      <c r="A203">
        <v>125286</v>
      </c>
      <c r="B203" t="s">
        <v>16770</v>
      </c>
      <c r="C203" t="s">
        <v>16771</v>
      </c>
      <c r="D203">
        <v>7</v>
      </c>
      <c r="F203" s="124"/>
      <c r="G203" s="3">
        <v>0</v>
      </c>
      <c r="H203" s="3">
        <v>0</v>
      </c>
      <c r="I203" s="3">
        <v>0</v>
      </c>
      <c r="J203" s="3">
        <v>0</v>
      </c>
      <c r="K203" s="3">
        <f t="shared" si="8"/>
        <v>0</v>
      </c>
      <c r="L203" s="3"/>
      <c r="M203" s="3">
        <f t="shared" si="9"/>
        <v>0</v>
      </c>
      <c r="O203" s="5"/>
      <c r="S203" s="6"/>
    </row>
    <row r="204" spans="1:24" customFormat="1" x14ac:dyDescent="0.45">
      <c r="A204">
        <v>125322</v>
      </c>
      <c r="B204" t="s">
        <v>16772</v>
      </c>
      <c r="C204" t="s">
        <v>16773</v>
      </c>
      <c r="D204">
        <v>6</v>
      </c>
      <c r="F204" s="124"/>
      <c r="G204" s="3">
        <v>0</v>
      </c>
      <c r="H204" s="3">
        <v>0</v>
      </c>
      <c r="I204" s="3">
        <v>0</v>
      </c>
      <c r="J204" s="3">
        <v>0</v>
      </c>
      <c r="K204" s="3">
        <f t="shared" si="8"/>
        <v>0</v>
      </c>
      <c r="L204" s="3"/>
      <c r="M204" s="3">
        <f t="shared" si="9"/>
        <v>0</v>
      </c>
      <c r="O204" s="5"/>
      <c r="S204" s="6"/>
    </row>
    <row r="205" spans="1:24" customFormat="1" x14ac:dyDescent="0.45">
      <c r="A205">
        <v>125340</v>
      </c>
      <c r="B205" t="s">
        <v>16774</v>
      </c>
      <c r="C205" t="s">
        <v>16775</v>
      </c>
      <c r="D205">
        <v>0</v>
      </c>
      <c r="E205" t="s">
        <v>16491</v>
      </c>
      <c r="F205" s="124"/>
      <c r="G205" s="7">
        <v>0</v>
      </c>
      <c r="H205" s="7">
        <v>0</v>
      </c>
      <c r="I205" s="7">
        <v>0</v>
      </c>
      <c r="J205" s="7">
        <v>0</v>
      </c>
      <c r="K205" s="3">
        <f t="shared" si="8"/>
        <v>0</v>
      </c>
      <c r="L205" s="3"/>
      <c r="M205" s="3">
        <f t="shared" si="9"/>
        <v>0</v>
      </c>
      <c r="O205" s="5"/>
      <c r="S205" s="6"/>
    </row>
    <row r="206" spans="1:24" customFormat="1" x14ac:dyDescent="0.45">
      <c r="A206">
        <v>125376</v>
      </c>
      <c r="B206" t="s">
        <v>16776</v>
      </c>
      <c r="C206" t="s">
        <v>16777</v>
      </c>
      <c r="D206">
        <v>6</v>
      </c>
      <c r="F206" s="124"/>
      <c r="G206" s="7">
        <v>0</v>
      </c>
      <c r="H206" s="7">
        <v>0</v>
      </c>
      <c r="I206" s="7">
        <v>0</v>
      </c>
      <c r="J206" s="7">
        <v>0</v>
      </c>
      <c r="K206" s="3">
        <f t="shared" si="8"/>
        <v>0</v>
      </c>
      <c r="L206" s="3"/>
      <c r="M206" s="3">
        <f t="shared" si="9"/>
        <v>0</v>
      </c>
      <c r="O206" s="5"/>
      <c r="S206" s="6"/>
    </row>
    <row r="207" spans="1:24" customFormat="1" x14ac:dyDescent="0.45">
      <c r="A207">
        <v>125405</v>
      </c>
      <c r="B207" t="s">
        <v>16778</v>
      </c>
      <c r="C207" t="s">
        <v>16779</v>
      </c>
      <c r="D207">
        <v>2</v>
      </c>
      <c r="F207" s="124"/>
      <c r="G207" s="3">
        <v>0</v>
      </c>
      <c r="H207" s="3">
        <v>0</v>
      </c>
      <c r="I207" s="3">
        <v>0</v>
      </c>
      <c r="J207" s="3">
        <v>0</v>
      </c>
      <c r="K207" s="3">
        <f t="shared" si="8"/>
        <v>0</v>
      </c>
      <c r="L207" s="3"/>
      <c r="M207" s="3">
        <f t="shared" si="9"/>
        <v>0</v>
      </c>
      <c r="O207" s="5"/>
      <c r="S207" s="6"/>
    </row>
    <row r="208" spans="1:24" customFormat="1" x14ac:dyDescent="0.45">
      <c r="A208">
        <v>125434</v>
      </c>
      <c r="B208" t="s">
        <v>16780</v>
      </c>
      <c r="C208" t="s">
        <v>16781</v>
      </c>
      <c r="D208">
        <v>1</v>
      </c>
      <c r="F208" s="124"/>
      <c r="G208" s="7">
        <v>0</v>
      </c>
      <c r="H208" s="7">
        <v>0</v>
      </c>
      <c r="I208" s="7">
        <v>0</v>
      </c>
      <c r="J208" s="7">
        <v>0</v>
      </c>
      <c r="K208" s="3">
        <f t="shared" si="8"/>
        <v>0</v>
      </c>
      <c r="L208" s="3"/>
      <c r="M208" s="3">
        <f t="shared" si="9"/>
        <v>0</v>
      </c>
      <c r="O208" s="5"/>
      <c r="S208" s="6"/>
    </row>
    <row r="209" spans="1:22" customFormat="1" x14ac:dyDescent="0.45">
      <c r="A209">
        <v>125435</v>
      </c>
      <c r="B209" t="s">
        <v>16782</v>
      </c>
      <c r="C209" t="s">
        <v>16331</v>
      </c>
      <c r="D209">
        <v>1</v>
      </c>
      <c r="E209" t="s">
        <v>16331</v>
      </c>
      <c r="F209" s="124"/>
      <c r="G209" s="7">
        <v>0</v>
      </c>
      <c r="H209" s="7">
        <v>0</v>
      </c>
      <c r="I209" s="7">
        <v>0</v>
      </c>
      <c r="J209" s="7">
        <v>0</v>
      </c>
      <c r="K209" s="3">
        <f t="shared" si="8"/>
        <v>0</v>
      </c>
      <c r="L209" s="3"/>
      <c r="M209" s="3">
        <f t="shared" si="9"/>
        <v>0</v>
      </c>
      <c r="O209" s="5"/>
      <c r="S209" s="6"/>
    </row>
    <row r="210" spans="1:22" customFormat="1" x14ac:dyDescent="0.45">
      <c r="A210">
        <v>125531</v>
      </c>
      <c r="B210" t="s">
        <v>16783</v>
      </c>
      <c r="C210" t="s">
        <v>16784</v>
      </c>
      <c r="D210">
        <v>4</v>
      </c>
      <c r="F210" s="124"/>
      <c r="G210" s="3">
        <v>0</v>
      </c>
      <c r="H210" s="3">
        <v>0</v>
      </c>
      <c r="I210" s="3">
        <v>0</v>
      </c>
      <c r="J210" s="3">
        <v>0</v>
      </c>
      <c r="K210" s="3">
        <f t="shared" si="8"/>
        <v>0</v>
      </c>
      <c r="L210" s="3"/>
      <c r="M210" s="3">
        <f t="shared" si="9"/>
        <v>0</v>
      </c>
      <c r="O210" s="5"/>
      <c r="S210" s="6"/>
    </row>
    <row r="211" spans="1:22" x14ac:dyDescent="0.45">
      <c r="A211" s="124">
        <v>589124</v>
      </c>
      <c r="B211" s="124" t="s">
        <v>16785</v>
      </c>
      <c r="C211" s="124" t="s">
        <v>16786</v>
      </c>
      <c r="D211" s="124">
        <v>31</v>
      </c>
      <c r="E211" s="124" t="s">
        <v>16417</v>
      </c>
      <c r="F211" s="126">
        <v>6.3E-3</v>
      </c>
      <c r="G211" s="126">
        <f>(3.25/2)/100</f>
        <v>1.6250000000000001E-2</v>
      </c>
      <c r="H211" s="126">
        <f>(1.4/2)/100</f>
        <v>6.9999999999999993E-3</v>
      </c>
      <c r="I211" s="127">
        <v>0</v>
      </c>
      <c r="J211" s="127">
        <v>0</v>
      </c>
      <c r="K211" s="126">
        <f t="shared" si="8"/>
        <v>2.325E-2</v>
      </c>
      <c r="L211" s="9"/>
      <c r="M211" s="126">
        <f t="shared" si="9"/>
        <v>2.955E-2</v>
      </c>
      <c r="N211" s="135"/>
      <c r="O211" s="125" t="s">
        <v>16760</v>
      </c>
      <c r="Q211" s="130">
        <v>65744000</v>
      </c>
      <c r="R211" s="130" t="s">
        <v>16348</v>
      </c>
      <c r="S211" s="130">
        <v>25585000</v>
      </c>
      <c r="T211" s="129">
        <f>S211/Q211</f>
        <v>0.38916098807495741</v>
      </c>
      <c r="U211" s="130" t="s">
        <v>16787</v>
      </c>
      <c r="V211" s="125" t="s">
        <v>16788</v>
      </c>
    </row>
    <row r="212" spans="1:22" customFormat="1" x14ac:dyDescent="0.45">
      <c r="A212">
        <v>125581</v>
      </c>
      <c r="B212" t="s">
        <v>16789</v>
      </c>
      <c r="C212" t="s">
        <v>16790</v>
      </c>
      <c r="D212">
        <v>4</v>
      </c>
      <c r="F212" s="124"/>
      <c r="G212" s="7">
        <v>0</v>
      </c>
      <c r="H212" s="7">
        <v>0</v>
      </c>
      <c r="I212" s="7">
        <v>0</v>
      </c>
      <c r="J212" s="7">
        <v>0</v>
      </c>
      <c r="K212" s="3">
        <f t="shared" si="8"/>
        <v>0</v>
      </c>
      <c r="L212" s="3"/>
      <c r="M212" s="3">
        <f t="shared" si="9"/>
        <v>0</v>
      </c>
      <c r="O212" s="5"/>
      <c r="S212" s="6"/>
    </row>
    <row r="213" spans="1:22" customFormat="1" x14ac:dyDescent="0.45">
      <c r="A213">
        <v>125652</v>
      </c>
      <c r="B213" t="s">
        <v>16791</v>
      </c>
      <c r="C213" t="s">
        <v>16792</v>
      </c>
      <c r="D213">
        <v>2</v>
      </c>
      <c r="F213" s="124"/>
      <c r="K213" s="3">
        <f t="shared" si="8"/>
        <v>0</v>
      </c>
      <c r="L213" s="3"/>
      <c r="M213" s="3">
        <f t="shared" si="9"/>
        <v>0</v>
      </c>
      <c r="O213" s="5"/>
      <c r="S213" s="6"/>
    </row>
    <row r="214" spans="1:22" customFormat="1" x14ac:dyDescent="0.45">
      <c r="A214">
        <v>125693</v>
      </c>
      <c r="B214" t="s">
        <v>16793</v>
      </c>
      <c r="C214" t="s">
        <v>16794</v>
      </c>
      <c r="D214">
        <v>2</v>
      </c>
      <c r="F214" s="124"/>
      <c r="G214" s="7">
        <v>0</v>
      </c>
      <c r="H214" s="7">
        <v>0</v>
      </c>
      <c r="I214" s="7">
        <v>0</v>
      </c>
      <c r="J214" s="7">
        <v>0</v>
      </c>
      <c r="K214" s="3">
        <f t="shared" si="8"/>
        <v>0</v>
      </c>
      <c r="L214" s="3"/>
      <c r="M214" s="3">
        <f t="shared" si="9"/>
        <v>0</v>
      </c>
      <c r="O214" s="5"/>
      <c r="S214" s="6"/>
    </row>
    <row r="215" spans="1:22" customFormat="1" x14ac:dyDescent="0.45">
      <c r="A215">
        <v>125710</v>
      </c>
      <c r="B215" t="s">
        <v>16795</v>
      </c>
      <c r="C215" t="s">
        <v>16796</v>
      </c>
      <c r="D215">
        <v>13</v>
      </c>
      <c r="F215" s="124"/>
      <c r="G215" s="7">
        <v>0</v>
      </c>
      <c r="H215" s="7">
        <v>0</v>
      </c>
      <c r="I215" s="7">
        <v>0</v>
      </c>
      <c r="J215" s="7">
        <v>0</v>
      </c>
      <c r="K215" s="3">
        <f t="shared" si="8"/>
        <v>0</v>
      </c>
      <c r="L215" s="3"/>
      <c r="M215" s="3">
        <f t="shared" si="9"/>
        <v>0</v>
      </c>
      <c r="O215" s="5"/>
      <c r="S215" s="6"/>
    </row>
    <row r="216" spans="1:22" customFormat="1" x14ac:dyDescent="0.45">
      <c r="A216">
        <v>125772</v>
      </c>
      <c r="B216" t="s">
        <v>16797</v>
      </c>
      <c r="C216" t="s">
        <v>16798</v>
      </c>
      <c r="D216">
        <v>1</v>
      </c>
      <c r="F216" s="124"/>
      <c r="G216" s="7">
        <v>0</v>
      </c>
      <c r="H216" s="7">
        <v>0</v>
      </c>
      <c r="I216" s="7">
        <v>0</v>
      </c>
      <c r="J216" s="7">
        <v>0</v>
      </c>
      <c r="K216" s="3">
        <f t="shared" si="8"/>
        <v>0</v>
      </c>
      <c r="L216" s="3"/>
      <c r="M216" s="3">
        <f t="shared" si="9"/>
        <v>0</v>
      </c>
      <c r="O216" s="5"/>
      <c r="S216" s="6"/>
    </row>
    <row r="217" spans="1:22" customFormat="1" x14ac:dyDescent="0.45">
      <c r="A217">
        <v>125891</v>
      </c>
      <c r="B217" t="s">
        <v>16799</v>
      </c>
      <c r="C217" t="s">
        <v>16800</v>
      </c>
      <c r="D217">
        <v>3</v>
      </c>
      <c r="F217" s="124"/>
      <c r="G217" s="3">
        <v>0</v>
      </c>
      <c r="H217" s="3">
        <v>0</v>
      </c>
      <c r="I217" s="3">
        <v>0</v>
      </c>
      <c r="J217" s="3">
        <v>0</v>
      </c>
      <c r="K217" s="3">
        <f t="shared" si="8"/>
        <v>0</v>
      </c>
      <c r="L217" s="3"/>
      <c r="M217" s="3">
        <f t="shared" si="9"/>
        <v>0</v>
      </c>
      <c r="O217" s="5"/>
      <c r="S217" s="6"/>
    </row>
    <row r="218" spans="1:22" customFormat="1" x14ac:dyDescent="0.45">
      <c r="A218">
        <v>125904</v>
      </c>
      <c r="B218" t="s">
        <v>16801</v>
      </c>
      <c r="C218" t="s">
        <v>16802</v>
      </c>
      <c r="D218">
        <v>1</v>
      </c>
      <c r="F218" s="124"/>
      <c r="G218" s="7">
        <v>0</v>
      </c>
      <c r="H218" s="7">
        <v>0</v>
      </c>
      <c r="I218" s="7">
        <v>0</v>
      </c>
      <c r="J218" s="7">
        <v>0</v>
      </c>
      <c r="K218" s="3">
        <f t="shared" si="8"/>
        <v>0</v>
      </c>
      <c r="L218" s="3"/>
      <c r="M218" s="3">
        <f t="shared" si="9"/>
        <v>0</v>
      </c>
      <c r="O218" s="5"/>
      <c r="S218" s="6"/>
    </row>
    <row r="219" spans="1:22" x14ac:dyDescent="0.45">
      <c r="A219" s="124">
        <v>787394</v>
      </c>
      <c r="B219" s="124" t="s">
        <v>16803</v>
      </c>
      <c r="C219" s="124" t="s">
        <v>16804</v>
      </c>
      <c r="D219" s="124">
        <v>40</v>
      </c>
      <c r="E219" s="124" t="s">
        <v>16417</v>
      </c>
      <c r="F219" s="126">
        <v>6.3E-3</v>
      </c>
      <c r="G219" s="126">
        <f>(3.25/2)/100</f>
        <v>1.6250000000000001E-2</v>
      </c>
      <c r="H219" s="126">
        <f>(1.4/2)/100</f>
        <v>6.9999999999999993E-3</v>
      </c>
      <c r="I219" s="127">
        <v>0</v>
      </c>
      <c r="J219" s="127">
        <v>0</v>
      </c>
      <c r="K219" s="126">
        <f t="shared" si="8"/>
        <v>2.325E-2</v>
      </c>
      <c r="L219" s="3"/>
      <c r="M219" s="126">
        <f t="shared" si="9"/>
        <v>2.955E-2</v>
      </c>
      <c r="N219" s="135"/>
      <c r="O219" s="125" t="s">
        <v>16760</v>
      </c>
      <c r="Q219" s="130">
        <v>4889000</v>
      </c>
      <c r="R219" s="130" t="s">
        <v>16348</v>
      </c>
      <c r="S219" s="130">
        <v>2773000</v>
      </c>
      <c r="T219" s="129">
        <f>S219/Q219</f>
        <v>0.56719165473511968</v>
      </c>
      <c r="U219" s="130"/>
      <c r="V219" s="125" t="s">
        <v>16805</v>
      </c>
    </row>
    <row r="220" spans="1:22" customFormat="1" x14ac:dyDescent="0.45">
      <c r="A220">
        <v>125921</v>
      </c>
      <c r="B220" t="s">
        <v>16806</v>
      </c>
      <c r="C220" s="2" t="s">
        <v>16807</v>
      </c>
      <c r="D220">
        <v>9</v>
      </c>
      <c r="F220" s="125"/>
      <c r="G220" s="3">
        <v>0</v>
      </c>
      <c r="H220" s="3">
        <v>0</v>
      </c>
      <c r="I220" s="3">
        <v>0</v>
      </c>
      <c r="J220" s="3">
        <v>0</v>
      </c>
      <c r="K220" s="3">
        <f t="shared" si="8"/>
        <v>0</v>
      </c>
      <c r="L220" s="3"/>
      <c r="M220" s="3">
        <f t="shared" si="9"/>
        <v>0</v>
      </c>
      <c r="O220" s="5"/>
      <c r="S220" s="6"/>
    </row>
    <row r="221" spans="1:22" customFormat="1" x14ac:dyDescent="0.45">
      <c r="A221">
        <v>125931</v>
      </c>
      <c r="B221" t="s">
        <v>16808</v>
      </c>
      <c r="C221" t="s">
        <v>16809</v>
      </c>
      <c r="D221">
        <v>5</v>
      </c>
      <c r="F221" s="124"/>
      <c r="K221" s="3">
        <f t="shared" si="8"/>
        <v>0</v>
      </c>
      <c r="L221" s="3"/>
      <c r="M221" s="3">
        <f t="shared" si="9"/>
        <v>0</v>
      </c>
      <c r="O221" s="5"/>
      <c r="S221" s="6"/>
    </row>
    <row r="222" spans="1:22" customFormat="1" x14ac:dyDescent="0.45">
      <c r="A222">
        <v>125949</v>
      </c>
      <c r="B222" t="s">
        <v>16810</v>
      </c>
      <c r="C222" t="s">
        <v>16811</v>
      </c>
      <c r="D222">
        <v>0</v>
      </c>
      <c r="E222" t="s">
        <v>16561</v>
      </c>
      <c r="F222" s="124"/>
      <c r="G222" s="7">
        <v>0</v>
      </c>
      <c r="H222" s="7">
        <v>0</v>
      </c>
      <c r="I222" s="7">
        <v>0</v>
      </c>
      <c r="J222" s="7">
        <v>0</v>
      </c>
      <c r="K222" s="3">
        <f t="shared" si="8"/>
        <v>0</v>
      </c>
      <c r="L222" s="3"/>
      <c r="M222" s="3">
        <f t="shared" si="9"/>
        <v>0</v>
      </c>
      <c r="O222" s="5"/>
      <c r="S222" s="6"/>
    </row>
    <row r="223" spans="1:22" customFormat="1" x14ac:dyDescent="0.45">
      <c r="A223">
        <v>125957</v>
      </c>
      <c r="B223" t="s">
        <v>16812</v>
      </c>
      <c r="C223" t="s">
        <v>16331</v>
      </c>
      <c r="D223">
        <v>1</v>
      </c>
      <c r="E223" t="s">
        <v>16331</v>
      </c>
      <c r="F223" s="124"/>
      <c r="K223" s="3">
        <f t="shared" si="8"/>
        <v>0</v>
      </c>
      <c r="L223" s="3"/>
      <c r="M223" s="3">
        <f t="shared" si="9"/>
        <v>0</v>
      </c>
      <c r="O223" s="5"/>
      <c r="S223" s="6"/>
    </row>
    <row r="224" spans="1:22" customFormat="1" x14ac:dyDescent="0.45">
      <c r="A224">
        <v>126015</v>
      </c>
      <c r="B224" t="s">
        <v>16813</v>
      </c>
      <c r="C224" t="s">
        <v>16814</v>
      </c>
      <c r="D224">
        <v>1</v>
      </c>
      <c r="F224" s="124"/>
      <c r="G224" s="7">
        <v>0</v>
      </c>
      <c r="H224" s="7">
        <v>0</v>
      </c>
      <c r="I224" s="7">
        <v>0</v>
      </c>
      <c r="J224" s="7">
        <v>0</v>
      </c>
      <c r="K224" s="3">
        <f t="shared" si="8"/>
        <v>0</v>
      </c>
      <c r="L224" s="3"/>
      <c r="M224" s="3">
        <f t="shared" si="9"/>
        <v>0</v>
      </c>
      <c r="O224" s="5"/>
      <c r="S224" s="6"/>
    </row>
    <row r="225" spans="1:22" customFormat="1" x14ac:dyDescent="0.45">
      <c r="A225">
        <v>126072</v>
      </c>
      <c r="B225" t="s">
        <v>16815</v>
      </c>
      <c r="C225" s="2" t="s">
        <v>16331</v>
      </c>
      <c r="D225">
        <v>1</v>
      </c>
      <c r="E225" t="s">
        <v>16331</v>
      </c>
      <c r="F225" s="124"/>
      <c r="G225" s="7">
        <v>0</v>
      </c>
      <c r="H225" s="7">
        <v>0</v>
      </c>
      <c r="I225" s="7">
        <v>0</v>
      </c>
      <c r="J225" s="7">
        <v>0</v>
      </c>
      <c r="K225" s="3">
        <f t="shared" si="8"/>
        <v>0</v>
      </c>
      <c r="L225" s="3"/>
      <c r="M225" s="3">
        <f t="shared" si="9"/>
        <v>0</v>
      </c>
      <c r="O225" s="5"/>
      <c r="S225" s="6"/>
    </row>
    <row r="226" spans="1:22" customFormat="1" x14ac:dyDescent="0.45">
      <c r="A226">
        <v>126112</v>
      </c>
      <c r="B226" t="s">
        <v>16816</v>
      </c>
      <c r="C226" t="s">
        <v>16817</v>
      </c>
      <c r="D226">
        <v>4</v>
      </c>
      <c r="F226" s="124"/>
      <c r="G226" s="7">
        <v>0</v>
      </c>
      <c r="H226" s="7">
        <v>0</v>
      </c>
      <c r="I226" s="7">
        <v>0</v>
      </c>
      <c r="J226" s="7">
        <v>0</v>
      </c>
      <c r="K226" s="3">
        <f t="shared" si="8"/>
        <v>0</v>
      </c>
      <c r="L226" s="3"/>
      <c r="M226" s="3">
        <f t="shared" si="9"/>
        <v>0</v>
      </c>
      <c r="O226" s="5"/>
      <c r="S226" s="6"/>
    </row>
    <row r="227" spans="1:22" customFormat="1" x14ac:dyDescent="0.45">
      <c r="A227">
        <v>126123</v>
      </c>
      <c r="B227" t="s">
        <v>16818</v>
      </c>
      <c r="C227" t="s">
        <v>16819</v>
      </c>
      <c r="D227">
        <v>6</v>
      </c>
      <c r="F227" s="124"/>
      <c r="G227" s="7">
        <v>0</v>
      </c>
      <c r="H227" s="7">
        <v>0</v>
      </c>
      <c r="I227" s="7">
        <v>0</v>
      </c>
      <c r="J227" s="7">
        <v>0</v>
      </c>
      <c r="K227" s="3">
        <f t="shared" si="8"/>
        <v>0</v>
      </c>
      <c r="L227" s="3"/>
      <c r="M227" s="3">
        <f t="shared" si="9"/>
        <v>0</v>
      </c>
      <c r="O227" s="5"/>
      <c r="S227" s="6"/>
    </row>
    <row r="228" spans="1:22" x14ac:dyDescent="0.45">
      <c r="A228" s="124">
        <v>228579</v>
      </c>
      <c r="B228" s="124" t="s">
        <v>16820</v>
      </c>
      <c r="C228" s="125" t="s">
        <v>16821</v>
      </c>
      <c r="D228" s="124">
        <v>4</v>
      </c>
      <c r="E228" s="124" t="s">
        <v>16417</v>
      </c>
      <c r="F228" s="126">
        <v>5.3E-3</v>
      </c>
      <c r="G228" s="126">
        <f>(3/2)%</f>
        <v>1.4999999999999999E-2</v>
      </c>
      <c r="H228" s="126">
        <f>((0.6+1.5)/2)/100</f>
        <v>1.0500000000000001E-2</v>
      </c>
      <c r="I228" s="127">
        <v>0</v>
      </c>
      <c r="J228" s="127">
        <v>0</v>
      </c>
      <c r="K228" s="126">
        <f t="shared" si="8"/>
        <v>2.5500000000000002E-2</v>
      </c>
      <c r="L228" s="3"/>
      <c r="M228" s="126">
        <f t="shared" si="9"/>
        <v>3.0800000000000001E-2</v>
      </c>
      <c r="N228" s="124" t="s">
        <v>16822</v>
      </c>
      <c r="O228" s="125" t="s">
        <v>16760</v>
      </c>
      <c r="P228" s="125" t="s">
        <v>16823</v>
      </c>
      <c r="Q228" s="130">
        <v>1063799</v>
      </c>
      <c r="R228" s="130" t="s">
        <v>16348</v>
      </c>
      <c r="S228" s="130">
        <v>1028146</v>
      </c>
      <c r="T228" s="129">
        <f>S228/Q228</f>
        <v>0.96648521008197974</v>
      </c>
      <c r="U228" s="130"/>
      <c r="V228" s="125" t="s">
        <v>16824</v>
      </c>
    </row>
    <row r="229" spans="1:22" customFormat="1" x14ac:dyDescent="0.45">
      <c r="A229">
        <v>126176</v>
      </c>
      <c r="B229" t="s">
        <v>16825</v>
      </c>
      <c r="C229" t="s">
        <v>16331</v>
      </c>
      <c r="D229">
        <v>1</v>
      </c>
      <c r="E229" t="s">
        <v>16331</v>
      </c>
      <c r="F229" s="124"/>
      <c r="G229" s="7">
        <v>0</v>
      </c>
      <c r="H229" s="7">
        <v>0</v>
      </c>
      <c r="I229" s="7">
        <v>0</v>
      </c>
      <c r="J229" s="7">
        <v>0</v>
      </c>
      <c r="K229" s="3">
        <f t="shared" si="8"/>
        <v>0</v>
      </c>
      <c r="L229" s="3"/>
      <c r="M229" s="3">
        <f t="shared" si="9"/>
        <v>0</v>
      </c>
      <c r="O229" s="5"/>
      <c r="S229" s="6"/>
    </row>
    <row r="230" spans="1:22" customFormat="1" x14ac:dyDescent="0.45">
      <c r="A230">
        <v>126243</v>
      </c>
      <c r="B230" t="s">
        <v>16826</v>
      </c>
      <c r="C230" t="s">
        <v>16331</v>
      </c>
      <c r="D230">
        <v>1</v>
      </c>
      <c r="E230" t="s">
        <v>16331</v>
      </c>
      <c r="F230" s="124"/>
      <c r="G230" s="7">
        <v>0</v>
      </c>
      <c r="H230" s="7">
        <v>0</v>
      </c>
      <c r="I230" s="7">
        <v>0</v>
      </c>
      <c r="J230" s="7">
        <v>0</v>
      </c>
      <c r="K230" s="3">
        <f t="shared" si="8"/>
        <v>0</v>
      </c>
      <c r="L230" s="3"/>
      <c r="M230" s="3">
        <f t="shared" si="9"/>
        <v>0</v>
      </c>
      <c r="O230" s="5"/>
      <c r="S230" s="6"/>
    </row>
    <row r="231" spans="1:22" customFormat="1" x14ac:dyDescent="0.45">
      <c r="A231">
        <v>126263</v>
      </c>
      <c r="B231" t="s">
        <v>16827</v>
      </c>
      <c r="C231" t="s">
        <v>16331</v>
      </c>
      <c r="D231">
        <v>1</v>
      </c>
      <c r="E231" t="s">
        <v>16331</v>
      </c>
      <c r="F231" s="124"/>
      <c r="G231" s="7">
        <v>0</v>
      </c>
      <c r="H231" s="7">
        <v>0</v>
      </c>
      <c r="I231" s="7">
        <v>0</v>
      </c>
      <c r="J231" s="7">
        <v>0</v>
      </c>
      <c r="K231" s="3">
        <f t="shared" si="8"/>
        <v>0</v>
      </c>
      <c r="L231" s="3"/>
      <c r="M231" s="3">
        <f t="shared" si="9"/>
        <v>0</v>
      </c>
      <c r="O231" s="5"/>
      <c r="S231" s="6"/>
    </row>
    <row r="232" spans="1:22" customFormat="1" x14ac:dyDescent="0.45">
      <c r="A232">
        <v>126267</v>
      </c>
      <c r="B232" t="s">
        <v>16828</v>
      </c>
      <c r="C232" t="s">
        <v>16829</v>
      </c>
      <c r="D232">
        <v>2</v>
      </c>
      <c r="F232" s="124"/>
      <c r="G232" s="7">
        <v>0</v>
      </c>
      <c r="H232" s="7">
        <v>0</v>
      </c>
      <c r="I232" s="7">
        <v>0</v>
      </c>
      <c r="J232" s="7">
        <v>0</v>
      </c>
      <c r="K232" s="3">
        <f t="shared" si="8"/>
        <v>0</v>
      </c>
      <c r="L232" s="3"/>
      <c r="M232" s="3">
        <f t="shared" si="9"/>
        <v>0</v>
      </c>
      <c r="O232" s="5"/>
      <c r="S232" s="6"/>
    </row>
    <row r="233" spans="1:22" x14ac:dyDescent="0.45">
      <c r="A233" s="124">
        <v>402531</v>
      </c>
      <c r="B233" s="124" t="s">
        <v>16830</v>
      </c>
      <c r="C233" s="125" t="s">
        <v>16831</v>
      </c>
      <c r="D233" s="124">
        <v>3</v>
      </c>
      <c r="E233" s="124" t="s">
        <v>16417</v>
      </c>
      <c r="F233" s="126">
        <v>5.3E-3</v>
      </c>
      <c r="G233" s="126">
        <f>(3/2)%</f>
        <v>1.4999999999999999E-2</v>
      </c>
      <c r="H233" s="126">
        <f>((0.6+1.5)/2)/100</f>
        <v>1.0500000000000001E-2</v>
      </c>
      <c r="I233" s="127">
        <v>0</v>
      </c>
      <c r="J233" s="127">
        <v>0</v>
      </c>
      <c r="K233" s="126">
        <f t="shared" si="8"/>
        <v>2.5500000000000002E-2</v>
      </c>
      <c r="L233" s="9"/>
      <c r="M233" s="126">
        <f t="shared" si="9"/>
        <v>3.0800000000000001E-2</v>
      </c>
      <c r="N233" s="135"/>
      <c r="O233" s="125" t="s">
        <v>16760</v>
      </c>
      <c r="P233" s="125" t="s">
        <v>16823</v>
      </c>
      <c r="Q233" s="130">
        <v>64390152</v>
      </c>
      <c r="R233" s="130" t="s">
        <v>16348</v>
      </c>
      <c r="S233" s="130">
        <v>54399623</v>
      </c>
      <c r="T233" s="129">
        <f>S233/Q233</f>
        <v>0.84484383574680799</v>
      </c>
      <c r="U233" s="130" t="s">
        <v>16787</v>
      </c>
      <c r="V233" s="125" t="s">
        <v>16832</v>
      </c>
    </row>
    <row r="234" spans="1:22" customFormat="1" x14ac:dyDescent="0.45">
      <c r="A234">
        <v>126350</v>
      </c>
      <c r="B234" t="s">
        <v>16833</v>
      </c>
      <c r="C234" t="s">
        <v>16331</v>
      </c>
      <c r="D234">
        <v>1</v>
      </c>
      <c r="E234" t="s">
        <v>16331</v>
      </c>
      <c r="F234" s="124"/>
      <c r="G234" s="7">
        <v>0</v>
      </c>
      <c r="H234" s="7">
        <v>0</v>
      </c>
      <c r="I234" s="7">
        <v>0</v>
      </c>
      <c r="J234" s="7">
        <v>0</v>
      </c>
      <c r="K234" s="3">
        <f t="shared" si="8"/>
        <v>0</v>
      </c>
      <c r="L234" s="3"/>
      <c r="M234" s="3">
        <f t="shared" si="9"/>
        <v>0</v>
      </c>
      <c r="O234" s="5"/>
      <c r="S234" s="6"/>
    </row>
    <row r="235" spans="1:22" customFormat="1" x14ac:dyDescent="0.45">
      <c r="A235">
        <v>126368</v>
      </c>
      <c r="B235" t="s">
        <v>16834</v>
      </c>
      <c r="C235" t="s">
        <v>16835</v>
      </c>
      <c r="D235">
        <v>11</v>
      </c>
      <c r="F235" s="124"/>
      <c r="G235" s="7">
        <v>0</v>
      </c>
      <c r="H235" s="7">
        <v>0</v>
      </c>
      <c r="I235" s="7">
        <v>0</v>
      </c>
      <c r="J235" s="7">
        <v>0</v>
      </c>
      <c r="K235" s="3">
        <f t="shared" si="8"/>
        <v>0</v>
      </c>
      <c r="L235" s="3"/>
      <c r="M235" s="3">
        <f t="shared" si="9"/>
        <v>0</v>
      </c>
      <c r="O235" s="5"/>
      <c r="S235" s="6"/>
    </row>
    <row r="236" spans="1:22" customFormat="1" x14ac:dyDescent="0.45">
      <c r="A236">
        <v>126386</v>
      </c>
      <c r="B236" t="s">
        <v>16836</v>
      </c>
      <c r="C236" t="s">
        <v>16837</v>
      </c>
      <c r="D236">
        <v>2</v>
      </c>
      <c r="F236" s="124"/>
      <c r="G236" s="3">
        <v>0</v>
      </c>
      <c r="H236" s="3">
        <v>0</v>
      </c>
      <c r="I236" s="3">
        <v>0</v>
      </c>
      <c r="J236" s="3">
        <v>0</v>
      </c>
      <c r="K236" s="3">
        <f t="shared" si="8"/>
        <v>0</v>
      </c>
      <c r="L236" s="3"/>
      <c r="M236" s="3">
        <f t="shared" si="9"/>
        <v>0</v>
      </c>
      <c r="O236" s="5"/>
      <c r="S236" s="6"/>
    </row>
    <row r="237" spans="1:22" customFormat="1" x14ac:dyDescent="0.45">
      <c r="A237">
        <v>126457</v>
      </c>
      <c r="B237" t="s">
        <v>16838</v>
      </c>
      <c r="C237" t="s">
        <v>16331</v>
      </c>
      <c r="D237">
        <v>8</v>
      </c>
      <c r="E237" t="s">
        <v>16331</v>
      </c>
      <c r="F237" s="124"/>
      <c r="G237" s="7">
        <v>0</v>
      </c>
      <c r="H237" s="7">
        <v>0</v>
      </c>
      <c r="I237" s="7">
        <v>0</v>
      </c>
      <c r="J237" s="7">
        <v>0</v>
      </c>
      <c r="K237" s="3">
        <f t="shared" si="8"/>
        <v>0</v>
      </c>
      <c r="L237" s="3"/>
      <c r="M237" s="3">
        <f t="shared" si="9"/>
        <v>0</v>
      </c>
      <c r="O237" s="5"/>
      <c r="S237" s="6"/>
    </row>
    <row r="238" spans="1:22" customFormat="1" x14ac:dyDescent="0.45">
      <c r="A238">
        <v>126671</v>
      </c>
      <c r="B238" t="s">
        <v>16839</v>
      </c>
      <c r="C238" t="s">
        <v>16331</v>
      </c>
      <c r="D238">
        <v>0</v>
      </c>
      <c r="E238" t="s">
        <v>16331</v>
      </c>
      <c r="F238" s="124"/>
      <c r="G238" s="7">
        <v>0</v>
      </c>
      <c r="H238" s="7">
        <v>0</v>
      </c>
      <c r="I238" s="7">
        <v>0</v>
      </c>
      <c r="J238" s="7">
        <v>0</v>
      </c>
      <c r="K238" s="3">
        <f t="shared" si="8"/>
        <v>0</v>
      </c>
      <c r="L238" s="3"/>
      <c r="M238" s="3">
        <f t="shared" si="9"/>
        <v>0</v>
      </c>
      <c r="O238" s="5"/>
      <c r="S238" s="6"/>
    </row>
    <row r="239" spans="1:22" customFormat="1" x14ac:dyDescent="0.45">
      <c r="A239">
        <v>126673</v>
      </c>
      <c r="B239" t="s">
        <v>16840</v>
      </c>
      <c r="C239" t="s">
        <v>16841</v>
      </c>
      <c r="D239">
        <v>1</v>
      </c>
      <c r="F239" s="124"/>
      <c r="G239" s="7">
        <v>0</v>
      </c>
      <c r="H239" s="7">
        <v>0</v>
      </c>
      <c r="I239" s="7">
        <v>0</v>
      </c>
      <c r="J239" s="7">
        <v>0</v>
      </c>
      <c r="K239" s="3">
        <f t="shared" si="8"/>
        <v>0</v>
      </c>
      <c r="L239" s="3"/>
      <c r="M239" s="3">
        <f t="shared" si="9"/>
        <v>0</v>
      </c>
      <c r="O239" s="5"/>
      <c r="S239" s="6"/>
    </row>
    <row r="240" spans="1:22" customFormat="1" x14ac:dyDescent="0.45">
      <c r="A240">
        <v>126698</v>
      </c>
      <c r="B240" t="s">
        <v>16842</v>
      </c>
      <c r="C240" s="2" t="s">
        <v>16843</v>
      </c>
      <c r="D240">
        <v>1</v>
      </c>
      <c r="F240" s="125"/>
      <c r="G240" s="7">
        <v>0</v>
      </c>
      <c r="H240" s="7">
        <v>0</v>
      </c>
      <c r="I240" s="7">
        <v>0</v>
      </c>
      <c r="J240" s="7">
        <v>0</v>
      </c>
      <c r="K240" s="3">
        <f t="shared" si="8"/>
        <v>0</v>
      </c>
      <c r="L240" s="3"/>
      <c r="M240" s="3">
        <f t="shared" si="9"/>
        <v>0</v>
      </c>
      <c r="O240" s="5"/>
      <c r="S240" s="6"/>
    </row>
    <row r="241" spans="1:22" customFormat="1" x14ac:dyDescent="0.45">
      <c r="A241">
        <v>126714</v>
      </c>
      <c r="B241" t="s">
        <v>16844</v>
      </c>
      <c r="C241" t="s">
        <v>16845</v>
      </c>
      <c r="D241">
        <v>2</v>
      </c>
      <c r="F241" s="124"/>
      <c r="G241" s="7">
        <v>0</v>
      </c>
      <c r="H241" s="7">
        <v>0</v>
      </c>
      <c r="I241" s="7">
        <v>0</v>
      </c>
      <c r="J241" s="7">
        <v>0</v>
      </c>
      <c r="K241" s="3">
        <f t="shared" si="8"/>
        <v>0</v>
      </c>
      <c r="L241" s="3"/>
      <c r="M241" s="3">
        <f t="shared" si="9"/>
        <v>0</v>
      </c>
      <c r="O241" s="5"/>
      <c r="S241" s="6"/>
    </row>
    <row r="242" spans="1:22" x14ac:dyDescent="0.45">
      <c r="A242" s="124">
        <v>722703</v>
      </c>
      <c r="B242" s="124" t="s">
        <v>16846</v>
      </c>
      <c r="C242" s="125" t="s">
        <v>16847</v>
      </c>
      <c r="D242" s="124">
        <v>60</v>
      </c>
      <c r="E242" s="124" t="s">
        <v>16417</v>
      </c>
      <c r="F242" s="126">
        <v>5.3E-3</v>
      </c>
      <c r="G242" s="126">
        <f>(3/2)%</f>
        <v>1.4999999999999999E-2</v>
      </c>
      <c r="H242" s="126">
        <f>((0.6+1.5)/2)/100</f>
        <v>1.0500000000000001E-2</v>
      </c>
      <c r="I242" s="127">
        <v>0</v>
      </c>
      <c r="J242" s="127">
        <v>0</v>
      </c>
      <c r="K242" s="126">
        <f t="shared" si="8"/>
        <v>2.5500000000000002E-2</v>
      </c>
      <c r="L242" s="3"/>
      <c r="M242" s="126">
        <f t="shared" si="9"/>
        <v>3.0800000000000001E-2</v>
      </c>
      <c r="O242" s="125" t="s">
        <v>16760</v>
      </c>
      <c r="Q242" s="130">
        <v>64390152</v>
      </c>
      <c r="R242" s="130" t="s">
        <v>16348</v>
      </c>
      <c r="S242" s="130">
        <v>54399623</v>
      </c>
      <c r="T242" s="129">
        <f>S242/Q242</f>
        <v>0.84484383574680799</v>
      </c>
      <c r="U242" s="130"/>
      <c r="V242" s="125" t="s">
        <v>16832</v>
      </c>
    </row>
    <row r="243" spans="1:22" customFormat="1" x14ac:dyDescent="0.45">
      <c r="A243">
        <v>126791</v>
      </c>
      <c r="B243" t="s">
        <v>16848</v>
      </c>
      <c r="C243" t="s">
        <v>16849</v>
      </c>
      <c r="D243">
        <v>4</v>
      </c>
      <c r="F243" s="124"/>
      <c r="G243" s="3">
        <v>0</v>
      </c>
      <c r="H243" s="3">
        <v>0</v>
      </c>
      <c r="I243" s="3">
        <v>0</v>
      </c>
      <c r="J243" s="3">
        <v>0</v>
      </c>
      <c r="K243" s="3">
        <f t="shared" si="8"/>
        <v>0</v>
      </c>
      <c r="L243" s="3"/>
      <c r="M243" s="3">
        <f t="shared" si="9"/>
        <v>0</v>
      </c>
      <c r="O243" s="5"/>
      <c r="S243" s="6"/>
    </row>
    <row r="244" spans="1:22" x14ac:dyDescent="0.45">
      <c r="A244" s="124">
        <v>138197</v>
      </c>
      <c r="B244" s="124" t="s">
        <v>16850</v>
      </c>
      <c r="C244" s="125" t="s">
        <v>16851</v>
      </c>
      <c r="D244" s="124">
        <v>3</v>
      </c>
      <c r="E244" s="124" t="s">
        <v>16334</v>
      </c>
      <c r="F244" s="126">
        <v>1.6999999999999999E-3</v>
      </c>
      <c r="G244" s="126">
        <f>(3/2)%</f>
        <v>1.4999999999999999E-2</v>
      </c>
      <c r="H244" s="126">
        <f>((0.6+1.5)/2)/100</f>
        <v>1.0500000000000001E-2</v>
      </c>
      <c r="I244" s="127">
        <v>0</v>
      </c>
      <c r="J244" s="127">
        <v>0</v>
      </c>
      <c r="K244" s="126">
        <f t="shared" si="8"/>
        <v>2.5500000000000002E-2</v>
      </c>
      <c r="L244" s="3"/>
      <c r="M244" s="126">
        <f t="shared" si="9"/>
        <v>2.7200000000000002E-2</v>
      </c>
      <c r="N244" s="124" t="s">
        <v>16852</v>
      </c>
      <c r="O244" s="125" t="s">
        <v>16760</v>
      </c>
      <c r="P244" s="128" t="s">
        <v>26918</v>
      </c>
      <c r="Q244" s="130">
        <v>379505</v>
      </c>
      <c r="R244" s="124" t="s">
        <v>16348</v>
      </c>
      <c r="S244" s="130">
        <v>370452</v>
      </c>
      <c r="T244" s="129">
        <f>S244/Q244</f>
        <v>0.97614524182817086</v>
      </c>
      <c r="V244" s="125" t="s">
        <v>16853</v>
      </c>
    </row>
    <row r="245" spans="1:22" customFormat="1" x14ac:dyDescent="0.45">
      <c r="A245">
        <v>131243</v>
      </c>
      <c r="B245" t="s">
        <v>16854</v>
      </c>
      <c r="C245" t="s">
        <v>16855</v>
      </c>
      <c r="D245">
        <v>0</v>
      </c>
      <c r="E245" t="s">
        <v>16334</v>
      </c>
      <c r="F245" s="124"/>
      <c r="G245" s="7">
        <v>0</v>
      </c>
      <c r="H245" s="7">
        <v>0</v>
      </c>
      <c r="I245" s="7">
        <v>0</v>
      </c>
      <c r="J245" s="7">
        <v>0</v>
      </c>
      <c r="K245" s="3">
        <f t="shared" si="8"/>
        <v>0</v>
      </c>
      <c r="L245" s="3"/>
      <c r="M245" s="3">
        <f t="shared" si="9"/>
        <v>0</v>
      </c>
      <c r="O245" s="5"/>
      <c r="S245" s="6"/>
    </row>
    <row r="246" spans="1:22" customFormat="1" x14ac:dyDescent="0.45">
      <c r="A246">
        <v>131250</v>
      </c>
      <c r="B246" t="s">
        <v>16856</v>
      </c>
      <c r="C246" t="s">
        <v>16857</v>
      </c>
      <c r="D246">
        <v>1</v>
      </c>
      <c r="F246" s="124"/>
      <c r="G246" s="7">
        <v>0</v>
      </c>
      <c r="H246" s="7">
        <v>0</v>
      </c>
      <c r="I246" s="7">
        <v>0</v>
      </c>
      <c r="J246" s="7">
        <v>0</v>
      </c>
      <c r="K246" s="3">
        <f t="shared" si="8"/>
        <v>0</v>
      </c>
      <c r="L246" s="3"/>
      <c r="M246" s="3">
        <f t="shared" si="9"/>
        <v>0</v>
      </c>
      <c r="O246" s="5"/>
      <c r="S246" s="6"/>
    </row>
    <row r="247" spans="1:22" customFormat="1" x14ac:dyDescent="0.45">
      <c r="A247">
        <v>131355</v>
      </c>
      <c r="B247" t="s">
        <v>16858</v>
      </c>
      <c r="C247" t="s">
        <v>16859</v>
      </c>
      <c r="D247">
        <v>5</v>
      </c>
      <c r="F247" s="124"/>
      <c r="K247" s="3">
        <f t="shared" si="8"/>
        <v>0</v>
      </c>
      <c r="L247" s="3"/>
      <c r="M247" s="3">
        <f t="shared" si="9"/>
        <v>0</v>
      </c>
      <c r="O247" s="5"/>
      <c r="S247" s="6"/>
    </row>
    <row r="248" spans="1:22" customFormat="1" x14ac:dyDescent="0.45">
      <c r="A248">
        <v>131366</v>
      </c>
      <c r="B248" t="s">
        <v>16860</v>
      </c>
      <c r="C248" t="s">
        <v>16861</v>
      </c>
      <c r="D248">
        <v>2</v>
      </c>
      <c r="F248" s="124"/>
      <c r="G248" s="7">
        <v>0</v>
      </c>
      <c r="H248" s="7">
        <v>0</v>
      </c>
      <c r="I248" s="7">
        <v>0</v>
      </c>
      <c r="J248" s="7">
        <v>0</v>
      </c>
      <c r="K248" s="3">
        <f t="shared" si="8"/>
        <v>0</v>
      </c>
      <c r="L248" s="3"/>
      <c r="M248" s="3">
        <f t="shared" si="9"/>
        <v>0</v>
      </c>
      <c r="N248" s="7"/>
      <c r="O248" s="5"/>
      <c r="S248" s="6"/>
    </row>
    <row r="249" spans="1:22" customFormat="1" x14ac:dyDescent="0.45">
      <c r="A249">
        <v>131372</v>
      </c>
      <c r="B249" t="s">
        <v>16862</v>
      </c>
      <c r="C249" t="s">
        <v>16331</v>
      </c>
      <c r="D249">
        <v>1</v>
      </c>
      <c r="E249" t="s">
        <v>16331</v>
      </c>
      <c r="F249" s="124"/>
      <c r="G249" s="7">
        <v>0</v>
      </c>
      <c r="H249" s="7">
        <v>0</v>
      </c>
      <c r="I249" s="7">
        <v>0</v>
      </c>
      <c r="J249" s="7">
        <v>0</v>
      </c>
      <c r="K249" s="3">
        <f t="shared" si="8"/>
        <v>0</v>
      </c>
      <c r="L249" s="3"/>
      <c r="M249" s="3">
        <f t="shared" si="9"/>
        <v>0</v>
      </c>
      <c r="N249" s="7"/>
      <c r="O249" s="5"/>
      <c r="S249" s="6"/>
    </row>
    <row r="250" spans="1:22" customFormat="1" x14ac:dyDescent="0.45">
      <c r="A250">
        <v>131446</v>
      </c>
      <c r="B250" t="s">
        <v>16863</v>
      </c>
      <c r="C250" t="s">
        <v>16864</v>
      </c>
      <c r="D250">
        <v>5</v>
      </c>
      <c r="F250" s="124"/>
      <c r="G250" s="7">
        <v>0</v>
      </c>
      <c r="H250" s="7">
        <v>0</v>
      </c>
      <c r="I250" s="7">
        <v>0</v>
      </c>
      <c r="J250" s="7">
        <v>0</v>
      </c>
      <c r="K250" s="3">
        <f t="shared" si="8"/>
        <v>0</v>
      </c>
      <c r="L250" s="3"/>
      <c r="M250" s="3">
        <f t="shared" si="9"/>
        <v>0</v>
      </c>
      <c r="O250" s="5"/>
      <c r="S250" s="6"/>
    </row>
    <row r="251" spans="1:22" x14ac:dyDescent="0.45">
      <c r="A251" s="124">
        <v>521077</v>
      </c>
      <c r="B251" s="124" t="s">
        <v>16865</v>
      </c>
      <c r="C251" s="125" t="s">
        <v>16866</v>
      </c>
      <c r="D251" s="124">
        <v>3</v>
      </c>
      <c r="E251" s="124" t="s">
        <v>16334</v>
      </c>
      <c r="F251" s="126">
        <v>1.6999999999999999E-3</v>
      </c>
      <c r="G251" s="126">
        <v>0.02</v>
      </c>
      <c r="H251" s="126"/>
      <c r="I251" s="127"/>
      <c r="J251" s="127"/>
      <c r="K251" s="126">
        <f t="shared" si="8"/>
        <v>0.02</v>
      </c>
      <c r="L251" s="3"/>
      <c r="M251" s="126">
        <f t="shared" si="9"/>
        <v>2.1700000000000001E-2</v>
      </c>
      <c r="O251" s="131" t="s">
        <v>16867</v>
      </c>
      <c r="P251" s="128" t="s">
        <v>26918</v>
      </c>
      <c r="Q251" s="130">
        <f>766100+11751</f>
        <v>777851</v>
      </c>
      <c r="R251" s="124" t="s">
        <v>16348</v>
      </c>
      <c r="S251" s="132">
        <v>633637</v>
      </c>
      <c r="T251" s="129">
        <f>S251/Q251</f>
        <v>0.81459945413710333</v>
      </c>
      <c r="V251" s="125" t="s">
        <v>16868</v>
      </c>
    </row>
    <row r="252" spans="1:22" customFormat="1" x14ac:dyDescent="0.45">
      <c r="A252">
        <v>131520</v>
      </c>
      <c r="B252" t="s">
        <v>16869</v>
      </c>
      <c r="C252" t="s">
        <v>16331</v>
      </c>
      <c r="D252">
        <v>1</v>
      </c>
      <c r="E252" t="s">
        <v>16331</v>
      </c>
      <c r="F252" s="124"/>
      <c r="G252" s="7">
        <v>0</v>
      </c>
      <c r="H252" s="7">
        <v>0</v>
      </c>
      <c r="I252" s="7">
        <v>0</v>
      </c>
      <c r="J252" s="7">
        <v>0</v>
      </c>
      <c r="K252" s="3">
        <f t="shared" si="8"/>
        <v>0</v>
      </c>
      <c r="L252" s="3"/>
      <c r="M252" s="3">
        <f t="shared" si="9"/>
        <v>0</v>
      </c>
      <c r="O252" s="5"/>
      <c r="S252" s="6"/>
    </row>
    <row r="253" spans="1:22" customFormat="1" x14ac:dyDescent="0.45">
      <c r="A253">
        <v>131526</v>
      </c>
      <c r="B253" t="s">
        <v>16870</v>
      </c>
      <c r="C253" t="s">
        <v>16871</v>
      </c>
      <c r="D253">
        <v>1</v>
      </c>
      <c r="F253" s="124"/>
      <c r="G253" s="7">
        <v>0</v>
      </c>
      <c r="H253" s="7">
        <v>0</v>
      </c>
      <c r="I253" s="7">
        <v>0</v>
      </c>
      <c r="J253" s="7">
        <v>0</v>
      </c>
      <c r="K253" s="3">
        <f t="shared" si="8"/>
        <v>0</v>
      </c>
      <c r="L253" s="3"/>
      <c r="M253" s="3">
        <f t="shared" si="9"/>
        <v>0</v>
      </c>
      <c r="O253" s="5"/>
      <c r="S253" s="6"/>
    </row>
    <row r="254" spans="1:22" customFormat="1" x14ac:dyDescent="0.45">
      <c r="A254">
        <v>131528</v>
      </c>
      <c r="B254" t="s">
        <v>16872</v>
      </c>
      <c r="C254" t="s">
        <v>16873</v>
      </c>
      <c r="D254">
        <v>1</v>
      </c>
      <c r="F254" s="124"/>
      <c r="G254" s="3">
        <v>0</v>
      </c>
      <c r="H254" s="3">
        <v>0</v>
      </c>
      <c r="I254" s="3">
        <v>0</v>
      </c>
      <c r="J254" s="3">
        <v>0</v>
      </c>
      <c r="K254" s="3">
        <f t="shared" ref="K254:K278" si="10">SUM(G254:J254)</f>
        <v>0</v>
      </c>
      <c r="L254" s="3"/>
      <c r="M254" s="3">
        <f t="shared" ref="M254:M278" si="11">K254+F254</f>
        <v>0</v>
      </c>
      <c r="O254" s="5"/>
      <c r="S254" s="6"/>
    </row>
    <row r="255" spans="1:22" customFormat="1" x14ac:dyDescent="0.45">
      <c r="A255">
        <v>131541</v>
      </c>
      <c r="B255" t="s">
        <v>16874</v>
      </c>
      <c r="C255" t="s">
        <v>16331</v>
      </c>
      <c r="D255">
        <v>1</v>
      </c>
      <c r="E255" t="s">
        <v>16331</v>
      </c>
      <c r="F255" s="124"/>
      <c r="G255" s="7">
        <v>0</v>
      </c>
      <c r="H255" s="7">
        <v>0</v>
      </c>
      <c r="I255" s="7">
        <v>0</v>
      </c>
      <c r="J255" s="7">
        <v>0</v>
      </c>
      <c r="K255" s="3">
        <f t="shared" si="10"/>
        <v>0</v>
      </c>
      <c r="L255" s="3"/>
      <c r="M255" s="3">
        <f t="shared" si="11"/>
        <v>0</v>
      </c>
      <c r="O255" s="5"/>
      <c r="S255" s="6"/>
    </row>
    <row r="256" spans="1:22" customFormat="1" x14ac:dyDescent="0.45">
      <c r="A256">
        <v>131560</v>
      </c>
      <c r="B256" t="s">
        <v>16875</v>
      </c>
      <c r="C256" t="s">
        <v>16876</v>
      </c>
      <c r="D256">
        <v>1</v>
      </c>
      <c r="F256" s="124"/>
      <c r="G256" s="7">
        <v>0</v>
      </c>
      <c r="H256" s="7">
        <v>0</v>
      </c>
      <c r="I256" s="7">
        <v>0</v>
      </c>
      <c r="J256" s="7">
        <v>0</v>
      </c>
      <c r="K256" s="3">
        <f t="shared" si="10"/>
        <v>0</v>
      </c>
      <c r="L256" s="3"/>
      <c r="M256" s="3">
        <f t="shared" si="11"/>
        <v>0</v>
      </c>
      <c r="O256" s="5"/>
      <c r="S256" s="6"/>
    </row>
    <row r="257" spans="1:22" customFormat="1" x14ac:dyDescent="0.45">
      <c r="A257">
        <v>131596</v>
      </c>
      <c r="B257" t="s">
        <v>16877</v>
      </c>
      <c r="C257" t="s">
        <v>16331</v>
      </c>
      <c r="D257">
        <v>4</v>
      </c>
      <c r="E257" t="s">
        <v>16331</v>
      </c>
      <c r="F257" s="124"/>
      <c r="G257" s="7">
        <v>0</v>
      </c>
      <c r="H257" s="7">
        <v>0</v>
      </c>
      <c r="I257" s="7">
        <v>0</v>
      </c>
      <c r="J257" s="7">
        <v>0</v>
      </c>
      <c r="K257" s="3">
        <f t="shared" si="10"/>
        <v>0</v>
      </c>
      <c r="L257" s="3"/>
      <c r="M257" s="3">
        <f t="shared" si="11"/>
        <v>0</v>
      </c>
      <c r="O257" s="5"/>
      <c r="S257" s="6"/>
    </row>
    <row r="258" spans="1:22" customFormat="1" x14ac:dyDescent="0.45">
      <c r="A258">
        <v>131690</v>
      </c>
      <c r="B258" t="s">
        <v>16878</v>
      </c>
      <c r="C258" t="s">
        <v>16879</v>
      </c>
      <c r="D258">
        <v>4</v>
      </c>
      <c r="F258" s="124"/>
      <c r="G258" s="7">
        <v>0</v>
      </c>
      <c r="H258" s="7">
        <v>0</v>
      </c>
      <c r="I258" s="7">
        <v>0</v>
      </c>
      <c r="J258" s="7">
        <v>0</v>
      </c>
      <c r="K258" s="3">
        <f t="shared" si="10"/>
        <v>0</v>
      </c>
      <c r="L258" s="3"/>
      <c r="M258" s="3">
        <f t="shared" si="11"/>
        <v>0</v>
      </c>
      <c r="O258" s="5"/>
      <c r="S258" s="6"/>
    </row>
    <row r="259" spans="1:22" x14ac:dyDescent="0.45">
      <c r="A259" s="124">
        <v>998007</v>
      </c>
      <c r="B259" s="124" t="s">
        <v>16880</v>
      </c>
      <c r="C259" s="125" t="s">
        <v>16881</v>
      </c>
      <c r="D259" s="124">
        <v>1</v>
      </c>
      <c r="E259" s="124" t="s">
        <v>16334</v>
      </c>
      <c r="F259" s="126">
        <v>1.6999999999999999E-3</v>
      </c>
      <c r="G259" s="126">
        <v>0.01</v>
      </c>
      <c r="H259" s="126">
        <v>0.02</v>
      </c>
      <c r="I259" s="127"/>
      <c r="J259" s="127"/>
      <c r="K259" s="126">
        <f t="shared" si="10"/>
        <v>0.03</v>
      </c>
      <c r="L259" s="3"/>
      <c r="M259" s="126">
        <f t="shared" si="11"/>
        <v>3.1699999999999999E-2</v>
      </c>
      <c r="O259" s="131" t="s">
        <v>16882</v>
      </c>
      <c r="P259" s="128" t="s">
        <v>26918</v>
      </c>
      <c r="Q259" s="130">
        <f>26174+131</f>
        <v>26305</v>
      </c>
      <c r="R259" s="124" t="s">
        <v>16348</v>
      </c>
      <c r="S259" s="132">
        <v>23352</v>
      </c>
      <c r="T259" s="129">
        <f>S259/Q259</f>
        <v>0.8877399733890895</v>
      </c>
      <c r="V259" s="125" t="s">
        <v>16883</v>
      </c>
    </row>
    <row r="260" spans="1:22" customFormat="1" x14ac:dyDescent="0.45">
      <c r="A260">
        <v>131794</v>
      </c>
      <c r="B260" t="s">
        <v>16884</v>
      </c>
      <c r="C260" t="s">
        <v>16885</v>
      </c>
      <c r="D260">
        <v>1</v>
      </c>
      <c r="F260" s="124"/>
      <c r="G260" s="3">
        <v>0</v>
      </c>
      <c r="H260" s="3">
        <v>0</v>
      </c>
      <c r="I260" s="3">
        <v>0</v>
      </c>
      <c r="J260" s="3">
        <v>0</v>
      </c>
      <c r="K260" s="3">
        <f t="shared" si="10"/>
        <v>0</v>
      </c>
      <c r="L260" s="3"/>
      <c r="M260" s="3">
        <f t="shared" si="11"/>
        <v>0</v>
      </c>
      <c r="O260" s="5"/>
      <c r="S260" s="6"/>
    </row>
    <row r="261" spans="1:22" x14ac:dyDescent="0.45">
      <c r="A261" s="124">
        <v>514951</v>
      </c>
      <c r="B261" s="124" t="s">
        <v>16886</v>
      </c>
      <c r="C261" s="125" t="s">
        <v>16887</v>
      </c>
      <c r="D261" s="124">
        <v>39</v>
      </c>
      <c r="E261" s="124" t="s">
        <v>16334</v>
      </c>
      <c r="F261" s="126">
        <v>1.6999999999999999E-3</v>
      </c>
      <c r="G261" s="126">
        <v>0.03</v>
      </c>
      <c r="H261" s="126">
        <v>0.01</v>
      </c>
      <c r="I261" s="127"/>
      <c r="J261" s="127"/>
      <c r="K261" s="126">
        <f t="shared" si="10"/>
        <v>0.04</v>
      </c>
      <c r="L261" s="3"/>
      <c r="M261" s="126">
        <f t="shared" si="11"/>
        <v>4.1700000000000001E-2</v>
      </c>
      <c r="O261" s="131" t="s">
        <v>16888</v>
      </c>
      <c r="P261" s="128" t="s">
        <v>26918</v>
      </c>
      <c r="Q261" s="130">
        <f>1281549+1029502</f>
        <v>2311051</v>
      </c>
      <c r="R261" s="124" t="s">
        <v>16348</v>
      </c>
      <c r="S261" s="132">
        <v>1227490</v>
      </c>
      <c r="T261" s="129">
        <f>S261/Q261</f>
        <v>0.5311392954980223</v>
      </c>
      <c r="V261" s="125" t="s">
        <v>16889</v>
      </c>
    </row>
    <row r="262" spans="1:22" x14ac:dyDescent="0.45">
      <c r="A262" s="124">
        <v>692441</v>
      </c>
      <c r="B262" s="124" t="s">
        <v>16890</v>
      </c>
      <c r="C262" s="125" t="s">
        <v>16891</v>
      </c>
      <c r="D262" s="124">
        <v>2</v>
      </c>
      <c r="E262" s="124" t="s">
        <v>16334</v>
      </c>
      <c r="F262" s="126">
        <v>1.6999999999999999E-3</v>
      </c>
      <c r="G262" s="126">
        <v>0.03</v>
      </c>
      <c r="H262" s="126">
        <v>0.01</v>
      </c>
      <c r="I262" s="127">
        <v>0</v>
      </c>
      <c r="J262" s="127">
        <v>0</v>
      </c>
      <c r="K262" s="126">
        <f t="shared" si="10"/>
        <v>0.04</v>
      </c>
      <c r="L262" s="3"/>
      <c r="M262" s="126">
        <f t="shared" si="11"/>
        <v>4.1700000000000001E-2</v>
      </c>
      <c r="O262" s="131" t="s">
        <v>16892</v>
      </c>
      <c r="P262" s="128" t="s">
        <v>26918</v>
      </c>
      <c r="Q262" s="124">
        <f>487598+46875</f>
        <v>534473</v>
      </c>
      <c r="R262" s="124" t="s">
        <v>16348</v>
      </c>
      <c r="S262" s="132">
        <v>475098</v>
      </c>
      <c r="T262" s="129">
        <f>S262/Q262</f>
        <v>0.88890926202071952</v>
      </c>
      <c r="V262" s="125" t="s">
        <v>16893</v>
      </c>
    </row>
    <row r="263" spans="1:22" customFormat="1" x14ac:dyDescent="0.45">
      <c r="A263">
        <v>133473</v>
      </c>
      <c r="B263" t="s">
        <v>16894</v>
      </c>
      <c r="C263" t="s">
        <v>16895</v>
      </c>
      <c r="D263">
        <v>1</v>
      </c>
      <c r="F263" s="124"/>
      <c r="K263" s="3">
        <f t="shared" si="10"/>
        <v>0</v>
      </c>
      <c r="L263" s="3"/>
      <c r="M263" s="3">
        <f t="shared" si="11"/>
        <v>0</v>
      </c>
      <c r="O263" s="5"/>
      <c r="S263" s="6"/>
    </row>
    <row r="264" spans="1:22" customFormat="1" x14ac:dyDescent="0.45">
      <c r="A264">
        <v>133515</v>
      </c>
      <c r="B264" t="s">
        <v>16896</v>
      </c>
      <c r="C264" s="2" t="s">
        <v>16897</v>
      </c>
      <c r="D264">
        <v>5</v>
      </c>
      <c r="F264" s="125"/>
      <c r="G264" s="3">
        <v>0</v>
      </c>
      <c r="H264" s="3">
        <v>0</v>
      </c>
      <c r="I264" s="3">
        <v>0</v>
      </c>
      <c r="J264" s="3">
        <v>0</v>
      </c>
      <c r="K264" s="3">
        <f t="shared" si="10"/>
        <v>0</v>
      </c>
      <c r="L264" s="3"/>
      <c r="M264" s="3">
        <f t="shared" si="11"/>
        <v>0</v>
      </c>
      <c r="O264" s="5"/>
      <c r="S264" s="6"/>
    </row>
    <row r="265" spans="1:22" customFormat="1" x14ac:dyDescent="0.45">
      <c r="A265">
        <v>133693</v>
      </c>
      <c r="B265" t="s">
        <v>16898</v>
      </c>
      <c r="C265" t="s">
        <v>16899</v>
      </c>
      <c r="D265">
        <v>1</v>
      </c>
      <c r="F265" s="124"/>
      <c r="K265" s="3">
        <f t="shared" si="10"/>
        <v>0</v>
      </c>
      <c r="L265" s="3"/>
      <c r="M265" s="3">
        <f t="shared" si="11"/>
        <v>0</v>
      </c>
      <c r="O265" s="5"/>
      <c r="S265" s="6"/>
    </row>
    <row r="266" spans="1:22" customFormat="1" x14ac:dyDescent="0.45">
      <c r="A266">
        <v>133776</v>
      </c>
      <c r="B266" t="s">
        <v>16900</v>
      </c>
      <c r="C266" t="s">
        <v>16331</v>
      </c>
      <c r="D266">
        <v>0</v>
      </c>
      <c r="E266" t="s">
        <v>16331</v>
      </c>
      <c r="F266" s="124"/>
      <c r="G266" s="7">
        <v>0</v>
      </c>
      <c r="H266" s="7">
        <v>0</v>
      </c>
      <c r="I266" s="7">
        <v>0</v>
      </c>
      <c r="J266" s="7">
        <v>0</v>
      </c>
      <c r="K266" s="3">
        <f t="shared" si="10"/>
        <v>0</v>
      </c>
      <c r="L266" s="3"/>
      <c r="M266" s="3">
        <f t="shared" si="11"/>
        <v>0</v>
      </c>
      <c r="O266" s="5"/>
      <c r="S266" s="6"/>
    </row>
    <row r="267" spans="1:22" customFormat="1" x14ac:dyDescent="0.45">
      <c r="A267">
        <v>133851</v>
      </c>
      <c r="B267" t="s">
        <v>16901</v>
      </c>
      <c r="C267" t="s">
        <v>16902</v>
      </c>
      <c r="D267">
        <v>2</v>
      </c>
      <c r="F267" s="124"/>
      <c r="G267" s="3">
        <v>0</v>
      </c>
      <c r="H267" s="3">
        <v>0</v>
      </c>
      <c r="I267" s="3">
        <v>0</v>
      </c>
      <c r="J267" s="3">
        <v>0</v>
      </c>
      <c r="K267" s="3">
        <f t="shared" si="10"/>
        <v>0</v>
      </c>
      <c r="L267" s="3"/>
      <c r="M267" s="3">
        <f t="shared" si="11"/>
        <v>0</v>
      </c>
      <c r="O267" s="5"/>
      <c r="S267" s="6"/>
    </row>
    <row r="268" spans="1:22" customFormat="1" x14ac:dyDescent="0.45">
      <c r="A268">
        <v>133893</v>
      </c>
      <c r="B268" t="s">
        <v>16903</v>
      </c>
      <c r="C268" s="27" t="s">
        <v>16904</v>
      </c>
      <c r="D268">
        <v>10</v>
      </c>
      <c r="F268" s="152"/>
      <c r="G268" s="7">
        <v>0</v>
      </c>
      <c r="H268" s="7">
        <v>0</v>
      </c>
      <c r="I268" s="7">
        <v>0</v>
      </c>
      <c r="J268" s="7">
        <v>0</v>
      </c>
      <c r="K268" s="3">
        <f t="shared" si="10"/>
        <v>0</v>
      </c>
      <c r="L268" s="3"/>
      <c r="M268" s="3">
        <f t="shared" si="11"/>
        <v>0</v>
      </c>
      <c r="O268" s="5"/>
      <c r="S268" s="6"/>
    </row>
    <row r="269" spans="1:22" customFormat="1" x14ac:dyDescent="0.45">
      <c r="A269">
        <v>133946</v>
      </c>
      <c r="B269" t="s">
        <v>16905</v>
      </c>
      <c r="C269" t="s">
        <v>16331</v>
      </c>
      <c r="D269">
        <v>1</v>
      </c>
      <c r="E269" t="s">
        <v>16331</v>
      </c>
      <c r="F269" s="124"/>
      <c r="G269" s="7">
        <v>0</v>
      </c>
      <c r="H269" s="7">
        <v>0</v>
      </c>
      <c r="I269" s="7">
        <v>0</v>
      </c>
      <c r="J269" s="7">
        <v>0</v>
      </c>
      <c r="K269" s="3">
        <f t="shared" si="10"/>
        <v>0</v>
      </c>
      <c r="L269" s="3"/>
      <c r="M269" s="3">
        <f t="shared" si="11"/>
        <v>0</v>
      </c>
      <c r="N269" s="7"/>
      <c r="O269" s="5"/>
      <c r="S269" s="6"/>
    </row>
    <row r="270" spans="1:22" customFormat="1" x14ac:dyDescent="0.45">
      <c r="A270">
        <v>134188</v>
      </c>
      <c r="B270" t="s">
        <v>16906</v>
      </c>
      <c r="C270" t="s">
        <v>16907</v>
      </c>
      <c r="D270">
        <v>3</v>
      </c>
      <c r="F270" s="124"/>
      <c r="G270" s="7">
        <v>0</v>
      </c>
      <c r="H270" s="7">
        <v>0</v>
      </c>
      <c r="I270" s="7">
        <v>0</v>
      </c>
      <c r="J270" s="7">
        <v>0</v>
      </c>
      <c r="K270" s="3">
        <f t="shared" si="10"/>
        <v>0</v>
      </c>
      <c r="L270" s="3"/>
      <c r="M270" s="3">
        <f t="shared" si="11"/>
        <v>0</v>
      </c>
      <c r="N270" s="7"/>
      <c r="O270" s="5"/>
      <c r="S270" s="6"/>
    </row>
    <row r="271" spans="1:22" customFormat="1" x14ac:dyDescent="0.45">
      <c r="A271">
        <v>134276</v>
      </c>
      <c r="B271" t="s">
        <v>16908</v>
      </c>
      <c r="C271" t="s">
        <v>16909</v>
      </c>
      <c r="D271">
        <v>1</v>
      </c>
      <c r="F271" s="124"/>
      <c r="G271" s="7">
        <v>0</v>
      </c>
      <c r="H271" s="7">
        <v>0</v>
      </c>
      <c r="I271" s="7">
        <v>0</v>
      </c>
      <c r="J271" s="7">
        <v>0</v>
      </c>
      <c r="K271" s="3">
        <f t="shared" si="10"/>
        <v>0</v>
      </c>
      <c r="L271" s="3"/>
      <c r="M271" s="3">
        <f t="shared" si="11"/>
        <v>0</v>
      </c>
      <c r="O271" s="5"/>
      <c r="S271" s="6"/>
    </row>
    <row r="272" spans="1:22" customFormat="1" x14ac:dyDescent="0.45">
      <c r="A272">
        <v>134344</v>
      </c>
      <c r="B272" t="s">
        <v>16910</v>
      </c>
      <c r="C272" s="2" t="s">
        <v>16911</v>
      </c>
      <c r="D272">
        <v>1</v>
      </c>
      <c r="F272" s="124"/>
      <c r="G272" s="7">
        <v>0</v>
      </c>
      <c r="H272" s="7">
        <v>0</v>
      </c>
      <c r="I272" s="7">
        <v>0</v>
      </c>
      <c r="J272" s="7">
        <v>0</v>
      </c>
      <c r="K272" s="3">
        <f t="shared" si="10"/>
        <v>0</v>
      </c>
      <c r="L272" s="3"/>
      <c r="M272" s="3">
        <f t="shared" si="11"/>
        <v>0</v>
      </c>
      <c r="O272" s="5"/>
      <c r="S272" s="6"/>
    </row>
    <row r="273" spans="1:24" customFormat="1" x14ac:dyDescent="0.45">
      <c r="A273">
        <v>134430</v>
      </c>
      <c r="B273" t="s">
        <v>16912</v>
      </c>
      <c r="C273" t="s">
        <v>16913</v>
      </c>
      <c r="D273">
        <v>0</v>
      </c>
      <c r="E273" t="s">
        <v>16914</v>
      </c>
      <c r="F273" s="124"/>
      <c r="G273" s="7">
        <v>0</v>
      </c>
      <c r="H273" s="7">
        <v>0</v>
      </c>
      <c r="I273" s="7">
        <v>0</v>
      </c>
      <c r="J273" s="7">
        <v>0</v>
      </c>
      <c r="K273" s="3">
        <f t="shared" si="10"/>
        <v>0</v>
      </c>
      <c r="L273" s="3"/>
      <c r="M273" s="3">
        <f t="shared" si="11"/>
        <v>0</v>
      </c>
      <c r="O273" s="5"/>
      <c r="S273" s="6"/>
    </row>
    <row r="274" spans="1:24" x14ac:dyDescent="0.45">
      <c r="A274" s="124">
        <v>188640</v>
      </c>
      <c r="B274" s="124" t="s">
        <v>16915</v>
      </c>
      <c r="C274" s="125" t="s">
        <v>16916</v>
      </c>
      <c r="D274" s="124">
        <v>10</v>
      </c>
      <c r="E274" s="124" t="s">
        <v>16334</v>
      </c>
      <c r="F274" s="126">
        <v>1.6999999999999999E-3</v>
      </c>
      <c r="G274" s="126"/>
      <c r="H274" s="126"/>
      <c r="I274" s="127">
        <v>0.03</v>
      </c>
      <c r="J274" s="127">
        <v>0.01</v>
      </c>
      <c r="K274" s="126">
        <f t="shared" si="10"/>
        <v>0.04</v>
      </c>
      <c r="L274" s="3"/>
      <c r="M274" s="126">
        <f t="shared" si="11"/>
        <v>4.1700000000000001E-2</v>
      </c>
      <c r="O274" s="125" t="s">
        <v>16917</v>
      </c>
      <c r="P274" s="128" t="s">
        <v>26918</v>
      </c>
      <c r="Q274" s="130">
        <f>93126+88901</f>
        <v>182027</v>
      </c>
      <c r="R274" s="124" t="s">
        <v>16348</v>
      </c>
      <c r="S274" s="130">
        <v>93126</v>
      </c>
      <c r="T274" s="129">
        <f>S274/Q274</f>
        <v>0.51160542117378194</v>
      </c>
      <c r="V274" s="125" t="s">
        <v>16918</v>
      </c>
    </row>
    <row r="275" spans="1:24" customFormat="1" x14ac:dyDescent="0.45">
      <c r="A275">
        <v>134665</v>
      </c>
      <c r="B275" t="s">
        <v>16919</v>
      </c>
      <c r="C275" s="2" t="s">
        <v>16920</v>
      </c>
      <c r="D275">
        <v>2</v>
      </c>
      <c r="F275" s="124"/>
      <c r="G275" s="7">
        <v>0</v>
      </c>
      <c r="H275" s="7">
        <v>0</v>
      </c>
      <c r="I275" s="7">
        <v>0</v>
      </c>
      <c r="J275" s="7">
        <v>0</v>
      </c>
      <c r="K275" s="3">
        <f t="shared" si="10"/>
        <v>0</v>
      </c>
      <c r="L275" s="3"/>
      <c r="M275" s="3">
        <f t="shared" si="11"/>
        <v>0</v>
      </c>
      <c r="O275" s="5"/>
      <c r="S275" s="6"/>
    </row>
    <row r="276" spans="1:24" customFormat="1" x14ac:dyDescent="0.45">
      <c r="A276">
        <v>134672</v>
      </c>
      <c r="B276" t="s">
        <v>16921</v>
      </c>
      <c r="C276" s="2" t="s">
        <v>16922</v>
      </c>
      <c r="D276">
        <v>1</v>
      </c>
      <c r="F276" s="124"/>
      <c r="G276" s="7">
        <v>0</v>
      </c>
      <c r="H276" s="7">
        <v>0</v>
      </c>
      <c r="I276" s="7">
        <v>0</v>
      </c>
      <c r="J276" s="7">
        <v>0</v>
      </c>
      <c r="K276" s="3">
        <f t="shared" si="10"/>
        <v>0</v>
      </c>
      <c r="L276" s="3"/>
      <c r="M276" s="3">
        <f t="shared" si="11"/>
        <v>0</v>
      </c>
      <c r="O276" s="5"/>
      <c r="S276" s="6"/>
    </row>
    <row r="277" spans="1:24" customFormat="1" x14ac:dyDescent="0.45">
      <c r="A277">
        <v>134677</v>
      </c>
      <c r="B277" t="s">
        <v>16923</v>
      </c>
      <c r="C277" t="s">
        <v>16924</v>
      </c>
      <c r="D277">
        <v>1</v>
      </c>
      <c r="F277" s="124"/>
      <c r="G277" s="7">
        <v>0</v>
      </c>
      <c r="H277" s="7">
        <v>0</v>
      </c>
      <c r="I277" s="7">
        <v>0</v>
      </c>
      <c r="J277" s="7">
        <v>0</v>
      </c>
      <c r="K277" s="3">
        <f t="shared" si="10"/>
        <v>0</v>
      </c>
      <c r="L277" s="3"/>
      <c r="M277" s="3">
        <f t="shared" si="11"/>
        <v>0</v>
      </c>
      <c r="O277" s="5"/>
      <c r="S277" s="6"/>
    </row>
    <row r="278" spans="1:24" customFormat="1" x14ac:dyDescent="0.45">
      <c r="A278">
        <v>134721</v>
      </c>
      <c r="B278" t="s">
        <v>16925</v>
      </c>
      <c r="C278" t="s">
        <v>16926</v>
      </c>
      <c r="D278">
        <v>2</v>
      </c>
      <c r="F278" s="124"/>
      <c r="G278" s="7">
        <v>0</v>
      </c>
      <c r="H278" s="7">
        <v>0</v>
      </c>
      <c r="I278" s="7">
        <v>0</v>
      </c>
      <c r="J278" s="7">
        <v>0</v>
      </c>
      <c r="K278" s="3">
        <f t="shared" si="10"/>
        <v>0</v>
      </c>
      <c r="L278" s="3"/>
      <c r="M278" s="3">
        <f t="shared" si="11"/>
        <v>0</v>
      </c>
      <c r="O278" s="5"/>
      <c r="S278" s="6"/>
    </row>
    <row r="279" spans="1:24" s="28" customFormat="1" x14ac:dyDescent="0.45">
      <c r="A279" s="28">
        <v>607464</v>
      </c>
      <c r="B279" s="28" t="s">
        <v>16927</v>
      </c>
      <c r="C279" s="29" t="s">
        <v>16928</v>
      </c>
      <c r="D279" s="28">
        <v>1</v>
      </c>
      <c r="E279" s="28" t="s">
        <v>16334</v>
      </c>
      <c r="F279" s="126"/>
      <c r="G279" s="30"/>
      <c r="H279" s="30"/>
      <c r="I279" s="31"/>
      <c r="J279" s="31"/>
      <c r="K279" s="30"/>
      <c r="L279" s="30"/>
      <c r="M279" s="30"/>
      <c r="N279" s="28" t="s">
        <v>16929</v>
      </c>
      <c r="O279" s="29" t="s">
        <v>16930</v>
      </c>
      <c r="R279" s="28" t="s">
        <v>16348</v>
      </c>
      <c r="T279" s="32" t="e">
        <f>S279/Q279</f>
        <v>#DIV/0!</v>
      </c>
      <c r="X279" s="28" t="s">
        <v>16931</v>
      </c>
    </row>
    <row r="280" spans="1:24" customFormat="1" x14ac:dyDescent="0.45">
      <c r="A280">
        <v>134756</v>
      </c>
      <c r="B280" t="s">
        <v>16932</v>
      </c>
      <c r="C280" t="s">
        <v>16933</v>
      </c>
      <c r="D280">
        <v>3</v>
      </c>
      <c r="F280" s="124"/>
      <c r="G280" s="3">
        <v>0</v>
      </c>
      <c r="H280" s="3">
        <v>0</v>
      </c>
      <c r="I280" s="3">
        <v>0</v>
      </c>
      <c r="J280" s="3">
        <v>0</v>
      </c>
      <c r="K280" s="3">
        <f t="shared" ref="K280:K343" si="12">SUM(G280:J280)</f>
        <v>0</v>
      </c>
      <c r="L280" s="3"/>
      <c r="M280" s="3">
        <f t="shared" ref="M280:M343" si="13">K280+F280</f>
        <v>0</v>
      </c>
      <c r="O280" s="5"/>
      <c r="S280" s="6"/>
    </row>
    <row r="281" spans="1:24" customFormat="1" x14ac:dyDescent="0.45">
      <c r="A281">
        <v>134771</v>
      </c>
      <c r="B281" t="s">
        <v>16934</v>
      </c>
      <c r="C281" t="s">
        <v>16935</v>
      </c>
      <c r="D281">
        <v>5</v>
      </c>
      <c r="E281" t="s">
        <v>16936</v>
      </c>
      <c r="F281" s="124"/>
      <c r="K281" s="3">
        <f t="shared" si="12"/>
        <v>0</v>
      </c>
      <c r="L281" s="3"/>
      <c r="M281" s="3">
        <f t="shared" si="13"/>
        <v>0</v>
      </c>
      <c r="O281" s="5"/>
      <c r="S281" s="6"/>
    </row>
    <row r="282" spans="1:24" customFormat="1" x14ac:dyDescent="0.45">
      <c r="A282">
        <v>134778</v>
      </c>
      <c r="B282" t="s">
        <v>16937</v>
      </c>
      <c r="C282" t="s">
        <v>16938</v>
      </c>
      <c r="D282">
        <v>2</v>
      </c>
      <c r="F282" s="124"/>
      <c r="K282" s="3">
        <f t="shared" si="12"/>
        <v>0</v>
      </c>
      <c r="L282" s="3"/>
      <c r="M282" s="3">
        <f t="shared" si="13"/>
        <v>0</v>
      </c>
      <c r="O282" s="5"/>
      <c r="S282" s="6"/>
    </row>
    <row r="283" spans="1:24" customFormat="1" x14ac:dyDescent="0.45">
      <c r="A283">
        <v>134813</v>
      </c>
      <c r="B283" t="s">
        <v>16939</v>
      </c>
      <c r="C283" t="s">
        <v>16331</v>
      </c>
      <c r="D283">
        <v>1</v>
      </c>
      <c r="E283" t="s">
        <v>16331</v>
      </c>
      <c r="F283" s="124"/>
      <c r="G283" s="7">
        <v>0</v>
      </c>
      <c r="H283" s="7">
        <v>0</v>
      </c>
      <c r="I283" s="7">
        <v>0</v>
      </c>
      <c r="J283" s="7">
        <v>0</v>
      </c>
      <c r="K283" s="3">
        <f t="shared" si="12"/>
        <v>0</v>
      </c>
      <c r="L283" s="3"/>
      <c r="M283" s="3">
        <f t="shared" si="13"/>
        <v>0</v>
      </c>
      <c r="O283" s="5"/>
      <c r="S283" s="6"/>
    </row>
    <row r="284" spans="1:24" customFormat="1" x14ac:dyDescent="0.45">
      <c r="A284">
        <v>134865</v>
      </c>
      <c r="B284" t="s">
        <v>16940</v>
      </c>
      <c r="C284" s="2" t="s">
        <v>16941</v>
      </c>
      <c r="D284">
        <v>1</v>
      </c>
      <c r="F284" s="125"/>
      <c r="G284" s="3">
        <v>0</v>
      </c>
      <c r="H284" s="3">
        <v>0</v>
      </c>
      <c r="I284" s="3">
        <v>0</v>
      </c>
      <c r="J284" s="3">
        <v>0</v>
      </c>
      <c r="K284" s="3">
        <f t="shared" si="12"/>
        <v>0</v>
      </c>
      <c r="L284" s="3"/>
      <c r="M284" s="3">
        <f t="shared" si="13"/>
        <v>0</v>
      </c>
      <c r="O284" s="5"/>
      <c r="S284" s="6"/>
    </row>
    <row r="285" spans="1:24" customFormat="1" x14ac:dyDescent="0.45">
      <c r="A285">
        <v>134905</v>
      </c>
      <c r="B285" t="s">
        <v>16942</v>
      </c>
      <c r="C285" t="s">
        <v>16943</v>
      </c>
      <c r="D285">
        <v>1</v>
      </c>
      <c r="F285" s="124"/>
      <c r="G285" s="7">
        <v>0</v>
      </c>
      <c r="H285" s="7">
        <v>0</v>
      </c>
      <c r="I285" s="7">
        <v>0</v>
      </c>
      <c r="J285" s="7">
        <v>0</v>
      </c>
      <c r="K285" s="3">
        <f t="shared" si="12"/>
        <v>0</v>
      </c>
      <c r="L285" s="3"/>
      <c r="M285" s="3">
        <f t="shared" si="13"/>
        <v>0</v>
      </c>
      <c r="O285" s="5"/>
      <c r="S285" s="6"/>
    </row>
    <row r="286" spans="1:24" customFormat="1" x14ac:dyDescent="0.45">
      <c r="A286">
        <v>135202</v>
      </c>
      <c r="B286" t="s">
        <v>16944</v>
      </c>
      <c r="C286" t="s">
        <v>16945</v>
      </c>
      <c r="D286">
        <v>32</v>
      </c>
      <c r="F286" s="124"/>
      <c r="G286" s="7">
        <v>0</v>
      </c>
      <c r="H286" s="7">
        <v>0</v>
      </c>
      <c r="I286" s="7">
        <v>0</v>
      </c>
      <c r="J286" s="7">
        <v>0</v>
      </c>
      <c r="K286" s="3">
        <f t="shared" si="12"/>
        <v>0</v>
      </c>
      <c r="L286" s="3"/>
      <c r="M286" s="3">
        <f t="shared" si="13"/>
        <v>0</v>
      </c>
      <c r="O286" s="5"/>
      <c r="S286" s="6"/>
    </row>
    <row r="287" spans="1:24" customFormat="1" x14ac:dyDescent="0.45">
      <c r="A287">
        <v>135205</v>
      </c>
      <c r="B287" t="s">
        <v>16946</v>
      </c>
      <c r="C287" t="s">
        <v>16947</v>
      </c>
      <c r="D287">
        <v>5</v>
      </c>
      <c r="F287" s="124"/>
      <c r="G287" s="7">
        <v>0</v>
      </c>
      <c r="H287" s="7">
        <v>0</v>
      </c>
      <c r="I287" s="7">
        <v>0</v>
      </c>
      <c r="J287" s="7">
        <v>0</v>
      </c>
      <c r="K287" s="3">
        <f t="shared" si="12"/>
        <v>0</v>
      </c>
      <c r="L287" s="3"/>
      <c r="M287" s="3">
        <f t="shared" si="13"/>
        <v>0</v>
      </c>
      <c r="O287" s="5"/>
      <c r="S287" s="6"/>
    </row>
    <row r="288" spans="1:24" customFormat="1" x14ac:dyDescent="0.45">
      <c r="A288">
        <v>135225</v>
      </c>
      <c r="B288" t="s">
        <v>16948</v>
      </c>
      <c r="C288" t="s">
        <v>16331</v>
      </c>
      <c r="D288">
        <v>1</v>
      </c>
      <c r="E288" t="s">
        <v>16331</v>
      </c>
      <c r="F288" s="124"/>
      <c r="G288" s="7">
        <v>0</v>
      </c>
      <c r="H288" s="7">
        <v>0</v>
      </c>
      <c r="I288" s="7">
        <v>0</v>
      </c>
      <c r="J288" s="7">
        <v>0</v>
      </c>
      <c r="K288" s="3">
        <f t="shared" si="12"/>
        <v>0</v>
      </c>
      <c r="L288" s="3"/>
      <c r="M288" s="3">
        <f t="shared" si="13"/>
        <v>0</v>
      </c>
      <c r="O288" s="5"/>
      <c r="S288" s="6"/>
    </row>
    <row r="289" spans="1:23" customFormat="1" x14ac:dyDescent="0.45">
      <c r="A289">
        <v>135250</v>
      </c>
      <c r="B289" t="s">
        <v>16949</v>
      </c>
      <c r="C289" t="s">
        <v>16950</v>
      </c>
      <c r="D289">
        <v>3</v>
      </c>
      <c r="F289" s="124"/>
      <c r="G289" s="7">
        <v>0</v>
      </c>
      <c r="H289" s="7">
        <v>0</v>
      </c>
      <c r="I289" s="7">
        <v>0</v>
      </c>
      <c r="J289" s="7">
        <v>0</v>
      </c>
      <c r="K289" s="3">
        <f t="shared" si="12"/>
        <v>0</v>
      </c>
      <c r="L289" s="3"/>
      <c r="M289" s="3">
        <f t="shared" si="13"/>
        <v>0</v>
      </c>
      <c r="O289" s="5"/>
      <c r="S289" s="6"/>
    </row>
    <row r="290" spans="1:23" customFormat="1" x14ac:dyDescent="0.45">
      <c r="A290">
        <v>135263</v>
      </c>
      <c r="B290" t="s">
        <v>16951</v>
      </c>
      <c r="C290" t="s">
        <v>16331</v>
      </c>
      <c r="D290">
        <v>1</v>
      </c>
      <c r="E290" t="s">
        <v>16331</v>
      </c>
      <c r="F290" s="124"/>
      <c r="G290" s="7">
        <v>0</v>
      </c>
      <c r="H290" s="7">
        <v>0</v>
      </c>
      <c r="I290" s="7">
        <v>0</v>
      </c>
      <c r="J290" s="7">
        <v>0</v>
      </c>
      <c r="K290" s="3">
        <f t="shared" si="12"/>
        <v>0</v>
      </c>
      <c r="L290" s="3"/>
      <c r="M290" s="3">
        <f t="shared" si="13"/>
        <v>0</v>
      </c>
      <c r="O290" s="5"/>
      <c r="S290" s="6"/>
    </row>
    <row r="291" spans="1:23" customFormat="1" x14ac:dyDescent="0.45">
      <c r="A291">
        <v>135447</v>
      </c>
      <c r="B291" t="s">
        <v>16952</v>
      </c>
      <c r="C291" t="s">
        <v>16953</v>
      </c>
      <c r="D291">
        <v>1</v>
      </c>
      <c r="F291" s="124"/>
      <c r="G291" s="7">
        <v>0</v>
      </c>
      <c r="H291" s="7">
        <v>0</v>
      </c>
      <c r="I291" s="7">
        <v>0</v>
      </c>
      <c r="J291" s="7">
        <v>0</v>
      </c>
      <c r="K291" s="3">
        <f t="shared" si="12"/>
        <v>0</v>
      </c>
      <c r="L291" s="3"/>
      <c r="M291" s="3">
        <f t="shared" si="13"/>
        <v>0</v>
      </c>
      <c r="O291" s="5"/>
      <c r="S291" s="6"/>
    </row>
    <row r="292" spans="1:23" customFormat="1" x14ac:dyDescent="0.45">
      <c r="A292">
        <v>135693</v>
      </c>
      <c r="B292" t="s">
        <v>16954</v>
      </c>
      <c r="C292" t="s">
        <v>16955</v>
      </c>
      <c r="D292">
        <v>1</v>
      </c>
      <c r="F292" s="124"/>
      <c r="G292" s="7">
        <v>0</v>
      </c>
      <c r="H292" s="7">
        <v>0</v>
      </c>
      <c r="I292" s="7">
        <v>0</v>
      </c>
      <c r="J292" s="7">
        <v>0</v>
      </c>
      <c r="K292" s="3">
        <f t="shared" si="12"/>
        <v>0</v>
      </c>
      <c r="L292" s="3"/>
      <c r="M292" s="3">
        <f t="shared" si="13"/>
        <v>0</v>
      </c>
      <c r="O292" s="5"/>
      <c r="S292" s="6"/>
    </row>
    <row r="293" spans="1:23" customFormat="1" x14ac:dyDescent="0.45">
      <c r="A293">
        <v>135706</v>
      </c>
      <c r="B293" t="s">
        <v>16956</v>
      </c>
      <c r="C293" t="s">
        <v>16957</v>
      </c>
      <c r="D293">
        <v>3</v>
      </c>
      <c r="F293" s="124"/>
      <c r="G293" s="3">
        <v>0</v>
      </c>
      <c r="H293" s="3">
        <v>0</v>
      </c>
      <c r="I293" s="3">
        <v>0</v>
      </c>
      <c r="J293" s="3">
        <v>0</v>
      </c>
      <c r="K293" s="3">
        <f t="shared" si="12"/>
        <v>0</v>
      </c>
      <c r="L293" s="3"/>
      <c r="M293" s="3">
        <f t="shared" si="13"/>
        <v>0</v>
      </c>
      <c r="O293" s="5"/>
      <c r="S293" s="6"/>
    </row>
    <row r="294" spans="1:23" x14ac:dyDescent="0.45">
      <c r="A294" s="124">
        <v>720808</v>
      </c>
      <c r="B294" s="124" t="s">
        <v>16958</v>
      </c>
      <c r="C294" s="125" t="s">
        <v>16959</v>
      </c>
      <c r="D294" s="124">
        <v>4</v>
      </c>
      <c r="E294" s="124" t="s">
        <v>16334</v>
      </c>
      <c r="F294" s="126">
        <v>1.6999999999999999E-3</v>
      </c>
      <c r="G294" s="126">
        <v>0.02</v>
      </c>
      <c r="H294" s="126">
        <v>8.7500000000000008E-3</v>
      </c>
      <c r="I294" s="127">
        <v>0</v>
      </c>
      <c r="J294" s="127">
        <v>0</v>
      </c>
      <c r="K294" s="126">
        <f t="shared" si="12"/>
        <v>2.8750000000000001E-2</v>
      </c>
      <c r="L294" s="3"/>
      <c r="M294" s="126">
        <f t="shared" si="13"/>
        <v>3.0450000000000001E-2</v>
      </c>
      <c r="O294" s="131" t="s">
        <v>16960</v>
      </c>
      <c r="P294" s="128" t="s">
        <v>26918</v>
      </c>
      <c r="Q294" s="124">
        <f>200865+23012</f>
        <v>223877</v>
      </c>
      <c r="R294" s="124" t="s">
        <v>16348</v>
      </c>
      <c r="S294" s="132">
        <v>187471</v>
      </c>
      <c r="T294" s="129">
        <f>S294/Q294</f>
        <v>0.83738392063499156</v>
      </c>
      <c r="V294" s="125" t="s">
        <v>16961</v>
      </c>
    </row>
    <row r="295" spans="1:23" x14ac:dyDescent="0.45">
      <c r="A295" s="124">
        <v>147392</v>
      </c>
      <c r="B295" s="124" t="s">
        <v>16962</v>
      </c>
      <c r="C295" s="125" t="s">
        <v>16963</v>
      </c>
      <c r="D295" s="124">
        <v>4</v>
      </c>
      <c r="E295" s="124" t="s">
        <v>16417</v>
      </c>
      <c r="F295" s="126">
        <v>3.1999999999999997E-3</v>
      </c>
      <c r="G295" s="126">
        <f>((200+125+75)*10)/100000</f>
        <v>0.04</v>
      </c>
      <c r="H295" s="126">
        <v>4.4999999999999997E-3</v>
      </c>
      <c r="I295" s="127">
        <v>0</v>
      </c>
      <c r="J295" s="127">
        <v>0</v>
      </c>
      <c r="K295" s="126">
        <f t="shared" si="12"/>
        <v>4.4499999999999998E-2</v>
      </c>
      <c r="L295" s="3"/>
      <c r="M295" s="126">
        <f t="shared" si="13"/>
        <v>4.7699999999999999E-2</v>
      </c>
      <c r="N295" s="124" t="s">
        <v>16964</v>
      </c>
      <c r="O295" s="125" t="s">
        <v>16965</v>
      </c>
      <c r="P295" s="128" t="s">
        <v>26918</v>
      </c>
      <c r="Q295" s="130">
        <f>2135059+172875</f>
        <v>2307934</v>
      </c>
      <c r="R295" s="124" t="s">
        <v>16348</v>
      </c>
      <c r="S295" s="130">
        <v>2032105</v>
      </c>
      <c r="T295" s="129">
        <f>S295/Q295</f>
        <v>0.88048661703497588</v>
      </c>
      <c r="V295" s="125" t="s">
        <v>16966</v>
      </c>
      <c r="W295" s="124" t="s">
        <v>16967</v>
      </c>
    </row>
    <row r="296" spans="1:23" customFormat="1" x14ac:dyDescent="0.45">
      <c r="A296">
        <v>136095</v>
      </c>
      <c r="B296" t="s">
        <v>16968</v>
      </c>
      <c r="C296" t="s">
        <v>16969</v>
      </c>
      <c r="D296">
        <v>1</v>
      </c>
      <c r="F296" s="124"/>
      <c r="G296" s="7">
        <v>0</v>
      </c>
      <c r="H296" s="7">
        <v>0</v>
      </c>
      <c r="I296" s="7">
        <v>0</v>
      </c>
      <c r="J296" s="7">
        <v>0</v>
      </c>
      <c r="K296" s="3">
        <f t="shared" si="12"/>
        <v>0</v>
      </c>
      <c r="L296" s="3"/>
      <c r="M296" s="3">
        <f t="shared" si="13"/>
        <v>0</v>
      </c>
      <c r="O296" s="5"/>
      <c r="S296" s="6"/>
    </row>
    <row r="297" spans="1:23" x14ac:dyDescent="0.45">
      <c r="A297" s="124">
        <v>470603</v>
      </c>
      <c r="B297" s="124" t="s">
        <v>16970</v>
      </c>
      <c r="C297" s="125" t="s">
        <v>16971</v>
      </c>
      <c r="D297" s="124">
        <v>11</v>
      </c>
      <c r="E297" s="124" t="s">
        <v>16334</v>
      </c>
      <c r="F297" s="126">
        <v>1.6999999999999999E-3</v>
      </c>
      <c r="G297" s="126">
        <v>0</v>
      </c>
      <c r="H297" s="126">
        <v>0</v>
      </c>
      <c r="I297" s="127">
        <v>0.01</v>
      </c>
      <c r="J297" s="127">
        <v>0.01</v>
      </c>
      <c r="K297" s="126">
        <f t="shared" si="12"/>
        <v>0.02</v>
      </c>
      <c r="L297" s="3"/>
      <c r="M297" s="126">
        <f t="shared" si="13"/>
        <v>2.1700000000000001E-2</v>
      </c>
      <c r="O297" s="131" t="s">
        <v>16972</v>
      </c>
      <c r="P297" s="128" t="s">
        <v>26918</v>
      </c>
      <c r="Q297" s="124">
        <v>84876</v>
      </c>
      <c r="R297" s="124" t="s">
        <v>16348</v>
      </c>
      <c r="S297" s="132">
        <v>35804</v>
      </c>
      <c r="T297" s="129">
        <f>S297/Q297</f>
        <v>0.42183891795089307</v>
      </c>
      <c r="V297" s="125" t="s">
        <v>16973</v>
      </c>
    </row>
    <row r="298" spans="1:23" customFormat="1" x14ac:dyDescent="0.45">
      <c r="A298">
        <v>136169</v>
      </c>
      <c r="B298" t="s">
        <v>16974</v>
      </c>
      <c r="C298" t="s">
        <v>16975</v>
      </c>
      <c r="D298">
        <v>1</v>
      </c>
      <c r="F298" s="124"/>
      <c r="G298" s="7">
        <v>0</v>
      </c>
      <c r="H298" s="7">
        <v>0</v>
      </c>
      <c r="I298" s="7">
        <v>0</v>
      </c>
      <c r="J298" s="7">
        <v>0</v>
      </c>
      <c r="K298" s="3">
        <f t="shared" si="12"/>
        <v>0</v>
      </c>
      <c r="L298" s="3"/>
      <c r="M298" s="3">
        <f t="shared" si="13"/>
        <v>0</v>
      </c>
      <c r="O298" s="5"/>
      <c r="S298" s="6"/>
    </row>
    <row r="299" spans="1:23" customFormat="1" x14ac:dyDescent="0.45">
      <c r="A299">
        <v>136178</v>
      </c>
      <c r="B299" t="s">
        <v>16976</v>
      </c>
      <c r="C299" t="s">
        <v>16331</v>
      </c>
      <c r="D299">
        <v>1</v>
      </c>
      <c r="E299" t="s">
        <v>16331</v>
      </c>
      <c r="F299" s="124"/>
      <c r="G299" s="7">
        <v>0</v>
      </c>
      <c r="H299" s="7">
        <v>0</v>
      </c>
      <c r="I299" s="7">
        <v>0</v>
      </c>
      <c r="J299" s="7">
        <v>0</v>
      </c>
      <c r="K299" s="3">
        <f t="shared" si="12"/>
        <v>0</v>
      </c>
      <c r="L299" s="3"/>
      <c r="M299" s="3">
        <f t="shared" si="13"/>
        <v>0</v>
      </c>
      <c r="O299" s="5"/>
      <c r="S299" s="6"/>
    </row>
    <row r="300" spans="1:23" customFormat="1" x14ac:dyDescent="0.45">
      <c r="A300">
        <v>136254</v>
      </c>
      <c r="B300" t="s">
        <v>16977</v>
      </c>
      <c r="C300" t="s">
        <v>16978</v>
      </c>
      <c r="D300">
        <v>6</v>
      </c>
      <c r="F300" s="124"/>
      <c r="K300" s="3">
        <f t="shared" si="12"/>
        <v>0</v>
      </c>
      <c r="L300" s="3"/>
      <c r="M300" s="3">
        <f t="shared" si="13"/>
        <v>0</v>
      </c>
      <c r="O300" s="5"/>
      <c r="S300" s="6"/>
    </row>
    <row r="301" spans="1:23" customFormat="1" x14ac:dyDescent="0.45">
      <c r="A301">
        <v>136258</v>
      </c>
      <c r="B301" t="s">
        <v>16979</v>
      </c>
      <c r="C301" t="s">
        <v>16980</v>
      </c>
      <c r="D301">
        <v>1</v>
      </c>
      <c r="F301" s="124"/>
      <c r="G301" s="7">
        <v>0</v>
      </c>
      <c r="H301" s="7">
        <v>0</v>
      </c>
      <c r="I301" s="7">
        <v>0</v>
      </c>
      <c r="J301" s="7">
        <v>0</v>
      </c>
      <c r="K301" s="3">
        <f t="shared" si="12"/>
        <v>0</v>
      </c>
      <c r="L301" s="3"/>
      <c r="M301" s="3">
        <f t="shared" si="13"/>
        <v>0</v>
      </c>
      <c r="O301" s="5"/>
      <c r="S301" s="6"/>
    </row>
    <row r="302" spans="1:23" x14ac:dyDescent="0.45">
      <c r="A302" s="124">
        <v>529379</v>
      </c>
      <c r="B302" s="124" t="s">
        <v>16981</v>
      </c>
      <c r="C302" s="125" t="s">
        <v>16982</v>
      </c>
      <c r="D302" s="124">
        <v>7</v>
      </c>
      <c r="E302" s="124" t="s">
        <v>16334</v>
      </c>
      <c r="F302" s="126">
        <v>1.6999999999999999E-3</v>
      </c>
      <c r="G302" s="126">
        <v>0.02</v>
      </c>
      <c r="H302" s="126">
        <v>7.4999999999999997E-3</v>
      </c>
      <c r="I302" s="127">
        <v>0</v>
      </c>
      <c r="J302" s="127">
        <v>0</v>
      </c>
      <c r="K302" s="126">
        <f t="shared" si="12"/>
        <v>2.75E-2</v>
      </c>
      <c r="L302" s="3"/>
      <c r="M302" s="126">
        <f t="shared" si="13"/>
        <v>2.92E-2</v>
      </c>
      <c r="O302" s="131" t="s">
        <v>16983</v>
      </c>
      <c r="P302" s="128" t="s">
        <v>26918</v>
      </c>
      <c r="Q302" s="130">
        <f>1035851+66229</f>
        <v>1102080</v>
      </c>
      <c r="R302" s="124" t="s">
        <v>16348</v>
      </c>
      <c r="S302" s="132">
        <v>1033473</v>
      </c>
      <c r="T302" s="129">
        <f>S302/Q302</f>
        <v>0.93774771341463414</v>
      </c>
      <c r="V302" s="125" t="s">
        <v>16984</v>
      </c>
    </row>
    <row r="303" spans="1:23" customFormat="1" x14ac:dyDescent="0.45">
      <c r="A303">
        <v>136529</v>
      </c>
      <c r="B303" t="s">
        <v>16985</v>
      </c>
      <c r="C303" t="s">
        <v>16986</v>
      </c>
      <c r="D303">
        <v>3</v>
      </c>
      <c r="F303" s="124"/>
      <c r="K303" s="3">
        <f t="shared" si="12"/>
        <v>0</v>
      </c>
      <c r="L303" s="3"/>
      <c r="M303" s="3">
        <f t="shared" si="13"/>
        <v>0</v>
      </c>
      <c r="O303" s="5"/>
      <c r="S303" s="6"/>
    </row>
    <row r="304" spans="1:23" customFormat="1" x14ac:dyDescent="0.45">
      <c r="A304">
        <v>136684</v>
      </c>
      <c r="B304" t="s">
        <v>16987</v>
      </c>
      <c r="C304" t="s">
        <v>16988</v>
      </c>
      <c r="D304">
        <v>1</v>
      </c>
      <c r="F304" s="124"/>
      <c r="G304" s="7">
        <v>0</v>
      </c>
      <c r="H304" s="7">
        <v>0</v>
      </c>
      <c r="I304" s="7">
        <v>0</v>
      </c>
      <c r="J304" s="7">
        <v>0</v>
      </c>
      <c r="K304" s="3">
        <f t="shared" si="12"/>
        <v>0</v>
      </c>
      <c r="L304" s="3"/>
      <c r="M304" s="3">
        <f t="shared" si="13"/>
        <v>0</v>
      </c>
      <c r="O304" s="5"/>
      <c r="S304" s="6"/>
    </row>
    <row r="305" spans="1:23" customFormat="1" x14ac:dyDescent="0.45">
      <c r="A305">
        <v>136758</v>
      </c>
      <c r="B305" t="s">
        <v>16989</v>
      </c>
      <c r="C305" t="s">
        <v>16990</v>
      </c>
      <c r="D305">
        <v>2</v>
      </c>
      <c r="F305" s="124"/>
      <c r="G305" s="7">
        <v>0</v>
      </c>
      <c r="H305" s="7">
        <v>0</v>
      </c>
      <c r="I305" s="7">
        <v>0</v>
      </c>
      <c r="J305" s="7">
        <v>0</v>
      </c>
      <c r="K305" s="3">
        <f t="shared" si="12"/>
        <v>0</v>
      </c>
      <c r="L305" s="3"/>
      <c r="M305" s="3">
        <f t="shared" si="13"/>
        <v>0</v>
      </c>
      <c r="O305" s="5"/>
      <c r="S305" s="6"/>
    </row>
    <row r="306" spans="1:23" customFormat="1" x14ac:dyDescent="0.45">
      <c r="A306">
        <v>136778</v>
      </c>
      <c r="B306" t="s">
        <v>16991</v>
      </c>
      <c r="C306" t="s">
        <v>16331</v>
      </c>
      <c r="D306">
        <v>2</v>
      </c>
      <c r="E306" t="s">
        <v>16331</v>
      </c>
      <c r="F306" s="124"/>
      <c r="G306" s="7">
        <v>0</v>
      </c>
      <c r="H306" s="7">
        <v>0</v>
      </c>
      <c r="I306" s="7">
        <v>0</v>
      </c>
      <c r="J306" s="7">
        <v>0</v>
      </c>
      <c r="K306" s="3">
        <f t="shared" si="12"/>
        <v>0</v>
      </c>
      <c r="L306" s="3"/>
      <c r="M306" s="3">
        <f t="shared" si="13"/>
        <v>0</v>
      </c>
      <c r="O306" s="5"/>
      <c r="S306" s="6"/>
    </row>
    <row r="307" spans="1:23" x14ac:dyDescent="0.45">
      <c r="A307" s="124">
        <v>146480</v>
      </c>
      <c r="B307" s="124" t="s">
        <v>16992</v>
      </c>
      <c r="C307" s="125" t="s">
        <v>16993</v>
      </c>
      <c r="D307" s="124">
        <v>1</v>
      </c>
      <c r="E307" s="124" t="s">
        <v>16334</v>
      </c>
      <c r="F307" s="126">
        <v>1.6999999999999999E-3</v>
      </c>
      <c r="G307" s="135">
        <v>0</v>
      </c>
      <c r="H307" s="135">
        <v>0</v>
      </c>
      <c r="I307" s="127">
        <v>0.02</v>
      </c>
      <c r="J307" s="127">
        <v>5.0000000000000001E-3</v>
      </c>
      <c r="K307" s="126">
        <f t="shared" si="12"/>
        <v>2.5000000000000001E-2</v>
      </c>
      <c r="L307" s="3"/>
      <c r="M307" s="126">
        <f t="shared" si="13"/>
        <v>2.6700000000000002E-2</v>
      </c>
      <c r="O307" s="125" t="s">
        <v>16994</v>
      </c>
      <c r="P307" s="128" t="s">
        <v>26918</v>
      </c>
      <c r="Q307" s="124">
        <v>860968</v>
      </c>
      <c r="R307" s="124" t="s">
        <v>16348</v>
      </c>
      <c r="S307" s="130">
        <v>860968</v>
      </c>
      <c r="T307" s="129">
        <f>S307/Q307</f>
        <v>1</v>
      </c>
      <c r="V307" s="125" t="s">
        <v>16995</v>
      </c>
    </row>
    <row r="308" spans="1:23" customFormat="1" x14ac:dyDescent="0.45">
      <c r="A308">
        <v>136915</v>
      </c>
      <c r="B308" t="s">
        <v>16996</v>
      </c>
      <c r="C308" t="s">
        <v>16997</v>
      </c>
      <c r="D308">
        <v>2</v>
      </c>
      <c r="F308" s="124"/>
      <c r="G308" s="3">
        <v>0</v>
      </c>
      <c r="H308" s="3">
        <v>0</v>
      </c>
      <c r="I308" s="3">
        <v>0</v>
      </c>
      <c r="J308" s="3">
        <v>0</v>
      </c>
      <c r="K308" s="3">
        <f t="shared" si="12"/>
        <v>0</v>
      </c>
      <c r="L308" s="3"/>
      <c r="M308" s="3">
        <f t="shared" si="13"/>
        <v>0</v>
      </c>
      <c r="O308" s="5"/>
      <c r="S308" s="6"/>
    </row>
    <row r="309" spans="1:23" customFormat="1" x14ac:dyDescent="0.45">
      <c r="A309">
        <v>136916</v>
      </c>
      <c r="B309" t="s">
        <v>16998</v>
      </c>
      <c r="C309" t="s">
        <v>16331</v>
      </c>
      <c r="D309">
        <v>2</v>
      </c>
      <c r="E309" t="s">
        <v>16331</v>
      </c>
      <c r="F309" s="124"/>
      <c r="G309" s="7">
        <v>0</v>
      </c>
      <c r="H309" s="7">
        <v>0</v>
      </c>
      <c r="I309" s="7">
        <v>0</v>
      </c>
      <c r="J309" s="7">
        <v>0</v>
      </c>
      <c r="K309" s="3">
        <f t="shared" si="12"/>
        <v>0</v>
      </c>
      <c r="L309" s="3"/>
      <c r="M309" s="3">
        <f t="shared" si="13"/>
        <v>0</v>
      </c>
      <c r="O309" s="5"/>
      <c r="S309" s="6"/>
    </row>
    <row r="310" spans="1:23" customFormat="1" x14ac:dyDescent="0.45">
      <c r="A310">
        <v>136917</v>
      </c>
      <c r="B310" t="s">
        <v>16999</v>
      </c>
      <c r="C310" t="s">
        <v>17000</v>
      </c>
      <c r="D310">
        <v>4</v>
      </c>
      <c r="F310" s="124"/>
      <c r="G310" s="3">
        <v>0</v>
      </c>
      <c r="H310" s="3">
        <v>0</v>
      </c>
      <c r="I310" s="3">
        <v>0</v>
      </c>
      <c r="J310" s="3">
        <v>0</v>
      </c>
      <c r="K310" s="3">
        <f t="shared" si="12"/>
        <v>0</v>
      </c>
      <c r="L310" s="3"/>
      <c r="M310" s="3">
        <f t="shared" si="13"/>
        <v>0</v>
      </c>
      <c r="O310" s="5"/>
      <c r="S310" s="6"/>
    </row>
    <row r="311" spans="1:23" customFormat="1" x14ac:dyDescent="0.45">
      <c r="A311">
        <v>136964</v>
      </c>
      <c r="B311" t="s">
        <v>17001</v>
      </c>
      <c r="C311" t="s">
        <v>17002</v>
      </c>
      <c r="D311">
        <v>2</v>
      </c>
      <c r="F311" s="124"/>
      <c r="G311" s="3">
        <v>0</v>
      </c>
      <c r="H311" s="3">
        <v>0</v>
      </c>
      <c r="I311" s="3">
        <v>0</v>
      </c>
      <c r="J311" s="3">
        <v>0</v>
      </c>
      <c r="K311" s="3">
        <f t="shared" si="12"/>
        <v>0</v>
      </c>
      <c r="L311" s="3"/>
      <c r="M311" s="3">
        <f t="shared" si="13"/>
        <v>0</v>
      </c>
      <c r="O311" s="5"/>
      <c r="S311" s="6"/>
    </row>
    <row r="312" spans="1:23" customFormat="1" x14ac:dyDescent="0.45">
      <c r="A312">
        <v>137013</v>
      </c>
      <c r="B312" t="s">
        <v>17003</v>
      </c>
      <c r="C312" t="s">
        <v>17004</v>
      </c>
      <c r="D312">
        <v>1</v>
      </c>
      <c r="F312" s="124"/>
      <c r="G312" s="7">
        <v>0</v>
      </c>
      <c r="H312" s="7">
        <v>0</v>
      </c>
      <c r="I312" s="7">
        <v>0</v>
      </c>
      <c r="J312" s="7">
        <v>0</v>
      </c>
      <c r="K312" s="3">
        <f t="shared" si="12"/>
        <v>0</v>
      </c>
      <c r="L312" s="3"/>
      <c r="M312" s="3">
        <f t="shared" si="13"/>
        <v>0</v>
      </c>
      <c r="O312" s="5"/>
      <c r="S312" s="6"/>
    </row>
    <row r="313" spans="1:23" customFormat="1" x14ac:dyDescent="0.45">
      <c r="A313">
        <v>137195</v>
      </c>
      <c r="B313" t="s">
        <v>17005</v>
      </c>
      <c r="C313" t="s">
        <v>17006</v>
      </c>
      <c r="D313">
        <v>4</v>
      </c>
      <c r="F313" s="124"/>
      <c r="G313" s="7">
        <v>0</v>
      </c>
      <c r="H313" s="7">
        <v>0</v>
      </c>
      <c r="I313" s="7">
        <v>0</v>
      </c>
      <c r="J313" s="7">
        <v>0</v>
      </c>
      <c r="K313" s="3">
        <f t="shared" si="12"/>
        <v>0</v>
      </c>
      <c r="L313" s="3"/>
      <c r="M313" s="3">
        <f t="shared" si="13"/>
        <v>0</v>
      </c>
      <c r="O313" s="5"/>
      <c r="S313" s="6"/>
    </row>
    <row r="314" spans="1:23" customFormat="1" x14ac:dyDescent="0.45">
      <c r="A314">
        <v>137325</v>
      </c>
      <c r="B314" t="s">
        <v>17007</v>
      </c>
      <c r="C314" t="s">
        <v>17008</v>
      </c>
      <c r="D314">
        <v>1</v>
      </c>
      <c r="F314" s="124"/>
      <c r="G314" s="7">
        <v>0</v>
      </c>
      <c r="H314" s="7">
        <v>0</v>
      </c>
      <c r="I314" s="7">
        <v>0</v>
      </c>
      <c r="J314" s="7">
        <v>0</v>
      </c>
      <c r="K314" s="3">
        <f t="shared" si="12"/>
        <v>0</v>
      </c>
      <c r="L314" s="3"/>
      <c r="M314" s="3">
        <f t="shared" si="13"/>
        <v>0</v>
      </c>
      <c r="O314" s="5"/>
      <c r="S314" s="6"/>
    </row>
    <row r="315" spans="1:23" customFormat="1" x14ac:dyDescent="0.45">
      <c r="A315">
        <v>137380</v>
      </c>
      <c r="B315" t="s">
        <v>17009</v>
      </c>
      <c r="C315" t="s">
        <v>17010</v>
      </c>
      <c r="D315">
        <v>1</v>
      </c>
      <c r="F315" s="124"/>
      <c r="G315" s="3">
        <v>0</v>
      </c>
      <c r="H315" s="3">
        <v>0</v>
      </c>
      <c r="I315" s="3">
        <v>0</v>
      </c>
      <c r="J315" s="3">
        <v>0</v>
      </c>
      <c r="K315" s="3">
        <f t="shared" si="12"/>
        <v>0</v>
      </c>
      <c r="L315" s="3"/>
      <c r="M315" s="3">
        <f t="shared" si="13"/>
        <v>0</v>
      </c>
      <c r="O315" s="5"/>
      <c r="S315" s="6"/>
    </row>
    <row r="316" spans="1:23" customFormat="1" x14ac:dyDescent="0.45">
      <c r="A316">
        <v>137463</v>
      </c>
      <c r="B316" t="s">
        <v>17011</v>
      </c>
      <c r="C316" t="s">
        <v>16331</v>
      </c>
      <c r="D316">
        <v>1</v>
      </c>
      <c r="E316" t="s">
        <v>16331</v>
      </c>
      <c r="F316" s="124"/>
      <c r="K316" s="3">
        <f t="shared" si="12"/>
        <v>0</v>
      </c>
      <c r="L316" s="3"/>
      <c r="M316" s="3">
        <f t="shared" si="13"/>
        <v>0</v>
      </c>
      <c r="O316" s="5"/>
      <c r="S316" s="6"/>
    </row>
    <row r="317" spans="1:23" x14ac:dyDescent="0.45">
      <c r="A317" s="124">
        <v>192296</v>
      </c>
      <c r="B317" s="124" t="s">
        <v>17012</v>
      </c>
      <c r="C317" s="125" t="s">
        <v>17013</v>
      </c>
      <c r="D317" s="124">
        <v>8</v>
      </c>
      <c r="E317" s="124" t="s">
        <v>16334</v>
      </c>
      <c r="F317" s="126">
        <v>1.6999999999999999E-3</v>
      </c>
      <c r="G317" s="126">
        <v>0</v>
      </c>
      <c r="H317" s="126">
        <v>0</v>
      </c>
      <c r="I317" s="126">
        <v>0.02</v>
      </c>
      <c r="J317" s="126">
        <v>0.01</v>
      </c>
      <c r="K317" s="126">
        <f t="shared" si="12"/>
        <v>0.03</v>
      </c>
      <c r="L317" s="3"/>
      <c r="M317" s="126">
        <f t="shared" si="13"/>
        <v>3.1699999999999999E-2</v>
      </c>
      <c r="O317" s="125" t="s">
        <v>17014</v>
      </c>
      <c r="P317" s="128" t="s">
        <v>26918</v>
      </c>
      <c r="Q317" s="130">
        <v>505016</v>
      </c>
      <c r="R317" s="124" t="s">
        <v>16348</v>
      </c>
      <c r="S317" s="130">
        <v>470424</v>
      </c>
      <c r="T317" s="129">
        <f>S317/Q317</f>
        <v>0.9315031602959114</v>
      </c>
      <c r="V317" s="125" t="s">
        <v>17015</v>
      </c>
    </row>
    <row r="318" spans="1:23" customFormat="1" x14ac:dyDescent="0.45">
      <c r="A318">
        <v>137559</v>
      </c>
      <c r="B318" t="s">
        <v>17016</v>
      </c>
      <c r="C318" t="s">
        <v>16331</v>
      </c>
      <c r="D318">
        <v>1</v>
      </c>
      <c r="E318" t="s">
        <v>16331</v>
      </c>
      <c r="F318" s="124"/>
      <c r="G318" s="7">
        <v>0</v>
      </c>
      <c r="H318" s="7">
        <v>0</v>
      </c>
      <c r="I318" s="7">
        <v>0</v>
      </c>
      <c r="J318" s="7">
        <v>0</v>
      </c>
      <c r="K318" s="3">
        <f t="shared" si="12"/>
        <v>0</v>
      </c>
      <c r="L318" s="3"/>
      <c r="M318" s="3">
        <f t="shared" si="13"/>
        <v>0</v>
      </c>
      <c r="O318" s="5"/>
      <c r="S318" s="6"/>
    </row>
    <row r="319" spans="1:23" x14ac:dyDescent="0.45">
      <c r="A319" s="124">
        <v>667433</v>
      </c>
      <c r="B319" s="124" t="s">
        <v>17017</v>
      </c>
      <c r="C319" s="125" t="s">
        <v>17018</v>
      </c>
      <c r="D319" s="124">
        <v>4</v>
      </c>
      <c r="E319" s="124" t="s">
        <v>16334</v>
      </c>
      <c r="F319" s="126">
        <v>1.6999999999999999E-3</v>
      </c>
      <c r="G319" s="126"/>
      <c r="H319" s="126">
        <v>0.06</v>
      </c>
      <c r="I319" s="127"/>
      <c r="J319" s="127"/>
      <c r="K319" s="126">
        <f t="shared" si="12"/>
        <v>0.06</v>
      </c>
      <c r="L319" s="3"/>
      <c r="M319" s="126">
        <f t="shared" si="13"/>
        <v>6.1699999999999998E-2</v>
      </c>
      <c r="N319" s="124" t="s">
        <v>26919</v>
      </c>
      <c r="O319" s="131" t="s">
        <v>17019</v>
      </c>
      <c r="P319" s="128" t="s">
        <v>26918</v>
      </c>
      <c r="Q319" s="124">
        <f>298391+78232</f>
        <v>376623</v>
      </c>
      <c r="R319" s="124" t="s">
        <v>16348</v>
      </c>
      <c r="S319" s="132">
        <v>298391</v>
      </c>
      <c r="T319" s="129">
        <f>S319/Q319</f>
        <v>0.79228034400448188</v>
      </c>
      <c r="V319" s="125" t="s">
        <v>17020</v>
      </c>
      <c r="W319" s="124" t="s">
        <v>17021</v>
      </c>
    </row>
    <row r="320" spans="1:23" customFormat="1" x14ac:dyDescent="0.45">
      <c r="A320">
        <v>137694</v>
      </c>
      <c r="B320" t="s">
        <v>17022</v>
      </c>
      <c r="C320" t="s">
        <v>16331</v>
      </c>
      <c r="D320">
        <v>1</v>
      </c>
      <c r="E320" t="s">
        <v>16331</v>
      </c>
      <c r="F320" s="124"/>
      <c r="G320" s="7">
        <v>0</v>
      </c>
      <c r="H320" s="7">
        <v>0</v>
      </c>
      <c r="I320" s="7">
        <v>0</v>
      </c>
      <c r="J320" s="7">
        <v>0</v>
      </c>
      <c r="K320" s="3">
        <f t="shared" si="12"/>
        <v>0</v>
      </c>
      <c r="L320" s="3"/>
      <c r="M320" s="3">
        <f t="shared" si="13"/>
        <v>0</v>
      </c>
      <c r="O320" s="5"/>
      <c r="S320" s="6"/>
    </row>
    <row r="321" spans="1:23" customFormat="1" x14ac:dyDescent="0.45">
      <c r="A321">
        <v>137733</v>
      </c>
      <c r="B321" t="s">
        <v>17023</v>
      </c>
      <c r="C321" s="2" t="s">
        <v>17024</v>
      </c>
      <c r="D321">
        <v>1</v>
      </c>
      <c r="E321" t="s">
        <v>17025</v>
      </c>
      <c r="F321" s="125"/>
      <c r="G321" s="3">
        <v>0</v>
      </c>
      <c r="H321" s="3">
        <v>0</v>
      </c>
      <c r="I321" s="3">
        <v>0</v>
      </c>
      <c r="J321" s="3">
        <v>0</v>
      </c>
      <c r="K321" s="3">
        <f t="shared" si="12"/>
        <v>0</v>
      </c>
      <c r="L321" s="3"/>
      <c r="M321" s="3">
        <f t="shared" si="13"/>
        <v>0</v>
      </c>
      <c r="O321" s="5"/>
      <c r="S321" s="6"/>
    </row>
    <row r="322" spans="1:23" customFormat="1" x14ac:dyDescent="0.45">
      <c r="A322">
        <v>137842</v>
      </c>
      <c r="B322" t="s">
        <v>17026</v>
      </c>
      <c r="C322" t="s">
        <v>16331</v>
      </c>
      <c r="D322">
        <v>1</v>
      </c>
      <c r="E322" t="s">
        <v>16331</v>
      </c>
      <c r="F322" s="124"/>
      <c r="G322" s="7">
        <v>0</v>
      </c>
      <c r="H322" s="3">
        <v>0</v>
      </c>
      <c r="I322" s="3">
        <v>0</v>
      </c>
      <c r="J322">
        <v>0</v>
      </c>
      <c r="K322" s="3">
        <f t="shared" si="12"/>
        <v>0</v>
      </c>
      <c r="L322" s="3"/>
      <c r="M322" s="3">
        <f t="shared" si="13"/>
        <v>0</v>
      </c>
      <c r="O322" s="5"/>
      <c r="S322" s="6"/>
    </row>
    <row r="323" spans="1:23" customFormat="1" x14ac:dyDescent="0.45">
      <c r="A323">
        <v>137849</v>
      </c>
      <c r="B323" t="s">
        <v>17027</v>
      </c>
      <c r="C323" t="s">
        <v>16331</v>
      </c>
      <c r="D323">
        <v>0</v>
      </c>
      <c r="E323" t="s">
        <v>16331</v>
      </c>
      <c r="F323" s="124"/>
      <c r="G323" s="7">
        <v>0</v>
      </c>
      <c r="H323" s="7">
        <v>0</v>
      </c>
      <c r="I323" s="7">
        <v>0</v>
      </c>
      <c r="J323" s="7">
        <v>0</v>
      </c>
      <c r="K323" s="3">
        <f t="shared" si="12"/>
        <v>0</v>
      </c>
      <c r="L323" s="3"/>
      <c r="M323" s="3">
        <f t="shared" si="13"/>
        <v>0</v>
      </c>
      <c r="O323" s="5"/>
      <c r="S323" s="6"/>
    </row>
    <row r="324" spans="1:23" x14ac:dyDescent="0.45">
      <c r="A324" s="124">
        <v>823943</v>
      </c>
      <c r="B324" s="124" t="s">
        <v>17028</v>
      </c>
      <c r="C324" s="125" t="s">
        <v>17029</v>
      </c>
      <c r="D324" s="124">
        <v>6</v>
      </c>
      <c r="E324" s="124" t="s">
        <v>16334</v>
      </c>
      <c r="F324" s="126">
        <v>1.6999999999999999E-3</v>
      </c>
      <c r="G324" s="126">
        <f>(500/100000)+0.03</f>
        <v>3.4999999999999996E-2</v>
      </c>
      <c r="H324" s="126">
        <v>7.4999999999999997E-3</v>
      </c>
      <c r="I324" s="127">
        <v>0</v>
      </c>
      <c r="J324" s="127">
        <v>0</v>
      </c>
      <c r="K324" s="126">
        <f t="shared" si="12"/>
        <v>4.2499999999999996E-2</v>
      </c>
      <c r="L324" s="3"/>
      <c r="M324" s="126">
        <f t="shared" si="13"/>
        <v>4.4199999999999996E-2</v>
      </c>
      <c r="O324" s="131" t="s">
        <v>17030</v>
      </c>
      <c r="P324" s="128" t="s">
        <v>26918</v>
      </c>
      <c r="Q324" s="124">
        <f>43570+149928</f>
        <v>193498</v>
      </c>
      <c r="R324" s="124" t="s">
        <v>16348</v>
      </c>
      <c r="S324" s="132">
        <v>165012</v>
      </c>
      <c r="T324" s="129">
        <f>S324/Q324</f>
        <v>0.8527840081034429</v>
      </c>
      <c r="V324" s="125" t="s">
        <v>17031</v>
      </c>
      <c r="W324" s="124" t="s">
        <v>17021</v>
      </c>
    </row>
    <row r="325" spans="1:23" customFormat="1" x14ac:dyDescent="0.45">
      <c r="A325">
        <v>138104</v>
      </c>
      <c r="B325" t="s">
        <v>17032</v>
      </c>
      <c r="C325" t="s">
        <v>17033</v>
      </c>
      <c r="D325">
        <v>23</v>
      </c>
      <c r="F325" s="124"/>
      <c r="G325" s="7">
        <v>0</v>
      </c>
      <c r="H325" s="7">
        <v>0</v>
      </c>
      <c r="I325" s="7">
        <v>0</v>
      </c>
      <c r="J325" s="7">
        <v>0</v>
      </c>
      <c r="K325" s="3">
        <f t="shared" si="12"/>
        <v>0</v>
      </c>
      <c r="L325" s="3"/>
      <c r="M325" s="3">
        <f t="shared" si="13"/>
        <v>0</v>
      </c>
      <c r="O325" s="5"/>
      <c r="S325" s="6"/>
    </row>
    <row r="326" spans="1:23" customFormat="1" x14ac:dyDescent="0.45">
      <c r="A326">
        <v>138107</v>
      </c>
      <c r="B326" t="s">
        <v>17034</v>
      </c>
      <c r="C326" t="s">
        <v>17035</v>
      </c>
      <c r="D326">
        <v>0</v>
      </c>
      <c r="E326" t="s">
        <v>16334</v>
      </c>
      <c r="F326" s="124"/>
      <c r="G326" s="7">
        <v>0</v>
      </c>
      <c r="H326" s="7">
        <v>0</v>
      </c>
      <c r="I326" s="7">
        <v>0</v>
      </c>
      <c r="J326" s="7">
        <v>0</v>
      </c>
      <c r="K326" s="3">
        <f t="shared" si="12"/>
        <v>0</v>
      </c>
      <c r="L326" s="3"/>
      <c r="M326" s="3">
        <f t="shared" si="13"/>
        <v>0</v>
      </c>
      <c r="N326" s="7"/>
      <c r="O326" s="5"/>
      <c r="S326" s="6"/>
    </row>
    <row r="327" spans="1:23" customFormat="1" x14ac:dyDescent="0.45">
      <c r="A327">
        <v>138117</v>
      </c>
      <c r="B327" t="s">
        <v>17036</v>
      </c>
      <c r="C327" t="s">
        <v>17037</v>
      </c>
      <c r="D327">
        <v>3</v>
      </c>
      <c r="F327" s="124"/>
      <c r="G327" s="3">
        <v>0</v>
      </c>
      <c r="H327" s="3">
        <v>0</v>
      </c>
      <c r="I327" s="3">
        <v>0</v>
      </c>
      <c r="J327" s="3">
        <v>0</v>
      </c>
      <c r="K327" s="3">
        <f t="shared" si="12"/>
        <v>0</v>
      </c>
      <c r="L327" s="3"/>
      <c r="M327" s="3">
        <f t="shared" si="13"/>
        <v>0</v>
      </c>
      <c r="O327" s="5"/>
      <c r="S327" s="6"/>
    </row>
    <row r="328" spans="1:23" customFormat="1" x14ac:dyDescent="0.45">
      <c r="A328">
        <v>138169</v>
      </c>
      <c r="B328" t="s">
        <v>17038</v>
      </c>
      <c r="C328" t="s">
        <v>17039</v>
      </c>
      <c r="D328">
        <v>9</v>
      </c>
      <c r="F328" s="124"/>
      <c r="K328" s="3">
        <f t="shared" si="12"/>
        <v>0</v>
      </c>
      <c r="L328" s="3"/>
      <c r="M328" s="3">
        <f t="shared" si="13"/>
        <v>0</v>
      </c>
      <c r="O328" s="5"/>
      <c r="S328" s="6"/>
    </row>
    <row r="329" spans="1:23" x14ac:dyDescent="0.45">
      <c r="A329" s="124">
        <v>125913</v>
      </c>
      <c r="B329" s="124" t="s">
        <v>17040</v>
      </c>
      <c r="C329" s="125" t="s">
        <v>17041</v>
      </c>
      <c r="D329" s="124">
        <v>5</v>
      </c>
      <c r="E329" s="124" t="s">
        <v>16334</v>
      </c>
      <c r="F329" s="126">
        <v>1.6999999999999999E-3</v>
      </c>
      <c r="G329" s="126">
        <v>0.02</v>
      </c>
      <c r="H329" s="135">
        <v>0</v>
      </c>
      <c r="I329" s="127">
        <v>0</v>
      </c>
      <c r="J329" s="127">
        <v>7.4999999999999997E-3</v>
      </c>
      <c r="K329" s="126">
        <f t="shared" si="12"/>
        <v>2.75E-2</v>
      </c>
      <c r="L329" s="3"/>
      <c r="M329" s="126">
        <f t="shared" si="13"/>
        <v>2.92E-2</v>
      </c>
      <c r="O329" s="125" t="s">
        <v>17042</v>
      </c>
      <c r="P329" s="128" t="s">
        <v>26918</v>
      </c>
      <c r="Q329" s="130">
        <v>2056671</v>
      </c>
      <c r="R329" s="124" t="s">
        <v>16348</v>
      </c>
      <c r="S329" s="130">
        <v>2046955</v>
      </c>
      <c r="T329" s="129">
        <f>S329/Q329</f>
        <v>0.99527586084502573</v>
      </c>
      <c r="V329" s="125" t="s">
        <v>17043</v>
      </c>
    </row>
    <row r="330" spans="1:23" customFormat="1" x14ac:dyDescent="0.45">
      <c r="A330">
        <v>138206</v>
      </c>
      <c r="B330" t="s">
        <v>17044</v>
      </c>
      <c r="C330" t="s">
        <v>16331</v>
      </c>
      <c r="D330">
        <v>1</v>
      </c>
      <c r="E330" t="s">
        <v>16331</v>
      </c>
      <c r="F330" s="124"/>
      <c r="G330" s="7">
        <v>0</v>
      </c>
      <c r="H330" s="7">
        <v>0</v>
      </c>
      <c r="I330" s="7">
        <v>0</v>
      </c>
      <c r="J330" s="7">
        <v>0</v>
      </c>
      <c r="K330" s="3">
        <f t="shared" si="12"/>
        <v>0</v>
      </c>
      <c r="L330" s="3"/>
      <c r="M330" s="3">
        <f t="shared" si="13"/>
        <v>0</v>
      </c>
      <c r="O330" s="5"/>
      <c r="S330" s="6"/>
    </row>
    <row r="331" spans="1:23" customFormat="1" x14ac:dyDescent="0.45">
      <c r="A331">
        <v>138207</v>
      </c>
      <c r="B331" t="s">
        <v>17045</v>
      </c>
      <c r="C331" t="s">
        <v>16331</v>
      </c>
      <c r="D331">
        <v>2</v>
      </c>
      <c r="E331" t="s">
        <v>16331</v>
      </c>
      <c r="F331" s="124"/>
      <c r="G331" s="7">
        <v>0</v>
      </c>
      <c r="H331" s="7">
        <v>0</v>
      </c>
      <c r="I331" s="7">
        <v>0</v>
      </c>
      <c r="J331" s="7">
        <v>0</v>
      </c>
      <c r="K331" s="3">
        <f t="shared" si="12"/>
        <v>0</v>
      </c>
      <c r="L331" s="3"/>
      <c r="M331" s="3">
        <f t="shared" si="13"/>
        <v>0</v>
      </c>
      <c r="O331" s="5"/>
      <c r="S331" s="6"/>
    </row>
    <row r="332" spans="1:23" customFormat="1" x14ac:dyDescent="0.45">
      <c r="A332">
        <v>138276</v>
      </c>
      <c r="B332" t="s">
        <v>17046</v>
      </c>
      <c r="C332" t="s">
        <v>17047</v>
      </c>
      <c r="D332">
        <v>2</v>
      </c>
      <c r="F332" s="124"/>
      <c r="G332" s="7">
        <v>0</v>
      </c>
      <c r="H332" s="7">
        <v>0</v>
      </c>
      <c r="I332" s="7">
        <v>0</v>
      </c>
      <c r="J332" s="7">
        <v>0</v>
      </c>
      <c r="K332" s="3">
        <f t="shared" si="12"/>
        <v>0</v>
      </c>
      <c r="L332" s="3"/>
      <c r="M332" s="3">
        <f t="shared" si="13"/>
        <v>0</v>
      </c>
      <c r="O332" s="5"/>
      <c r="S332" s="6"/>
    </row>
    <row r="333" spans="1:23" customFormat="1" x14ac:dyDescent="0.45">
      <c r="A333">
        <v>138881</v>
      </c>
      <c r="B333" t="s">
        <v>17048</v>
      </c>
      <c r="C333" t="s">
        <v>16331</v>
      </c>
      <c r="D333">
        <v>1</v>
      </c>
      <c r="E333" t="s">
        <v>16331</v>
      </c>
      <c r="F333" s="124"/>
      <c r="G333" s="7">
        <v>0</v>
      </c>
      <c r="H333" s="7">
        <v>0</v>
      </c>
      <c r="I333" s="7">
        <v>0</v>
      </c>
      <c r="J333" s="7">
        <v>0</v>
      </c>
      <c r="K333" s="3">
        <f t="shared" si="12"/>
        <v>0</v>
      </c>
      <c r="L333" s="3"/>
      <c r="M333" s="3">
        <f t="shared" si="13"/>
        <v>0</v>
      </c>
      <c r="O333" s="5"/>
      <c r="S333" s="6"/>
    </row>
    <row r="334" spans="1:23" customFormat="1" x14ac:dyDescent="0.45">
      <c r="A334">
        <v>138895</v>
      </c>
      <c r="B334" t="s">
        <v>17049</v>
      </c>
      <c r="C334" t="s">
        <v>16331</v>
      </c>
      <c r="D334">
        <v>1</v>
      </c>
      <c r="E334" t="s">
        <v>16331</v>
      </c>
      <c r="F334" s="124"/>
      <c r="G334" s="7">
        <v>0</v>
      </c>
      <c r="H334" s="7">
        <v>0</v>
      </c>
      <c r="I334" s="7">
        <v>0</v>
      </c>
      <c r="J334" s="7">
        <v>0</v>
      </c>
      <c r="K334" s="3">
        <f t="shared" si="12"/>
        <v>0</v>
      </c>
      <c r="L334" s="3"/>
      <c r="M334" s="3">
        <f t="shared" si="13"/>
        <v>0</v>
      </c>
      <c r="O334" s="5"/>
      <c r="S334" s="6"/>
    </row>
    <row r="335" spans="1:23" customFormat="1" x14ac:dyDescent="0.45">
      <c r="A335">
        <v>138903</v>
      </c>
      <c r="B335" t="s">
        <v>17050</v>
      </c>
      <c r="C335" t="s">
        <v>17051</v>
      </c>
      <c r="D335">
        <v>2</v>
      </c>
      <c r="F335" s="124"/>
      <c r="G335" s="7">
        <v>0</v>
      </c>
      <c r="H335" s="7">
        <v>0</v>
      </c>
      <c r="I335" s="7">
        <v>0</v>
      </c>
      <c r="J335" s="7">
        <v>0</v>
      </c>
      <c r="K335" s="3">
        <f t="shared" si="12"/>
        <v>0</v>
      </c>
      <c r="L335" s="3"/>
      <c r="M335" s="3">
        <f t="shared" si="13"/>
        <v>0</v>
      </c>
      <c r="O335" s="5"/>
      <c r="S335" s="6"/>
    </row>
    <row r="336" spans="1:23" customFormat="1" x14ac:dyDescent="0.45">
      <c r="A336">
        <v>138916</v>
      </c>
      <c r="B336" t="s">
        <v>17052</v>
      </c>
      <c r="C336" t="s">
        <v>17053</v>
      </c>
      <c r="D336">
        <v>1</v>
      </c>
      <c r="F336" s="124"/>
      <c r="G336" s="7">
        <v>0</v>
      </c>
      <c r="H336" s="7">
        <v>0</v>
      </c>
      <c r="I336" s="7">
        <v>0</v>
      </c>
      <c r="J336" s="7">
        <v>0</v>
      </c>
      <c r="K336" s="3">
        <f t="shared" si="12"/>
        <v>0</v>
      </c>
      <c r="L336" s="3"/>
      <c r="M336" s="3">
        <f t="shared" si="13"/>
        <v>0</v>
      </c>
      <c r="O336" s="5"/>
      <c r="S336" s="6"/>
    </row>
    <row r="337" spans="1:24" x14ac:dyDescent="0.45">
      <c r="A337" s="124">
        <v>188596</v>
      </c>
      <c r="B337" s="124" t="s">
        <v>17054</v>
      </c>
      <c r="C337" s="125" t="s">
        <v>17055</v>
      </c>
      <c r="D337" s="124">
        <v>92</v>
      </c>
      <c r="E337" s="124" t="s">
        <v>16417</v>
      </c>
      <c r="F337" s="126">
        <f>0.47%+0.25%</f>
        <v>7.1999999999999998E-3</v>
      </c>
      <c r="G337" s="135">
        <v>0</v>
      </c>
      <c r="H337" s="137">
        <v>8.0000000000000002E-3</v>
      </c>
      <c r="I337" s="127">
        <v>0</v>
      </c>
      <c r="J337" s="127">
        <v>0</v>
      </c>
      <c r="K337" s="126">
        <f t="shared" si="12"/>
        <v>8.0000000000000002E-3</v>
      </c>
      <c r="L337" s="3"/>
      <c r="M337" s="126">
        <f t="shared" si="13"/>
        <v>1.52E-2</v>
      </c>
      <c r="N337" s="124" t="s">
        <v>17056</v>
      </c>
      <c r="O337" s="125" t="s">
        <v>17057</v>
      </c>
      <c r="P337" s="125" t="s">
        <v>17058</v>
      </c>
      <c r="Q337" s="130">
        <f>145886+14013347</f>
        <v>14159233</v>
      </c>
      <c r="R337" s="124" t="s">
        <v>16348</v>
      </c>
      <c r="S337" s="130">
        <v>8620843</v>
      </c>
      <c r="T337" s="129">
        <f>S337/Q337</f>
        <v>0.60884957539719842</v>
      </c>
      <c r="V337" s="125" t="s">
        <v>17059</v>
      </c>
      <c r="X337" s="124" t="s">
        <v>17060</v>
      </c>
    </row>
    <row r="338" spans="1:24" customFormat="1" x14ac:dyDescent="0.45">
      <c r="A338">
        <v>139034</v>
      </c>
      <c r="B338" t="s">
        <v>17061</v>
      </c>
      <c r="C338" t="s">
        <v>16331</v>
      </c>
      <c r="D338">
        <v>1</v>
      </c>
      <c r="E338" t="s">
        <v>16331</v>
      </c>
      <c r="F338" s="124"/>
      <c r="G338" s="7">
        <v>0</v>
      </c>
      <c r="H338" s="7">
        <v>0</v>
      </c>
      <c r="I338" s="7">
        <v>0</v>
      </c>
      <c r="J338" s="7">
        <v>0</v>
      </c>
      <c r="K338" s="3">
        <f t="shared" si="12"/>
        <v>0</v>
      </c>
      <c r="L338" s="3"/>
      <c r="M338" s="3">
        <f t="shared" si="13"/>
        <v>0</v>
      </c>
      <c r="O338" s="5"/>
      <c r="S338" s="6"/>
    </row>
    <row r="339" spans="1:24" customFormat="1" x14ac:dyDescent="0.45">
      <c r="A339">
        <v>139179</v>
      </c>
      <c r="B339" t="s">
        <v>17062</v>
      </c>
      <c r="C339" t="s">
        <v>17063</v>
      </c>
      <c r="D339">
        <v>95</v>
      </c>
      <c r="E339" t="s">
        <v>16417</v>
      </c>
      <c r="F339" s="124"/>
      <c r="G339" s="7">
        <v>0</v>
      </c>
      <c r="H339" s="7">
        <v>0</v>
      </c>
      <c r="I339" s="7">
        <v>0</v>
      </c>
      <c r="J339" s="7">
        <v>0</v>
      </c>
      <c r="K339" s="3">
        <f t="shared" si="12"/>
        <v>0</v>
      </c>
      <c r="L339" s="3"/>
      <c r="M339" s="3">
        <f t="shared" si="13"/>
        <v>0</v>
      </c>
      <c r="N339" s="7"/>
      <c r="O339" s="5"/>
      <c r="S339" s="6"/>
    </row>
    <row r="340" spans="1:24" customFormat="1" x14ac:dyDescent="0.45">
      <c r="A340">
        <v>139189</v>
      </c>
      <c r="B340" t="s">
        <v>17064</v>
      </c>
      <c r="C340" t="s">
        <v>17065</v>
      </c>
      <c r="D340">
        <v>0</v>
      </c>
      <c r="E340" t="s">
        <v>16593</v>
      </c>
      <c r="F340" s="124"/>
      <c r="G340" s="7">
        <v>0</v>
      </c>
      <c r="H340" s="7">
        <v>0</v>
      </c>
      <c r="I340" s="7">
        <v>0</v>
      </c>
      <c r="J340" s="7">
        <v>0</v>
      </c>
      <c r="K340" s="3">
        <f t="shared" si="12"/>
        <v>0</v>
      </c>
      <c r="L340" s="3"/>
      <c r="M340" s="3">
        <f t="shared" si="13"/>
        <v>0</v>
      </c>
      <c r="N340" s="7"/>
      <c r="O340" s="5"/>
      <c r="S340" s="6"/>
    </row>
    <row r="341" spans="1:24" customFormat="1" x14ac:dyDescent="0.45">
      <c r="A341">
        <v>139253</v>
      </c>
      <c r="B341" t="s">
        <v>17066</v>
      </c>
      <c r="C341" t="s">
        <v>17067</v>
      </c>
      <c r="D341">
        <v>0</v>
      </c>
      <c r="E341" t="s">
        <v>16561</v>
      </c>
      <c r="F341" s="124"/>
      <c r="G341" s="7">
        <v>0</v>
      </c>
      <c r="H341" s="7">
        <v>0</v>
      </c>
      <c r="I341" s="7">
        <v>0</v>
      </c>
      <c r="J341" s="7">
        <v>0</v>
      </c>
      <c r="K341" s="3">
        <f t="shared" si="12"/>
        <v>0</v>
      </c>
      <c r="L341" s="3"/>
      <c r="M341" s="3">
        <f t="shared" si="13"/>
        <v>0</v>
      </c>
      <c r="N341" s="7"/>
      <c r="O341" s="5"/>
      <c r="S341" s="6"/>
    </row>
    <row r="342" spans="1:24" customFormat="1" x14ac:dyDescent="0.45">
      <c r="A342">
        <v>139459</v>
      </c>
      <c r="B342" t="s">
        <v>17068</v>
      </c>
      <c r="C342" t="s">
        <v>16331</v>
      </c>
      <c r="D342">
        <v>0</v>
      </c>
      <c r="E342" t="s">
        <v>16331</v>
      </c>
      <c r="F342" s="124"/>
      <c r="K342" s="3">
        <f t="shared" si="12"/>
        <v>0</v>
      </c>
      <c r="L342" s="3"/>
      <c r="M342" s="3">
        <f t="shared" si="13"/>
        <v>0</v>
      </c>
      <c r="O342" s="5"/>
      <c r="S342" s="6"/>
    </row>
    <row r="343" spans="1:24" customFormat="1" x14ac:dyDescent="0.45">
      <c r="A343">
        <v>140180</v>
      </c>
      <c r="B343" t="s">
        <v>17069</v>
      </c>
      <c r="C343" t="s">
        <v>16331</v>
      </c>
      <c r="D343">
        <v>1</v>
      </c>
      <c r="E343" t="s">
        <v>16331</v>
      </c>
      <c r="F343" s="124"/>
      <c r="G343" s="7">
        <v>0</v>
      </c>
      <c r="H343" s="7">
        <v>0</v>
      </c>
      <c r="I343" s="7">
        <v>0</v>
      </c>
      <c r="J343" s="7">
        <v>0</v>
      </c>
      <c r="K343" s="3">
        <f t="shared" si="12"/>
        <v>0</v>
      </c>
      <c r="L343" s="3"/>
      <c r="M343" s="3">
        <f t="shared" si="13"/>
        <v>0</v>
      </c>
      <c r="O343" s="5"/>
      <c r="S343" s="6"/>
    </row>
    <row r="344" spans="1:24" customFormat="1" x14ac:dyDescent="0.45">
      <c r="A344">
        <v>140448</v>
      </c>
      <c r="B344" t="s">
        <v>17070</v>
      </c>
      <c r="C344" t="s">
        <v>16331</v>
      </c>
      <c r="D344">
        <v>3</v>
      </c>
      <c r="E344" t="s">
        <v>16331</v>
      </c>
      <c r="F344" s="124"/>
      <c r="G344" s="7">
        <v>0</v>
      </c>
      <c r="H344" s="7">
        <v>0</v>
      </c>
      <c r="I344" s="7">
        <v>0</v>
      </c>
      <c r="J344" s="7">
        <v>0</v>
      </c>
      <c r="K344" s="3">
        <f t="shared" ref="K344:K407" si="14">SUM(G344:J344)</f>
        <v>0</v>
      </c>
      <c r="L344" s="3"/>
      <c r="M344" s="3">
        <f t="shared" ref="M344:M407" si="15">K344+F344</f>
        <v>0</v>
      </c>
      <c r="O344" s="5"/>
      <c r="S344" s="6"/>
    </row>
    <row r="345" spans="1:24" customFormat="1" x14ac:dyDescent="0.45">
      <c r="A345">
        <v>140773</v>
      </c>
      <c r="B345" t="s">
        <v>17071</v>
      </c>
      <c r="C345" t="s">
        <v>17072</v>
      </c>
      <c r="D345">
        <v>13</v>
      </c>
      <c r="F345" s="124"/>
      <c r="G345" s="7">
        <v>0</v>
      </c>
      <c r="H345" s="7">
        <v>0</v>
      </c>
      <c r="I345" s="7">
        <v>0</v>
      </c>
      <c r="J345" s="7">
        <v>0</v>
      </c>
      <c r="K345" s="3">
        <f t="shared" si="14"/>
        <v>0</v>
      </c>
      <c r="L345" s="3"/>
      <c r="M345" s="3">
        <f t="shared" si="15"/>
        <v>0</v>
      </c>
      <c r="N345" s="7"/>
      <c r="O345" s="5"/>
      <c r="S345" s="6"/>
    </row>
    <row r="346" spans="1:24" customFormat="1" x14ac:dyDescent="0.45">
      <c r="A346">
        <v>140848</v>
      </c>
      <c r="B346" t="s">
        <v>17073</v>
      </c>
      <c r="C346" s="2" t="s">
        <v>17074</v>
      </c>
      <c r="D346">
        <v>32</v>
      </c>
      <c r="E346" t="s">
        <v>16417</v>
      </c>
      <c r="F346" s="124"/>
      <c r="K346" s="3">
        <f t="shared" si="14"/>
        <v>0</v>
      </c>
      <c r="L346" s="3"/>
      <c r="M346" s="3">
        <f t="shared" si="15"/>
        <v>0</v>
      </c>
      <c r="O346" s="5" t="str">
        <f>Q346</f>
        <v>http://www.db.com/files/documents/costs-and-charges/investment-bank-products--bonds--corporate-bond.pdf</v>
      </c>
      <c r="Q346" t="s">
        <v>17075</v>
      </c>
      <c r="S346" s="6"/>
    </row>
    <row r="347" spans="1:24" customFormat="1" x14ac:dyDescent="0.45">
      <c r="A347">
        <v>140948</v>
      </c>
      <c r="B347" t="s">
        <v>17076</v>
      </c>
      <c r="C347" t="s">
        <v>17077</v>
      </c>
      <c r="D347">
        <v>7</v>
      </c>
      <c r="F347" s="124"/>
      <c r="G347" s="7">
        <v>0</v>
      </c>
      <c r="H347" s="7">
        <v>0</v>
      </c>
      <c r="I347" s="7">
        <v>0</v>
      </c>
      <c r="J347" s="7">
        <v>0</v>
      </c>
      <c r="K347" s="3">
        <f t="shared" si="14"/>
        <v>0</v>
      </c>
      <c r="L347" s="3"/>
      <c r="M347" s="3">
        <f t="shared" si="15"/>
        <v>0</v>
      </c>
      <c r="N347" s="7"/>
      <c r="O347" s="5"/>
      <c r="S347" s="6"/>
    </row>
    <row r="348" spans="1:24" customFormat="1" x14ac:dyDescent="0.45">
      <c r="A348">
        <v>141025</v>
      </c>
      <c r="B348" t="s">
        <v>17078</v>
      </c>
      <c r="C348" t="s">
        <v>16331</v>
      </c>
      <c r="D348">
        <v>0</v>
      </c>
      <c r="E348" t="s">
        <v>16331</v>
      </c>
      <c r="F348" s="124"/>
      <c r="G348" s="7">
        <v>0</v>
      </c>
      <c r="H348" s="7">
        <v>0</v>
      </c>
      <c r="I348" s="7">
        <v>0</v>
      </c>
      <c r="J348" s="7">
        <v>0</v>
      </c>
      <c r="K348" s="3">
        <f t="shared" si="14"/>
        <v>0</v>
      </c>
      <c r="L348" s="3"/>
      <c r="M348" s="3">
        <f t="shared" si="15"/>
        <v>0</v>
      </c>
      <c r="O348" s="5"/>
      <c r="S348" s="6"/>
    </row>
    <row r="349" spans="1:24" customFormat="1" x14ac:dyDescent="0.45">
      <c r="A349">
        <v>141282</v>
      </c>
      <c r="B349" t="s">
        <v>17079</v>
      </c>
      <c r="C349" t="s">
        <v>17080</v>
      </c>
      <c r="D349">
        <v>0</v>
      </c>
      <c r="E349" t="s">
        <v>16334</v>
      </c>
      <c r="F349" s="124"/>
      <c r="G349" s="7">
        <v>0</v>
      </c>
      <c r="H349" s="7">
        <v>0</v>
      </c>
      <c r="I349" s="7">
        <v>0</v>
      </c>
      <c r="J349" s="7">
        <v>0</v>
      </c>
      <c r="K349" s="3">
        <f t="shared" si="14"/>
        <v>0</v>
      </c>
      <c r="L349" s="3"/>
      <c r="M349" s="3">
        <f t="shared" si="15"/>
        <v>0</v>
      </c>
      <c r="O349" s="5"/>
      <c r="S349" s="6"/>
    </row>
    <row r="350" spans="1:24" customFormat="1" x14ac:dyDescent="0.45">
      <c r="A350">
        <v>141309</v>
      </c>
      <c r="B350" t="s">
        <v>17081</v>
      </c>
      <c r="C350" t="s">
        <v>17082</v>
      </c>
      <c r="D350">
        <v>0</v>
      </c>
      <c r="E350" t="s">
        <v>17083</v>
      </c>
      <c r="F350" s="124"/>
      <c r="I350" s="3"/>
      <c r="K350" s="3">
        <f t="shared" si="14"/>
        <v>0</v>
      </c>
      <c r="L350" s="3"/>
      <c r="M350" s="3">
        <f t="shared" si="15"/>
        <v>0</v>
      </c>
      <c r="O350" s="5"/>
      <c r="S350" s="6"/>
    </row>
    <row r="351" spans="1:24" x14ac:dyDescent="0.45">
      <c r="A351" s="124">
        <v>126319</v>
      </c>
      <c r="B351" s="124" t="s">
        <v>17084</v>
      </c>
      <c r="C351" s="125" t="s">
        <v>17085</v>
      </c>
      <c r="D351" s="124">
        <v>2</v>
      </c>
      <c r="E351" s="124" t="s">
        <v>16334</v>
      </c>
      <c r="F351" s="126">
        <v>1.6999999999999999E-3</v>
      </c>
      <c r="G351" s="126">
        <v>0</v>
      </c>
      <c r="H351" s="135">
        <v>0</v>
      </c>
      <c r="I351" s="127">
        <v>0</v>
      </c>
      <c r="J351" s="127">
        <v>8.5000000000000006E-3</v>
      </c>
      <c r="K351" s="126">
        <f t="shared" si="14"/>
        <v>8.5000000000000006E-3</v>
      </c>
      <c r="L351" s="3"/>
      <c r="M351" s="126">
        <f t="shared" si="15"/>
        <v>1.0200000000000001E-2</v>
      </c>
      <c r="N351" s="124" t="s">
        <v>17086</v>
      </c>
      <c r="O351" s="125" t="s">
        <v>17087</v>
      </c>
      <c r="P351" s="128" t="s">
        <v>26918</v>
      </c>
      <c r="Q351" s="130">
        <v>215782</v>
      </c>
      <c r="R351" s="124" t="s">
        <v>16348</v>
      </c>
      <c r="S351" s="130">
        <v>215182</v>
      </c>
      <c r="T351" s="129">
        <f>S351/Q351</f>
        <v>0.99721941589196506</v>
      </c>
      <c r="V351" s="125" t="s">
        <v>17088</v>
      </c>
      <c r="X351" s="124" t="s">
        <v>17089</v>
      </c>
    </row>
    <row r="352" spans="1:24" x14ac:dyDescent="0.45">
      <c r="A352" s="124">
        <v>960483</v>
      </c>
      <c r="B352" s="124" t="s">
        <v>17090</v>
      </c>
      <c r="C352" s="125" t="s">
        <v>17091</v>
      </c>
      <c r="D352" s="124">
        <v>3</v>
      </c>
      <c r="E352" s="124" t="s">
        <v>16334</v>
      </c>
      <c r="F352" s="126">
        <v>1.6999999999999999E-3</v>
      </c>
      <c r="G352" s="126">
        <v>1.95E-2</v>
      </c>
      <c r="H352" s="126">
        <v>7.0000000000000001E-3</v>
      </c>
      <c r="I352" s="127">
        <v>0</v>
      </c>
      <c r="J352" s="127"/>
      <c r="K352" s="126">
        <f t="shared" si="14"/>
        <v>2.6499999999999999E-2</v>
      </c>
      <c r="L352" s="3"/>
      <c r="M352" s="126">
        <f t="shared" si="15"/>
        <v>2.8199999999999999E-2</v>
      </c>
      <c r="O352" s="131" t="s">
        <v>17092</v>
      </c>
      <c r="P352" s="128" t="s">
        <v>26918</v>
      </c>
      <c r="Q352" s="130">
        <f>170776+129159</f>
        <v>299935</v>
      </c>
      <c r="R352" s="124" t="s">
        <v>16348</v>
      </c>
      <c r="S352" s="132">
        <v>121879</v>
      </c>
      <c r="T352" s="129">
        <f>S352/Q352</f>
        <v>0.40635137613149513</v>
      </c>
      <c r="V352" s="125" t="s">
        <v>17093</v>
      </c>
    </row>
    <row r="353" spans="1:23" customFormat="1" x14ac:dyDescent="0.45">
      <c r="A353">
        <v>141933</v>
      </c>
      <c r="B353" t="s">
        <v>17094</v>
      </c>
      <c r="C353" t="s">
        <v>17095</v>
      </c>
      <c r="D353">
        <v>1</v>
      </c>
      <c r="F353" s="124"/>
      <c r="K353" s="3">
        <f t="shared" si="14"/>
        <v>0</v>
      </c>
      <c r="L353" s="3"/>
      <c r="M353" s="3">
        <f t="shared" si="15"/>
        <v>0</v>
      </c>
      <c r="O353" s="5"/>
      <c r="S353" s="6"/>
    </row>
    <row r="354" spans="1:23" customFormat="1" x14ac:dyDescent="0.45">
      <c r="A354">
        <v>142235</v>
      </c>
      <c r="B354" t="s">
        <v>17096</v>
      </c>
      <c r="C354" t="s">
        <v>17097</v>
      </c>
      <c r="D354">
        <v>0</v>
      </c>
      <c r="E354" t="s">
        <v>16561</v>
      </c>
      <c r="F354" s="124"/>
      <c r="G354" s="7">
        <v>0</v>
      </c>
      <c r="H354" s="3">
        <v>0</v>
      </c>
      <c r="I354" s="3">
        <v>0</v>
      </c>
      <c r="J354">
        <v>0</v>
      </c>
      <c r="K354" s="3">
        <f t="shared" si="14"/>
        <v>0</v>
      </c>
      <c r="L354" s="3"/>
      <c r="M354" s="3">
        <f t="shared" si="15"/>
        <v>0</v>
      </c>
      <c r="O354" s="5"/>
      <c r="S354" s="6"/>
    </row>
    <row r="355" spans="1:23" customFormat="1" x14ac:dyDescent="0.45">
      <c r="A355">
        <v>142468</v>
      </c>
      <c r="B355" t="s">
        <v>17098</v>
      </c>
      <c r="C355" s="2" t="s">
        <v>17099</v>
      </c>
      <c r="D355">
        <v>2</v>
      </c>
      <c r="F355" s="125"/>
      <c r="G355" s="3">
        <v>0</v>
      </c>
      <c r="H355" s="3">
        <v>0</v>
      </c>
      <c r="I355" s="3">
        <v>0</v>
      </c>
      <c r="J355" s="3">
        <v>0</v>
      </c>
      <c r="K355" s="3">
        <f t="shared" si="14"/>
        <v>0</v>
      </c>
      <c r="L355" s="3"/>
      <c r="M355" s="3">
        <f t="shared" si="15"/>
        <v>0</v>
      </c>
      <c r="O355" s="5"/>
      <c r="S355" s="6"/>
    </row>
    <row r="356" spans="1:23" customFormat="1" x14ac:dyDescent="0.45">
      <c r="A356">
        <v>142499</v>
      </c>
      <c r="B356" t="s">
        <v>17100</v>
      </c>
      <c r="C356" t="s">
        <v>16331</v>
      </c>
      <c r="D356">
        <v>0</v>
      </c>
      <c r="E356" t="s">
        <v>16331</v>
      </c>
      <c r="F356" s="124"/>
      <c r="G356" s="7">
        <v>0</v>
      </c>
      <c r="H356" s="7">
        <v>0</v>
      </c>
      <c r="I356" s="7">
        <v>0</v>
      </c>
      <c r="J356" s="7">
        <v>0</v>
      </c>
      <c r="K356" s="3">
        <f t="shared" si="14"/>
        <v>0</v>
      </c>
      <c r="L356" s="3"/>
      <c r="M356" s="3">
        <f t="shared" si="15"/>
        <v>0</v>
      </c>
      <c r="N356" s="7"/>
      <c r="O356" s="5"/>
      <c r="S356" s="6"/>
    </row>
    <row r="357" spans="1:23" customFormat="1" x14ac:dyDescent="0.45">
      <c r="A357">
        <v>142521</v>
      </c>
      <c r="B357" t="s">
        <v>17101</v>
      </c>
      <c r="C357" t="s">
        <v>16331</v>
      </c>
      <c r="D357">
        <v>2</v>
      </c>
      <c r="E357" t="s">
        <v>16331</v>
      </c>
      <c r="F357" s="124"/>
      <c r="G357" s="7">
        <v>0</v>
      </c>
      <c r="H357" s="7">
        <v>0</v>
      </c>
      <c r="I357" s="7">
        <v>0</v>
      </c>
      <c r="J357" s="7">
        <v>0</v>
      </c>
      <c r="K357" s="3">
        <f t="shared" si="14"/>
        <v>0</v>
      </c>
      <c r="L357" s="3"/>
      <c r="M357" s="3">
        <f t="shared" si="15"/>
        <v>0</v>
      </c>
      <c r="O357" s="5"/>
      <c r="S357" s="6"/>
    </row>
    <row r="358" spans="1:23" customFormat="1" x14ac:dyDescent="0.45">
      <c r="A358">
        <v>142665</v>
      </c>
      <c r="B358" t="s">
        <v>17102</v>
      </c>
      <c r="C358" t="s">
        <v>17103</v>
      </c>
      <c r="D358">
        <v>2</v>
      </c>
      <c r="F358" s="124"/>
      <c r="G358" s="7">
        <v>0</v>
      </c>
      <c r="H358" s="7">
        <v>0</v>
      </c>
      <c r="I358" s="7">
        <v>0</v>
      </c>
      <c r="J358" s="7">
        <v>0</v>
      </c>
      <c r="K358" s="3">
        <f t="shared" si="14"/>
        <v>0</v>
      </c>
      <c r="L358" s="3"/>
      <c r="M358" s="3">
        <f t="shared" si="15"/>
        <v>0</v>
      </c>
      <c r="O358" s="5"/>
      <c r="S358" s="6"/>
    </row>
    <row r="359" spans="1:23" x14ac:dyDescent="0.45">
      <c r="A359" s="124">
        <v>142693</v>
      </c>
      <c r="B359" s="124" t="s">
        <v>17104</v>
      </c>
      <c r="C359" s="125" t="s">
        <v>17105</v>
      </c>
      <c r="D359" s="124">
        <v>17</v>
      </c>
      <c r="E359" s="124" t="s">
        <v>16334</v>
      </c>
      <c r="F359" s="126">
        <v>2.2000000000000001E-3</v>
      </c>
      <c r="G359" s="126">
        <v>0.02</v>
      </c>
      <c r="H359" s="126">
        <f>1.5/2/100</f>
        <v>7.4999999999999997E-3</v>
      </c>
      <c r="I359" s="127">
        <v>0</v>
      </c>
      <c r="J359" s="127">
        <v>0</v>
      </c>
      <c r="K359" s="126">
        <f t="shared" si="14"/>
        <v>2.75E-2</v>
      </c>
      <c r="L359" s="3"/>
      <c r="M359" s="126">
        <f t="shared" si="15"/>
        <v>2.9700000000000001E-2</v>
      </c>
      <c r="O359" s="125" t="s">
        <v>17106</v>
      </c>
      <c r="Q359" s="130">
        <v>1</v>
      </c>
      <c r="R359" s="124" t="s">
        <v>16348</v>
      </c>
      <c r="S359" s="130">
        <v>1</v>
      </c>
      <c r="T359" s="129">
        <f>S359/Q359</f>
        <v>1</v>
      </c>
      <c r="V359" s="124" t="s">
        <v>16349</v>
      </c>
    </row>
    <row r="360" spans="1:23" customFormat="1" x14ac:dyDescent="0.45">
      <c r="A360">
        <v>142752</v>
      </c>
      <c r="B360" t="s">
        <v>17107</v>
      </c>
      <c r="C360" t="s">
        <v>17108</v>
      </c>
      <c r="D360">
        <v>32</v>
      </c>
      <c r="F360" s="124"/>
      <c r="G360" s="7">
        <v>0</v>
      </c>
      <c r="H360" s="7">
        <v>0</v>
      </c>
      <c r="I360" s="7">
        <v>0</v>
      </c>
      <c r="J360" s="7">
        <v>0</v>
      </c>
      <c r="K360" s="3">
        <f t="shared" si="14"/>
        <v>0</v>
      </c>
      <c r="L360" s="3"/>
      <c r="M360" s="3">
        <f t="shared" si="15"/>
        <v>0</v>
      </c>
      <c r="O360" s="5"/>
      <c r="S360" s="6"/>
    </row>
    <row r="361" spans="1:23" customFormat="1" x14ac:dyDescent="0.45">
      <c r="A361">
        <v>142825</v>
      </c>
      <c r="B361" t="s">
        <v>17109</v>
      </c>
      <c r="C361" t="s">
        <v>16331</v>
      </c>
      <c r="D361">
        <v>1</v>
      </c>
      <c r="E361" t="s">
        <v>16331</v>
      </c>
      <c r="F361" s="124"/>
      <c r="G361" s="7">
        <v>0</v>
      </c>
      <c r="H361" s="7">
        <v>0</v>
      </c>
      <c r="I361" s="7">
        <v>0</v>
      </c>
      <c r="J361" s="7">
        <v>0</v>
      </c>
      <c r="K361" s="3">
        <f t="shared" si="14"/>
        <v>0</v>
      </c>
      <c r="L361" s="3"/>
      <c r="M361" s="3">
        <f t="shared" si="15"/>
        <v>0</v>
      </c>
      <c r="O361" s="5"/>
      <c r="S361" s="6"/>
    </row>
    <row r="362" spans="1:23" s="34" customFormat="1" x14ac:dyDescent="0.45">
      <c r="A362" s="34">
        <v>142888</v>
      </c>
      <c r="B362" s="34" t="s">
        <v>17110</v>
      </c>
      <c r="C362" s="34" t="s">
        <v>17111</v>
      </c>
      <c r="D362" s="34">
        <v>218</v>
      </c>
      <c r="E362" s="34" t="s">
        <v>17112</v>
      </c>
      <c r="F362" s="124"/>
      <c r="G362" s="35">
        <v>0</v>
      </c>
      <c r="H362" s="35">
        <v>0</v>
      </c>
      <c r="I362" s="35">
        <v>0</v>
      </c>
      <c r="J362" s="35">
        <v>0</v>
      </c>
      <c r="K362" s="36">
        <f t="shared" si="14"/>
        <v>0</v>
      </c>
      <c r="L362" s="36"/>
      <c r="M362" s="36">
        <f t="shared" si="15"/>
        <v>0</v>
      </c>
      <c r="N362" s="35" t="s">
        <v>17113</v>
      </c>
      <c r="O362" s="34" t="s">
        <v>17112</v>
      </c>
      <c r="T362" s="37"/>
    </row>
    <row r="363" spans="1:23" customFormat="1" x14ac:dyDescent="0.45">
      <c r="A363">
        <v>142903</v>
      </c>
      <c r="B363" t="s">
        <v>17114</v>
      </c>
      <c r="C363" t="s">
        <v>17115</v>
      </c>
      <c r="D363">
        <v>0</v>
      </c>
      <c r="E363" t="s">
        <v>17116</v>
      </c>
      <c r="F363" s="124"/>
      <c r="G363" s="7">
        <v>0</v>
      </c>
      <c r="H363" s="3">
        <v>0</v>
      </c>
      <c r="I363" s="3">
        <v>0</v>
      </c>
      <c r="J363">
        <v>0</v>
      </c>
      <c r="K363" s="3">
        <f t="shared" si="14"/>
        <v>0</v>
      </c>
      <c r="L363" s="3"/>
      <c r="M363" s="3">
        <f t="shared" si="15"/>
        <v>0</v>
      </c>
      <c r="O363" s="5"/>
      <c r="S363" s="6"/>
    </row>
    <row r="364" spans="1:23" x14ac:dyDescent="0.45">
      <c r="A364" s="124">
        <v>629329</v>
      </c>
      <c r="B364" s="124" t="s">
        <v>17117</v>
      </c>
      <c r="C364" s="125" t="s">
        <v>17118</v>
      </c>
      <c r="D364" s="124">
        <v>5</v>
      </c>
      <c r="E364" s="124" t="s">
        <v>16334</v>
      </c>
      <c r="F364" s="126">
        <v>1.6999999999999999E-3</v>
      </c>
      <c r="G364" s="126">
        <v>3.7900000000000003E-2</v>
      </c>
      <c r="H364" s="126">
        <f>3790/100000</f>
        <v>3.7900000000000003E-2</v>
      </c>
      <c r="I364" s="127">
        <v>0</v>
      </c>
      <c r="J364" s="127">
        <v>0</v>
      </c>
      <c r="K364" s="126">
        <f t="shared" si="14"/>
        <v>7.5800000000000006E-2</v>
      </c>
      <c r="L364" s="3"/>
      <c r="M364" s="126">
        <f t="shared" si="15"/>
        <v>7.7499999999999999E-2</v>
      </c>
      <c r="N364" s="124" t="s">
        <v>17119</v>
      </c>
      <c r="O364" s="125" t="s">
        <v>17120</v>
      </c>
      <c r="P364" s="128" t="s">
        <v>26918</v>
      </c>
      <c r="Q364" s="124">
        <f>272311+40451</f>
        <v>312762</v>
      </c>
      <c r="R364" s="124" t="s">
        <v>16348</v>
      </c>
      <c r="S364" s="132">
        <v>268335</v>
      </c>
      <c r="T364" s="129">
        <f>S364/Q364</f>
        <v>0.85795269246263928</v>
      </c>
      <c r="V364" s="125" t="s">
        <v>17121</v>
      </c>
      <c r="W364" s="124" t="s">
        <v>17021</v>
      </c>
    </row>
    <row r="365" spans="1:23" customFormat="1" x14ac:dyDescent="0.45">
      <c r="A365">
        <v>143312</v>
      </c>
      <c r="B365" t="s">
        <v>17122</v>
      </c>
      <c r="C365" t="s">
        <v>17123</v>
      </c>
      <c r="D365">
        <v>9</v>
      </c>
      <c r="F365" s="124"/>
      <c r="G365" s="7">
        <v>0</v>
      </c>
      <c r="H365" s="7">
        <v>0</v>
      </c>
      <c r="I365" s="7">
        <v>0</v>
      </c>
      <c r="J365" s="7">
        <v>0</v>
      </c>
      <c r="K365" s="3">
        <f t="shared" si="14"/>
        <v>0</v>
      </c>
      <c r="L365" s="3"/>
      <c r="M365" s="3">
        <f t="shared" si="15"/>
        <v>0</v>
      </c>
      <c r="O365" s="5"/>
      <c r="S365" s="6"/>
    </row>
    <row r="366" spans="1:23" customFormat="1" x14ac:dyDescent="0.45">
      <c r="A366">
        <v>143336</v>
      </c>
      <c r="B366" t="s">
        <v>17124</v>
      </c>
      <c r="C366" s="2" t="s">
        <v>17125</v>
      </c>
      <c r="D366">
        <v>22</v>
      </c>
      <c r="F366" s="124"/>
      <c r="G366" s="7">
        <v>0</v>
      </c>
      <c r="H366" s="7">
        <v>0</v>
      </c>
      <c r="I366" s="7">
        <v>0</v>
      </c>
      <c r="J366" s="7">
        <v>0</v>
      </c>
      <c r="K366" s="3">
        <f t="shared" si="14"/>
        <v>0</v>
      </c>
      <c r="L366" s="3"/>
      <c r="M366" s="3">
        <f t="shared" si="15"/>
        <v>0</v>
      </c>
      <c r="N366" s="7"/>
      <c r="O366" s="5"/>
      <c r="S366" s="6"/>
    </row>
    <row r="367" spans="1:23" x14ac:dyDescent="0.45">
      <c r="A367" s="124">
        <v>471152</v>
      </c>
      <c r="B367" s="124" t="s">
        <v>17126</v>
      </c>
      <c r="C367" s="125" t="s">
        <v>17127</v>
      </c>
      <c r="D367" s="124">
        <v>2</v>
      </c>
      <c r="E367" s="124" t="s">
        <v>16334</v>
      </c>
      <c r="F367" s="126">
        <v>1.6999999999999999E-3</v>
      </c>
      <c r="G367" s="126">
        <v>0.01</v>
      </c>
      <c r="H367" s="126">
        <v>0.06</v>
      </c>
      <c r="I367" s="127"/>
      <c r="J367" s="127"/>
      <c r="K367" s="126">
        <f t="shared" si="14"/>
        <v>6.9999999999999993E-2</v>
      </c>
      <c r="L367" s="3"/>
      <c r="M367" s="126">
        <f t="shared" si="15"/>
        <v>7.1699999999999986E-2</v>
      </c>
      <c r="O367" s="131" t="s">
        <v>17128</v>
      </c>
      <c r="P367" s="128" t="s">
        <v>26918</v>
      </c>
      <c r="Q367" s="124">
        <f>110086+165944</f>
        <v>276030</v>
      </c>
      <c r="R367" s="124" t="s">
        <v>16348</v>
      </c>
      <c r="S367" s="132">
        <v>59904</v>
      </c>
      <c r="T367" s="129">
        <f>S367/Q367</f>
        <v>0.21701988914248452</v>
      </c>
      <c r="V367" s="125" t="s">
        <v>17129</v>
      </c>
      <c r="W367" s="124" t="s">
        <v>17130</v>
      </c>
    </row>
    <row r="368" spans="1:23" customFormat="1" x14ac:dyDescent="0.45">
      <c r="A368">
        <v>143646</v>
      </c>
      <c r="B368" t="s">
        <v>17131</v>
      </c>
      <c r="C368" t="s">
        <v>17132</v>
      </c>
      <c r="D368">
        <v>12</v>
      </c>
      <c r="F368" s="124"/>
      <c r="K368" s="3">
        <f t="shared" si="14"/>
        <v>0</v>
      </c>
      <c r="L368" s="3"/>
      <c r="M368" s="3">
        <f t="shared" si="15"/>
        <v>0</v>
      </c>
      <c r="O368" s="5"/>
      <c r="S368" s="6"/>
    </row>
    <row r="369" spans="1:23" customFormat="1" x14ac:dyDescent="0.45">
      <c r="A369">
        <v>143694</v>
      </c>
      <c r="B369" t="s">
        <v>17133</v>
      </c>
      <c r="C369" t="s">
        <v>16331</v>
      </c>
      <c r="D369">
        <v>0</v>
      </c>
      <c r="E369" t="s">
        <v>16331</v>
      </c>
      <c r="F369" s="124"/>
      <c r="G369" s="7">
        <v>0</v>
      </c>
      <c r="H369" s="7">
        <v>0</v>
      </c>
      <c r="I369" s="7">
        <v>0</v>
      </c>
      <c r="J369" s="7">
        <v>0</v>
      </c>
      <c r="K369" s="3">
        <f t="shared" si="14"/>
        <v>0</v>
      </c>
      <c r="L369" s="3"/>
      <c r="M369" s="3">
        <f t="shared" si="15"/>
        <v>0</v>
      </c>
      <c r="O369" s="5"/>
      <c r="S369" s="6"/>
    </row>
    <row r="370" spans="1:23" customFormat="1" x14ac:dyDescent="0.45">
      <c r="A370">
        <v>143818</v>
      </c>
      <c r="B370" t="s">
        <v>17134</v>
      </c>
      <c r="C370" t="s">
        <v>17135</v>
      </c>
      <c r="D370">
        <v>3</v>
      </c>
      <c r="F370" s="124"/>
      <c r="G370" s="3">
        <v>0</v>
      </c>
      <c r="H370" s="3">
        <v>0</v>
      </c>
      <c r="I370" s="3">
        <v>0</v>
      </c>
      <c r="J370" s="3">
        <v>0</v>
      </c>
      <c r="K370" s="3">
        <f t="shared" si="14"/>
        <v>0</v>
      </c>
      <c r="L370" s="3"/>
      <c r="M370" s="3">
        <f t="shared" si="15"/>
        <v>0</v>
      </c>
      <c r="O370" s="5"/>
      <c r="S370" s="6"/>
    </row>
    <row r="371" spans="1:23" customFormat="1" x14ac:dyDescent="0.45">
      <c r="A371">
        <v>143911</v>
      </c>
      <c r="B371" t="s">
        <v>17136</v>
      </c>
      <c r="C371" t="s">
        <v>17137</v>
      </c>
      <c r="D371">
        <v>2</v>
      </c>
      <c r="F371" s="124"/>
      <c r="G371" s="7">
        <v>0</v>
      </c>
      <c r="H371" s="7">
        <v>0</v>
      </c>
      <c r="I371" s="7">
        <v>0</v>
      </c>
      <c r="J371" s="7">
        <v>0</v>
      </c>
      <c r="K371" s="3">
        <f t="shared" si="14"/>
        <v>0</v>
      </c>
      <c r="L371" s="3"/>
      <c r="M371" s="3">
        <f t="shared" si="15"/>
        <v>0</v>
      </c>
      <c r="O371" s="5"/>
      <c r="S371" s="6"/>
    </row>
    <row r="372" spans="1:23" customFormat="1" x14ac:dyDescent="0.45">
      <c r="A372">
        <v>144036</v>
      </c>
      <c r="B372" t="s">
        <v>17138</v>
      </c>
      <c r="C372" t="s">
        <v>17139</v>
      </c>
      <c r="D372">
        <v>93</v>
      </c>
      <c r="E372" t="s">
        <v>16417</v>
      </c>
      <c r="F372" s="124"/>
      <c r="G372" s="7">
        <v>0</v>
      </c>
      <c r="H372" s="7">
        <v>0</v>
      </c>
      <c r="I372" s="7">
        <v>0</v>
      </c>
      <c r="J372" s="7">
        <v>0</v>
      </c>
      <c r="K372" s="3">
        <f t="shared" si="14"/>
        <v>0</v>
      </c>
      <c r="L372" s="3"/>
      <c r="M372" s="3">
        <f t="shared" si="15"/>
        <v>0</v>
      </c>
      <c r="N372" s="7"/>
      <c r="O372" s="5"/>
      <c r="S372" s="6"/>
    </row>
    <row r="373" spans="1:23" customFormat="1" x14ac:dyDescent="0.45">
      <c r="A373">
        <v>144104</v>
      </c>
      <c r="B373" t="s">
        <v>17140</v>
      </c>
      <c r="C373" t="s">
        <v>16331</v>
      </c>
      <c r="D373">
        <v>1</v>
      </c>
      <c r="E373" t="s">
        <v>16331</v>
      </c>
      <c r="F373" s="124"/>
      <c r="G373" s="7">
        <v>0</v>
      </c>
      <c r="H373" s="7">
        <v>0</v>
      </c>
      <c r="I373" s="7">
        <v>0</v>
      </c>
      <c r="J373" s="7">
        <v>0</v>
      </c>
      <c r="K373" s="3">
        <f t="shared" si="14"/>
        <v>0</v>
      </c>
      <c r="L373" s="3"/>
      <c r="M373" s="3">
        <f t="shared" si="15"/>
        <v>0</v>
      </c>
      <c r="O373" s="5"/>
      <c r="S373" s="6"/>
    </row>
    <row r="374" spans="1:23" customFormat="1" x14ac:dyDescent="0.45">
      <c r="A374">
        <v>144168</v>
      </c>
      <c r="B374" t="s">
        <v>17141</v>
      </c>
      <c r="C374" s="2" t="s">
        <v>17142</v>
      </c>
      <c r="D374">
        <v>2</v>
      </c>
      <c r="F374" s="124"/>
      <c r="G374" s="7">
        <v>0</v>
      </c>
      <c r="H374" s="7">
        <v>0</v>
      </c>
      <c r="I374" s="7">
        <v>0</v>
      </c>
      <c r="J374" s="7">
        <v>0</v>
      </c>
      <c r="K374" s="3">
        <f t="shared" si="14"/>
        <v>0</v>
      </c>
      <c r="L374" s="3"/>
      <c r="M374" s="3">
        <f t="shared" si="15"/>
        <v>0</v>
      </c>
      <c r="O374" s="5"/>
      <c r="S374" s="6"/>
    </row>
    <row r="375" spans="1:23" customFormat="1" x14ac:dyDescent="0.45">
      <c r="A375">
        <v>144197</v>
      </c>
      <c r="B375" t="s">
        <v>17143</v>
      </c>
      <c r="C375" t="s">
        <v>17144</v>
      </c>
      <c r="D375">
        <v>5</v>
      </c>
      <c r="F375" s="124"/>
      <c r="G375" s="7">
        <v>0</v>
      </c>
      <c r="H375" s="7">
        <v>0</v>
      </c>
      <c r="I375" s="7">
        <v>0</v>
      </c>
      <c r="J375" s="7">
        <v>0</v>
      </c>
      <c r="K375" s="3">
        <f t="shared" si="14"/>
        <v>0</v>
      </c>
      <c r="L375" s="3"/>
      <c r="M375" s="3">
        <f t="shared" si="15"/>
        <v>0</v>
      </c>
      <c r="O375" s="5"/>
      <c r="S375" s="6"/>
    </row>
    <row r="376" spans="1:23" ht="17.25" customHeight="1" x14ac:dyDescent="0.45">
      <c r="A376" s="124">
        <v>788766</v>
      </c>
      <c r="B376" s="124" t="s">
        <v>17145</v>
      </c>
      <c r="C376" s="124" t="s">
        <v>17146</v>
      </c>
      <c r="D376" s="124">
        <v>2</v>
      </c>
      <c r="E376" s="124" t="s">
        <v>16334</v>
      </c>
      <c r="F376" s="126">
        <v>1.6999999999999999E-3</v>
      </c>
      <c r="G376" s="126">
        <v>1.4999999999999999E-2</v>
      </c>
      <c r="H376" s="126">
        <v>7.4999999999999997E-3</v>
      </c>
      <c r="I376" s="127">
        <v>0</v>
      </c>
      <c r="J376" s="127">
        <v>0</v>
      </c>
      <c r="K376" s="126">
        <f t="shared" si="14"/>
        <v>2.2499999999999999E-2</v>
      </c>
      <c r="L376" s="3"/>
      <c r="M376" s="126">
        <f t="shared" si="15"/>
        <v>2.4199999999999999E-2</v>
      </c>
      <c r="O376" s="131" t="s">
        <v>17147</v>
      </c>
      <c r="P376" s="128" t="s">
        <v>26918</v>
      </c>
      <c r="Q376" s="124">
        <f>122489+12605</f>
        <v>135094</v>
      </c>
      <c r="R376" s="124" t="s">
        <v>16348</v>
      </c>
      <c r="S376" s="132">
        <v>121965</v>
      </c>
      <c r="T376" s="129">
        <f>S376/Q376</f>
        <v>0.9028158171347358</v>
      </c>
      <c r="V376" s="125" t="s">
        <v>17148</v>
      </c>
    </row>
    <row r="377" spans="1:23" x14ac:dyDescent="0.45">
      <c r="A377" s="124">
        <v>647956</v>
      </c>
      <c r="B377" s="124" t="s">
        <v>17149</v>
      </c>
      <c r="C377" s="124" t="s">
        <v>17150</v>
      </c>
      <c r="D377" s="124">
        <v>3</v>
      </c>
      <c r="E377" s="124" t="s">
        <v>16334</v>
      </c>
      <c r="F377" s="126">
        <v>1.6999999999999999E-3</v>
      </c>
      <c r="G377" s="126">
        <v>0.03</v>
      </c>
      <c r="H377" s="126">
        <v>0.01</v>
      </c>
      <c r="I377" s="127">
        <v>0</v>
      </c>
      <c r="J377" s="127"/>
      <c r="K377" s="126">
        <f t="shared" si="14"/>
        <v>0.04</v>
      </c>
      <c r="L377" s="3"/>
      <c r="M377" s="126">
        <f t="shared" si="15"/>
        <v>4.1700000000000001E-2</v>
      </c>
      <c r="O377" s="131" t="s">
        <v>17151</v>
      </c>
      <c r="P377" s="128" t="s">
        <v>26918</v>
      </c>
      <c r="Q377" s="132">
        <f>S377+76702</f>
        <v>453807</v>
      </c>
      <c r="R377" s="124" t="s">
        <v>16348</v>
      </c>
      <c r="S377" s="132">
        <v>377105</v>
      </c>
      <c r="T377" s="129">
        <f>S377/Q377</f>
        <v>0.83098101175169181</v>
      </c>
      <c r="V377" s="125" t="s">
        <v>17152</v>
      </c>
    </row>
    <row r="378" spans="1:23" customFormat="1" x14ac:dyDescent="0.45">
      <c r="A378">
        <v>144667</v>
      </c>
      <c r="B378" t="s">
        <v>17153</v>
      </c>
      <c r="C378" t="s">
        <v>17154</v>
      </c>
      <c r="D378">
        <v>3</v>
      </c>
      <c r="F378" s="124"/>
      <c r="K378" s="3">
        <f t="shared" si="14"/>
        <v>0</v>
      </c>
      <c r="L378" s="3"/>
      <c r="M378" s="3">
        <f t="shared" si="15"/>
        <v>0</v>
      </c>
      <c r="O378" s="5"/>
      <c r="S378" s="6"/>
    </row>
    <row r="379" spans="1:23" customFormat="1" x14ac:dyDescent="0.45">
      <c r="A379">
        <v>144716</v>
      </c>
      <c r="B379" t="s">
        <v>17155</v>
      </c>
      <c r="C379" t="s">
        <v>17156</v>
      </c>
      <c r="D379">
        <v>2</v>
      </c>
      <c r="F379" s="124"/>
      <c r="G379" s="3">
        <v>0</v>
      </c>
      <c r="H379" s="3">
        <v>0</v>
      </c>
      <c r="I379" s="3">
        <v>0</v>
      </c>
      <c r="J379" s="3">
        <v>0</v>
      </c>
      <c r="K379" s="3">
        <f t="shared" si="14"/>
        <v>0</v>
      </c>
      <c r="L379" s="3"/>
      <c r="M379" s="3">
        <f t="shared" si="15"/>
        <v>0</v>
      </c>
      <c r="O379" s="5"/>
      <c r="S379" s="6"/>
    </row>
    <row r="380" spans="1:23" customFormat="1" x14ac:dyDescent="0.45">
      <c r="A380">
        <v>144732</v>
      </c>
      <c r="B380" t="s">
        <v>17157</v>
      </c>
      <c r="C380" t="s">
        <v>17158</v>
      </c>
      <c r="D380">
        <v>2</v>
      </c>
      <c r="F380" s="124"/>
      <c r="K380" s="3">
        <f t="shared" si="14"/>
        <v>0</v>
      </c>
      <c r="L380" s="3"/>
      <c r="M380" s="3">
        <f t="shared" si="15"/>
        <v>0</v>
      </c>
      <c r="O380" s="5"/>
      <c r="S380" s="6"/>
    </row>
    <row r="381" spans="1:23" x14ac:dyDescent="0.45">
      <c r="A381" s="124">
        <v>765903</v>
      </c>
      <c r="B381" s="124" t="s">
        <v>17159</v>
      </c>
      <c r="C381" s="124" t="s">
        <v>17160</v>
      </c>
      <c r="D381" s="124">
        <v>3</v>
      </c>
      <c r="E381" s="124" t="s">
        <v>16334</v>
      </c>
      <c r="F381" s="126">
        <v>1.6999999999999999E-3</v>
      </c>
      <c r="G381" s="126">
        <f>2.5%</f>
        <v>2.5000000000000001E-2</v>
      </c>
      <c r="H381" s="126">
        <v>0.01</v>
      </c>
      <c r="I381" s="127"/>
      <c r="J381" s="127"/>
      <c r="K381" s="126">
        <f t="shared" si="14"/>
        <v>3.5000000000000003E-2</v>
      </c>
      <c r="L381" s="3"/>
      <c r="M381" s="126">
        <f t="shared" si="15"/>
        <v>3.6700000000000003E-2</v>
      </c>
      <c r="N381" s="124" t="s">
        <v>17161</v>
      </c>
      <c r="O381" s="125" t="s">
        <v>17162</v>
      </c>
      <c r="P381" s="128" t="s">
        <v>26918</v>
      </c>
      <c r="Q381" s="130">
        <f>161231+995</f>
        <v>162226</v>
      </c>
      <c r="R381" s="124" t="s">
        <v>16348</v>
      </c>
      <c r="S381" s="132">
        <v>161231</v>
      </c>
      <c r="T381" s="129">
        <f>S381/Q381</f>
        <v>0.99386658118920523</v>
      </c>
      <c r="V381" s="125" t="s">
        <v>17163</v>
      </c>
      <c r="W381" s="124" t="s">
        <v>16967</v>
      </c>
    </row>
    <row r="382" spans="1:23" customFormat="1" x14ac:dyDescent="0.45">
      <c r="A382">
        <v>144822</v>
      </c>
      <c r="B382" t="s">
        <v>17164</v>
      </c>
      <c r="C382" t="s">
        <v>17165</v>
      </c>
      <c r="D382">
        <v>0</v>
      </c>
      <c r="E382" t="s">
        <v>17166</v>
      </c>
      <c r="F382" s="124"/>
      <c r="G382" s="7">
        <v>0</v>
      </c>
      <c r="H382" s="7">
        <v>0</v>
      </c>
      <c r="I382" s="7">
        <v>0</v>
      </c>
      <c r="J382" s="7">
        <v>0</v>
      </c>
      <c r="K382" s="3">
        <f t="shared" si="14"/>
        <v>0</v>
      </c>
      <c r="L382" s="3"/>
      <c r="M382" s="3">
        <f t="shared" si="15"/>
        <v>0</v>
      </c>
      <c r="N382" s="7"/>
      <c r="O382" s="5"/>
      <c r="S382" s="6"/>
    </row>
    <row r="383" spans="1:23" customFormat="1" x14ac:dyDescent="0.45">
      <c r="A383">
        <v>144885</v>
      </c>
      <c r="B383" t="s">
        <v>17167</v>
      </c>
      <c r="C383" t="s">
        <v>17168</v>
      </c>
      <c r="D383">
        <v>9</v>
      </c>
      <c r="F383" s="124"/>
      <c r="G383" s="7">
        <v>0</v>
      </c>
      <c r="H383" s="7">
        <v>0</v>
      </c>
      <c r="I383" s="7">
        <v>0</v>
      </c>
      <c r="J383" s="7">
        <v>0</v>
      </c>
      <c r="K383" s="3">
        <f t="shared" si="14"/>
        <v>0</v>
      </c>
      <c r="L383" s="3"/>
      <c r="M383" s="3">
        <f t="shared" si="15"/>
        <v>0</v>
      </c>
      <c r="O383" s="5"/>
      <c r="S383" s="6"/>
    </row>
    <row r="384" spans="1:23" customFormat="1" x14ac:dyDescent="0.45">
      <c r="A384">
        <v>144940</v>
      </c>
      <c r="B384" t="s">
        <v>17169</v>
      </c>
      <c r="C384" t="s">
        <v>16331</v>
      </c>
      <c r="D384">
        <v>11</v>
      </c>
      <c r="E384" t="s">
        <v>16331</v>
      </c>
      <c r="F384" s="124"/>
      <c r="G384" s="7">
        <v>0</v>
      </c>
      <c r="H384" s="7">
        <v>0</v>
      </c>
      <c r="I384" s="7">
        <v>0</v>
      </c>
      <c r="J384" s="7">
        <v>0</v>
      </c>
      <c r="K384" s="3">
        <f t="shared" si="14"/>
        <v>0</v>
      </c>
      <c r="L384" s="3"/>
      <c r="M384" s="3">
        <f t="shared" si="15"/>
        <v>0</v>
      </c>
      <c r="O384" s="5"/>
      <c r="S384" s="6"/>
    </row>
    <row r="385" spans="1:22" customFormat="1" x14ac:dyDescent="0.45">
      <c r="A385">
        <v>144946</v>
      </c>
      <c r="B385" t="s">
        <v>17170</v>
      </c>
      <c r="C385" t="s">
        <v>17171</v>
      </c>
      <c r="D385">
        <v>1</v>
      </c>
      <c r="F385" s="124"/>
      <c r="G385" s="7">
        <v>0</v>
      </c>
      <c r="H385" s="7">
        <v>0</v>
      </c>
      <c r="I385" s="7">
        <v>0</v>
      </c>
      <c r="J385" s="7">
        <v>0</v>
      </c>
      <c r="K385" s="3">
        <f t="shared" si="14"/>
        <v>0</v>
      </c>
      <c r="L385" s="3"/>
      <c r="M385" s="3">
        <f t="shared" si="15"/>
        <v>0</v>
      </c>
      <c r="O385" s="5"/>
      <c r="S385" s="6"/>
    </row>
    <row r="386" spans="1:22" customFormat="1" x14ac:dyDescent="0.45">
      <c r="A386">
        <v>144985</v>
      </c>
      <c r="B386" t="s">
        <v>17172</v>
      </c>
      <c r="C386" t="s">
        <v>16331</v>
      </c>
      <c r="D386">
        <v>1</v>
      </c>
      <c r="E386" t="s">
        <v>16331</v>
      </c>
      <c r="F386" s="124"/>
      <c r="K386" s="3">
        <f t="shared" si="14"/>
        <v>0</v>
      </c>
      <c r="L386" s="3"/>
      <c r="M386" s="3">
        <f t="shared" si="15"/>
        <v>0</v>
      </c>
      <c r="O386" s="5"/>
      <c r="S386" s="6"/>
    </row>
    <row r="387" spans="1:22" customFormat="1" x14ac:dyDescent="0.45">
      <c r="A387">
        <v>145005</v>
      </c>
      <c r="B387" t="s">
        <v>17173</v>
      </c>
      <c r="C387" t="s">
        <v>17174</v>
      </c>
      <c r="D387">
        <v>5</v>
      </c>
      <c r="F387" s="124"/>
      <c r="G387" s="7">
        <v>0</v>
      </c>
      <c r="H387" s="7">
        <v>0</v>
      </c>
      <c r="I387" s="7">
        <v>0</v>
      </c>
      <c r="J387" s="7">
        <v>0</v>
      </c>
      <c r="K387" s="3">
        <f t="shared" si="14"/>
        <v>0</v>
      </c>
      <c r="L387" s="3"/>
      <c r="M387" s="3">
        <f t="shared" si="15"/>
        <v>0</v>
      </c>
      <c r="O387" s="5"/>
      <c r="S387" s="6"/>
    </row>
    <row r="388" spans="1:22" customFormat="1" x14ac:dyDescent="0.45">
      <c r="A388">
        <v>145070</v>
      </c>
      <c r="B388" t="s">
        <v>17175</v>
      </c>
      <c r="C388" t="s">
        <v>17176</v>
      </c>
      <c r="D388">
        <v>1</v>
      </c>
      <c r="F388" s="124"/>
      <c r="G388" s="7">
        <v>0</v>
      </c>
      <c r="H388" s="7">
        <v>0</v>
      </c>
      <c r="I388" s="7">
        <v>0</v>
      </c>
      <c r="J388" s="7">
        <v>0</v>
      </c>
      <c r="K388" s="3">
        <f t="shared" si="14"/>
        <v>0</v>
      </c>
      <c r="L388" s="3"/>
      <c r="M388" s="3">
        <f t="shared" si="15"/>
        <v>0</v>
      </c>
      <c r="O388" s="5"/>
      <c r="S388" s="6"/>
    </row>
    <row r="389" spans="1:22" customFormat="1" x14ac:dyDescent="0.45">
      <c r="A389">
        <v>145143</v>
      </c>
      <c r="B389" t="s">
        <v>17177</v>
      </c>
      <c r="C389" t="s">
        <v>17178</v>
      </c>
      <c r="D389">
        <v>2</v>
      </c>
      <c r="F389" s="124"/>
      <c r="G389" s="3">
        <v>0</v>
      </c>
      <c r="H389" s="3">
        <v>0</v>
      </c>
      <c r="I389" s="3">
        <v>0</v>
      </c>
      <c r="J389" s="3">
        <v>0</v>
      </c>
      <c r="K389" s="3">
        <f t="shared" si="14"/>
        <v>0</v>
      </c>
      <c r="L389" s="3"/>
      <c r="M389" s="3">
        <f t="shared" si="15"/>
        <v>0</v>
      </c>
      <c r="O389" s="5"/>
      <c r="S389" s="6"/>
    </row>
    <row r="390" spans="1:22" customFormat="1" x14ac:dyDescent="0.45">
      <c r="A390">
        <v>145186</v>
      </c>
      <c r="B390" t="s">
        <v>17179</v>
      </c>
      <c r="C390" t="s">
        <v>17180</v>
      </c>
      <c r="D390">
        <v>19</v>
      </c>
      <c r="F390" s="124"/>
      <c r="G390" s="7">
        <v>0</v>
      </c>
      <c r="H390" s="7">
        <v>0</v>
      </c>
      <c r="I390" s="7">
        <v>0</v>
      </c>
      <c r="J390" s="7">
        <v>0</v>
      </c>
      <c r="K390" s="3">
        <f t="shared" si="14"/>
        <v>0</v>
      </c>
      <c r="L390" s="3"/>
      <c r="M390" s="3">
        <f t="shared" si="15"/>
        <v>0</v>
      </c>
      <c r="O390" s="5"/>
      <c r="S390" s="6"/>
    </row>
    <row r="391" spans="1:22" customFormat="1" x14ac:dyDescent="0.45">
      <c r="A391">
        <v>145264</v>
      </c>
      <c r="B391" t="s">
        <v>17181</v>
      </c>
      <c r="C391" t="s">
        <v>17182</v>
      </c>
      <c r="D391">
        <v>3</v>
      </c>
      <c r="F391" s="124"/>
      <c r="G391" s="7">
        <v>0</v>
      </c>
      <c r="H391" s="7">
        <v>0</v>
      </c>
      <c r="I391" s="7">
        <v>0</v>
      </c>
      <c r="J391" s="7">
        <v>0</v>
      </c>
      <c r="K391" s="3">
        <f t="shared" si="14"/>
        <v>0</v>
      </c>
      <c r="L391" s="3"/>
      <c r="M391" s="3">
        <f t="shared" si="15"/>
        <v>0</v>
      </c>
      <c r="O391" s="5"/>
      <c r="S391" s="6"/>
    </row>
    <row r="392" spans="1:22" customFormat="1" x14ac:dyDescent="0.45">
      <c r="A392">
        <v>145280</v>
      </c>
      <c r="B392" t="s">
        <v>17183</v>
      </c>
      <c r="C392" t="s">
        <v>17184</v>
      </c>
      <c r="D392">
        <v>0</v>
      </c>
      <c r="E392" t="s">
        <v>16561</v>
      </c>
      <c r="F392" s="124"/>
      <c r="G392" s="7">
        <v>0</v>
      </c>
      <c r="H392" s="7">
        <v>0</v>
      </c>
      <c r="I392" s="7">
        <v>0</v>
      </c>
      <c r="J392" s="7">
        <v>0</v>
      </c>
      <c r="K392" s="3">
        <f t="shared" si="14"/>
        <v>0</v>
      </c>
      <c r="L392" s="3"/>
      <c r="M392" s="3">
        <f t="shared" si="15"/>
        <v>0</v>
      </c>
      <c r="O392" s="5"/>
      <c r="S392" s="6"/>
    </row>
    <row r="393" spans="1:22" customFormat="1" x14ac:dyDescent="0.45">
      <c r="A393">
        <v>145452</v>
      </c>
      <c r="B393" t="s">
        <v>17185</v>
      </c>
      <c r="C393" t="s">
        <v>17186</v>
      </c>
      <c r="D393">
        <v>0</v>
      </c>
      <c r="E393" t="s">
        <v>16417</v>
      </c>
      <c r="F393" s="124"/>
      <c r="G393" s="3">
        <v>0</v>
      </c>
      <c r="H393" s="3">
        <v>0</v>
      </c>
      <c r="I393" s="3">
        <v>0</v>
      </c>
      <c r="J393" s="3">
        <v>0</v>
      </c>
      <c r="K393" s="3">
        <f t="shared" si="14"/>
        <v>0</v>
      </c>
      <c r="L393" s="3"/>
      <c r="M393" s="3">
        <f t="shared" si="15"/>
        <v>0</v>
      </c>
      <c r="O393" s="5"/>
      <c r="S393" s="6"/>
    </row>
    <row r="394" spans="1:22" customFormat="1" x14ac:dyDescent="0.45">
      <c r="A394">
        <v>145558</v>
      </c>
      <c r="B394" t="s">
        <v>17187</v>
      </c>
      <c r="C394" t="s">
        <v>16331</v>
      </c>
      <c r="D394">
        <v>0</v>
      </c>
      <c r="E394" t="s">
        <v>16331</v>
      </c>
      <c r="F394" s="124"/>
      <c r="G394" s="7">
        <v>0</v>
      </c>
      <c r="H394" s="7">
        <v>0</v>
      </c>
      <c r="I394" s="7">
        <v>0</v>
      </c>
      <c r="J394" s="7">
        <v>0</v>
      </c>
      <c r="K394" s="3">
        <f t="shared" si="14"/>
        <v>0</v>
      </c>
      <c r="L394" s="3"/>
      <c r="M394" s="3">
        <f t="shared" si="15"/>
        <v>0</v>
      </c>
      <c r="O394" s="5"/>
      <c r="S394" s="6"/>
    </row>
    <row r="395" spans="1:22" customFormat="1" x14ac:dyDescent="0.45">
      <c r="A395">
        <v>145829</v>
      </c>
      <c r="B395" t="s">
        <v>17188</v>
      </c>
      <c r="C395" t="s">
        <v>17189</v>
      </c>
      <c r="D395">
        <v>6</v>
      </c>
      <c r="F395" s="124"/>
      <c r="G395" s="3">
        <v>0</v>
      </c>
      <c r="H395" s="3">
        <v>0</v>
      </c>
      <c r="I395" s="3">
        <v>0</v>
      </c>
      <c r="J395" s="3">
        <v>0</v>
      </c>
      <c r="K395" s="3">
        <f t="shared" si="14"/>
        <v>0</v>
      </c>
      <c r="L395" s="3"/>
      <c r="M395" s="3">
        <f t="shared" si="15"/>
        <v>0</v>
      </c>
      <c r="O395" s="5"/>
      <c r="S395" s="6"/>
    </row>
    <row r="396" spans="1:22" x14ac:dyDescent="0.45">
      <c r="A396" s="124">
        <v>134459</v>
      </c>
      <c r="B396" s="124" t="s">
        <v>17190</v>
      </c>
      <c r="C396" s="124" t="s">
        <v>17191</v>
      </c>
      <c r="D396" s="124">
        <v>2</v>
      </c>
      <c r="E396" s="124" t="s">
        <v>16334</v>
      </c>
      <c r="F396" s="126">
        <v>1.6999999999999999E-3</v>
      </c>
      <c r="G396" s="126">
        <v>0.02</v>
      </c>
      <c r="H396" s="126">
        <v>7.4999999999999997E-3</v>
      </c>
      <c r="I396" s="127"/>
      <c r="J396" s="127"/>
      <c r="K396" s="126">
        <f t="shared" si="14"/>
        <v>2.75E-2</v>
      </c>
      <c r="L396" s="3"/>
      <c r="M396" s="126">
        <f t="shared" si="15"/>
        <v>2.92E-2</v>
      </c>
      <c r="N396" s="124" t="s">
        <v>17192</v>
      </c>
      <c r="O396" s="125" t="s">
        <v>17193</v>
      </c>
      <c r="P396" s="128" t="s">
        <v>26918</v>
      </c>
      <c r="Q396" s="130">
        <v>514555</v>
      </c>
      <c r="R396" s="124" t="s">
        <v>16348</v>
      </c>
      <c r="S396" s="130">
        <v>491063</v>
      </c>
      <c r="T396" s="129">
        <f>S396/Q396</f>
        <v>0.95434501656771387</v>
      </c>
      <c r="V396" s="125" t="s">
        <v>17194</v>
      </c>
    </row>
    <row r="397" spans="1:22" customFormat="1" x14ac:dyDescent="0.45">
      <c r="A397">
        <v>145833</v>
      </c>
      <c r="B397" t="s">
        <v>17195</v>
      </c>
      <c r="C397" t="s">
        <v>16331</v>
      </c>
      <c r="D397">
        <v>1</v>
      </c>
      <c r="E397" t="s">
        <v>16331</v>
      </c>
      <c r="F397" s="124"/>
      <c r="K397" s="3">
        <f t="shared" si="14"/>
        <v>0</v>
      </c>
      <c r="L397" s="3"/>
      <c r="M397" s="3">
        <f t="shared" si="15"/>
        <v>0</v>
      </c>
      <c r="O397" s="5"/>
      <c r="S397" s="6"/>
    </row>
    <row r="398" spans="1:22" customFormat="1" x14ac:dyDescent="0.45">
      <c r="A398">
        <v>145844</v>
      </c>
      <c r="B398" t="s">
        <v>17196</v>
      </c>
      <c r="C398" t="s">
        <v>17197</v>
      </c>
      <c r="D398">
        <v>3</v>
      </c>
      <c r="F398" s="124"/>
      <c r="K398" s="3">
        <f t="shared" si="14"/>
        <v>0</v>
      </c>
      <c r="L398" s="3"/>
      <c r="M398" s="3">
        <f t="shared" si="15"/>
        <v>0</v>
      </c>
      <c r="O398" s="5"/>
      <c r="S398" s="6"/>
    </row>
    <row r="399" spans="1:22" customFormat="1" x14ac:dyDescent="0.45">
      <c r="A399">
        <v>145958</v>
      </c>
      <c r="B399" t="s">
        <v>17198</v>
      </c>
      <c r="C399" t="s">
        <v>17199</v>
      </c>
      <c r="D399">
        <v>0</v>
      </c>
      <c r="E399" t="s">
        <v>16561</v>
      </c>
      <c r="F399" s="124"/>
      <c r="G399" s="7">
        <v>0</v>
      </c>
      <c r="H399" s="7">
        <v>0</v>
      </c>
      <c r="I399" s="7">
        <v>0</v>
      </c>
      <c r="J399" s="7">
        <v>0</v>
      </c>
      <c r="K399" s="3">
        <f t="shared" si="14"/>
        <v>0</v>
      </c>
      <c r="L399" s="3"/>
      <c r="M399" s="3">
        <f t="shared" si="15"/>
        <v>0</v>
      </c>
      <c r="N399" s="7"/>
      <c r="O399" s="5"/>
      <c r="S399" s="6"/>
    </row>
    <row r="400" spans="1:22" customFormat="1" x14ac:dyDescent="0.45">
      <c r="A400" s="19">
        <v>146002</v>
      </c>
      <c r="B400" t="s">
        <v>17200</v>
      </c>
      <c r="C400" s="2" t="s">
        <v>17201</v>
      </c>
      <c r="D400">
        <v>21</v>
      </c>
      <c r="E400" t="s">
        <v>16593</v>
      </c>
      <c r="F400" s="125"/>
      <c r="G400" s="3"/>
      <c r="H400" s="3"/>
      <c r="I400" s="3"/>
      <c r="J400" s="3"/>
      <c r="K400" s="3">
        <f t="shared" si="14"/>
        <v>0</v>
      </c>
      <c r="L400" s="3"/>
      <c r="M400" s="3">
        <f t="shared" si="15"/>
        <v>0</v>
      </c>
      <c r="O400" s="5"/>
      <c r="S400" s="6"/>
    </row>
    <row r="401" spans="1:22" customFormat="1" x14ac:dyDescent="0.45">
      <c r="A401">
        <v>146274</v>
      </c>
      <c r="B401" t="s">
        <v>17202</v>
      </c>
      <c r="C401" t="s">
        <v>17203</v>
      </c>
      <c r="D401">
        <v>14</v>
      </c>
      <c r="E401" t="s">
        <v>17204</v>
      </c>
      <c r="F401" s="124"/>
      <c r="K401" s="3">
        <f t="shared" si="14"/>
        <v>0</v>
      </c>
      <c r="L401" s="3"/>
      <c r="M401" s="3">
        <f t="shared" si="15"/>
        <v>0</v>
      </c>
      <c r="N401" t="s">
        <v>17205</v>
      </c>
      <c r="O401" s="5"/>
      <c r="S401" s="6"/>
    </row>
    <row r="402" spans="1:22" customFormat="1" x14ac:dyDescent="0.45">
      <c r="A402">
        <v>146279</v>
      </c>
      <c r="B402" t="s">
        <v>17206</v>
      </c>
      <c r="C402" t="s">
        <v>17207</v>
      </c>
      <c r="D402">
        <v>17</v>
      </c>
      <c r="F402" s="124"/>
      <c r="G402" s="3">
        <v>0</v>
      </c>
      <c r="H402" s="3">
        <v>0</v>
      </c>
      <c r="I402" s="3">
        <v>0</v>
      </c>
      <c r="J402" s="3">
        <v>0</v>
      </c>
      <c r="K402" s="3">
        <f t="shared" si="14"/>
        <v>0</v>
      </c>
      <c r="L402" s="3"/>
      <c r="M402" s="3">
        <f t="shared" si="15"/>
        <v>0</v>
      </c>
      <c r="O402" s="5"/>
      <c r="S402" s="6"/>
    </row>
    <row r="403" spans="1:22" customFormat="1" x14ac:dyDescent="0.45">
      <c r="A403">
        <v>146287</v>
      </c>
      <c r="B403" t="s">
        <v>17208</v>
      </c>
      <c r="C403" t="s">
        <v>17209</v>
      </c>
      <c r="D403">
        <v>15</v>
      </c>
      <c r="F403" s="124"/>
      <c r="G403" s="3">
        <v>0</v>
      </c>
      <c r="H403" s="3">
        <v>0</v>
      </c>
      <c r="I403" s="3">
        <v>0</v>
      </c>
      <c r="J403" s="3">
        <v>0</v>
      </c>
      <c r="K403" s="3">
        <f t="shared" si="14"/>
        <v>0</v>
      </c>
      <c r="L403" s="3"/>
      <c r="M403" s="3">
        <f t="shared" si="15"/>
        <v>0</v>
      </c>
      <c r="O403" s="5"/>
      <c r="S403" s="6"/>
    </row>
    <row r="404" spans="1:22" customFormat="1" x14ac:dyDescent="0.45">
      <c r="A404">
        <v>146311</v>
      </c>
      <c r="B404" t="s">
        <v>17210</v>
      </c>
      <c r="C404" t="s">
        <v>17211</v>
      </c>
      <c r="D404">
        <v>2</v>
      </c>
      <c r="F404" s="124"/>
      <c r="G404" s="7">
        <v>0</v>
      </c>
      <c r="H404" s="7">
        <v>0</v>
      </c>
      <c r="I404" s="7">
        <v>0</v>
      </c>
      <c r="J404" s="7">
        <v>0</v>
      </c>
      <c r="K404" s="3">
        <f t="shared" si="14"/>
        <v>0</v>
      </c>
      <c r="L404" s="3"/>
      <c r="M404" s="3">
        <f t="shared" si="15"/>
        <v>0</v>
      </c>
      <c r="N404" s="7"/>
      <c r="O404" s="5"/>
      <c r="S404" s="6"/>
    </row>
    <row r="405" spans="1:22" customFormat="1" x14ac:dyDescent="0.45">
      <c r="A405">
        <v>146438</v>
      </c>
      <c r="B405" t="s">
        <v>17212</v>
      </c>
      <c r="C405" t="s">
        <v>17213</v>
      </c>
      <c r="D405">
        <v>2</v>
      </c>
      <c r="F405" s="124"/>
      <c r="G405" s="3">
        <v>0</v>
      </c>
      <c r="H405" s="3">
        <v>0</v>
      </c>
      <c r="I405" s="3">
        <v>0</v>
      </c>
      <c r="J405" s="3">
        <v>0</v>
      </c>
      <c r="K405" s="3">
        <f t="shared" si="14"/>
        <v>0</v>
      </c>
      <c r="L405" s="3"/>
      <c r="M405" s="3">
        <f t="shared" si="15"/>
        <v>0</v>
      </c>
      <c r="O405" s="5"/>
      <c r="S405" s="6"/>
    </row>
    <row r="406" spans="1:22" customFormat="1" x14ac:dyDescent="0.45">
      <c r="A406">
        <v>146449</v>
      </c>
      <c r="B406" t="s">
        <v>17214</v>
      </c>
      <c r="C406" t="s">
        <v>17215</v>
      </c>
      <c r="D406">
        <v>7</v>
      </c>
      <c r="F406" s="124"/>
      <c r="G406" s="3">
        <v>0</v>
      </c>
      <c r="H406" s="3">
        <v>0</v>
      </c>
      <c r="I406" s="3">
        <v>0</v>
      </c>
      <c r="J406" s="3">
        <v>0</v>
      </c>
      <c r="K406" s="3">
        <f t="shared" si="14"/>
        <v>0</v>
      </c>
      <c r="L406" s="3"/>
      <c r="M406" s="3">
        <f t="shared" si="15"/>
        <v>0</v>
      </c>
      <c r="O406" s="5"/>
      <c r="S406" s="6"/>
    </row>
    <row r="407" spans="1:22" x14ac:dyDescent="0.45">
      <c r="A407" s="124">
        <v>830057</v>
      </c>
      <c r="B407" s="124" t="s">
        <v>17216</v>
      </c>
      <c r="C407" s="124" t="s">
        <v>17217</v>
      </c>
      <c r="D407" s="124">
        <v>7</v>
      </c>
      <c r="E407" s="124" t="s">
        <v>16334</v>
      </c>
      <c r="F407" s="126">
        <v>1.6999999999999999E-3</v>
      </c>
      <c r="G407" s="126">
        <f>(697/100000)+2%</f>
        <v>2.6970000000000001E-2</v>
      </c>
      <c r="H407" s="126">
        <v>5.0000000000000001E-3</v>
      </c>
      <c r="I407" s="127">
        <v>0</v>
      </c>
      <c r="J407" s="127">
        <v>0</v>
      </c>
      <c r="K407" s="126">
        <f t="shared" si="14"/>
        <v>3.1969999999999998E-2</v>
      </c>
      <c r="L407" s="3"/>
      <c r="M407" s="126">
        <f t="shared" si="15"/>
        <v>3.3669999999999999E-2</v>
      </c>
      <c r="N407" s="124" t="s">
        <v>17218</v>
      </c>
      <c r="O407" s="131" t="s">
        <v>17219</v>
      </c>
      <c r="P407" s="128" t="s">
        <v>26918</v>
      </c>
      <c r="Q407" s="124">
        <f>914788 +121944</f>
        <v>1036732</v>
      </c>
      <c r="R407" s="124" t="s">
        <v>16348</v>
      </c>
      <c r="S407" s="132">
        <v>765474</v>
      </c>
      <c r="T407" s="129">
        <f>S407/Q407</f>
        <v>0.73835282406639324</v>
      </c>
      <c r="V407" s="125" t="s">
        <v>17220</v>
      </c>
    </row>
    <row r="408" spans="1:22" customFormat="1" x14ac:dyDescent="0.45">
      <c r="A408">
        <v>146499</v>
      </c>
      <c r="B408" t="s">
        <v>17221</v>
      </c>
      <c r="C408" t="s">
        <v>16331</v>
      </c>
      <c r="D408">
        <v>1</v>
      </c>
      <c r="E408" t="s">
        <v>16331</v>
      </c>
      <c r="F408" s="124"/>
      <c r="G408" s="7">
        <v>0</v>
      </c>
      <c r="H408" s="7">
        <v>0</v>
      </c>
      <c r="I408" s="7">
        <v>0</v>
      </c>
      <c r="J408" s="7">
        <v>0</v>
      </c>
      <c r="K408" s="3">
        <f t="shared" ref="K408:K471" si="16">SUM(G408:J408)</f>
        <v>0</v>
      </c>
      <c r="L408" s="3"/>
      <c r="M408" s="3">
        <f t="shared" ref="M408:M471" si="17">K408+F408</f>
        <v>0</v>
      </c>
      <c r="O408" s="5"/>
      <c r="S408" s="6"/>
    </row>
    <row r="409" spans="1:22" customFormat="1" x14ac:dyDescent="0.45">
      <c r="A409">
        <v>146522</v>
      </c>
      <c r="B409" t="s">
        <v>17222</v>
      </c>
      <c r="C409" t="s">
        <v>16331</v>
      </c>
      <c r="D409">
        <v>0</v>
      </c>
      <c r="E409" t="s">
        <v>16331</v>
      </c>
      <c r="F409" s="124"/>
      <c r="G409" s="7">
        <v>0</v>
      </c>
      <c r="H409" s="7">
        <v>0</v>
      </c>
      <c r="I409" s="7">
        <v>0</v>
      </c>
      <c r="J409" s="7">
        <v>0</v>
      </c>
      <c r="K409" s="3">
        <f t="shared" si="16"/>
        <v>0</v>
      </c>
      <c r="L409" s="3"/>
      <c r="M409" s="3">
        <f t="shared" si="17"/>
        <v>0</v>
      </c>
      <c r="O409" s="5"/>
      <c r="S409" s="6"/>
    </row>
    <row r="410" spans="1:22" customFormat="1" x14ac:dyDescent="0.45">
      <c r="A410">
        <v>146629</v>
      </c>
      <c r="B410" t="s">
        <v>17223</v>
      </c>
      <c r="C410" t="s">
        <v>16733</v>
      </c>
      <c r="D410">
        <v>0</v>
      </c>
      <c r="E410" t="s">
        <v>16561</v>
      </c>
      <c r="F410" s="124"/>
      <c r="G410" s="7">
        <v>0</v>
      </c>
      <c r="H410" s="3">
        <v>0</v>
      </c>
      <c r="I410" s="3">
        <v>0</v>
      </c>
      <c r="J410">
        <v>0</v>
      </c>
      <c r="K410" s="3">
        <f t="shared" si="16"/>
        <v>0</v>
      </c>
      <c r="L410" s="3"/>
      <c r="M410" s="3">
        <f t="shared" si="17"/>
        <v>0</v>
      </c>
      <c r="O410" s="5"/>
      <c r="S410" s="6"/>
    </row>
    <row r="411" spans="1:22" customFormat="1" x14ac:dyDescent="0.45">
      <c r="A411">
        <v>146702</v>
      </c>
      <c r="B411" t="s">
        <v>17224</v>
      </c>
      <c r="C411" t="s">
        <v>16706</v>
      </c>
      <c r="D411">
        <v>0</v>
      </c>
      <c r="E411" t="s">
        <v>16417</v>
      </c>
      <c r="F411" s="124"/>
      <c r="G411" s="7">
        <v>0</v>
      </c>
      <c r="H411" s="7">
        <v>0</v>
      </c>
      <c r="I411" s="7">
        <v>0</v>
      </c>
      <c r="J411" s="7">
        <v>0</v>
      </c>
      <c r="K411" s="3">
        <f t="shared" si="16"/>
        <v>0</v>
      </c>
      <c r="L411" s="3"/>
      <c r="M411" s="3">
        <f t="shared" si="17"/>
        <v>0</v>
      </c>
      <c r="N411" s="7"/>
      <c r="O411" s="5"/>
      <c r="S411" s="6"/>
    </row>
    <row r="412" spans="1:22" x14ac:dyDescent="0.45">
      <c r="A412" s="124">
        <v>916120</v>
      </c>
      <c r="B412" s="124" t="s">
        <v>17225</v>
      </c>
      <c r="C412" s="124" t="s">
        <v>17226</v>
      </c>
      <c r="D412" s="124">
        <v>1</v>
      </c>
      <c r="E412" s="124" t="s">
        <v>16334</v>
      </c>
      <c r="F412" s="126">
        <v>1.6999999999999999E-3</v>
      </c>
      <c r="G412" s="126">
        <v>1.4999999999999999E-2</v>
      </c>
      <c r="H412" s="126">
        <v>0.01</v>
      </c>
      <c r="I412" s="127"/>
      <c r="J412" s="127"/>
      <c r="K412" s="126">
        <f t="shared" si="16"/>
        <v>2.5000000000000001E-2</v>
      </c>
      <c r="L412" s="3"/>
      <c r="M412" s="126">
        <f t="shared" si="17"/>
        <v>2.6700000000000002E-2</v>
      </c>
      <c r="O412" s="131" t="s">
        <v>17227</v>
      </c>
      <c r="P412" s="128" t="s">
        <v>26918</v>
      </c>
      <c r="Q412" s="132">
        <v>49047</v>
      </c>
      <c r="R412" s="124" t="s">
        <v>16348</v>
      </c>
      <c r="S412" s="132">
        <v>40716</v>
      </c>
      <c r="T412" s="129">
        <f>S412/Q412</f>
        <v>0.83014251636185699</v>
      </c>
      <c r="V412" s="125" t="s">
        <v>17228</v>
      </c>
    </row>
    <row r="413" spans="1:22" x14ac:dyDescent="0.45">
      <c r="A413" s="124">
        <v>821203</v>
      </c>
      <c r="B413" s="124" t="s">
        <v>17229</v>
      </c>
      <c r="C413" s="124" t="s">
        <v>17230</v>
      </c>
      <c r="D413" s="124">
        <v>2</v>
      </c>
      <c r="E413" s="124" t="s">
        <v>16334</v>
      </c>
      <c r="F413" s="126">
        <v>1.6999999999999999E-3</v>
      </c>
      <c r="G413" s="126">
        <v>0.04</v>
      </c>
      <c r="H413" s="126">
        <v>0</v>
      </c>
      <c r="I413" s="127">
        <v>0</v>
      </c>
      <c r="J413" s="127">
        <v>0</v>
      </c>
      <c r="K413" s="126">
        <f t="shared" si="16"/>
        <v>0.04</v>
      </c>
      <c r="L413" s="3"/>
      <c r="M413" s="126">
        <f t="shared" si="17"/>
        <v>4.1700000000000001E-2</v>
      </c>
      <c r="O413" s="131" t="s">
        <v>17231</v>
      </c>
      <c r="P413" s="128" t="s">
        <v>26918</v>
      </c>
      <c r="Q413" s="132">
        <v>103173</v>
      </c>
      <c r="R413" s="124" t="s">
        <v>16348</v>
      </c>
      <c r="S413" s="132">
        <v>103173</v>
      </c>
      <c r="T413" s="129">
        <f>S413/Q413</f>
        <v>1</v>
      </c>
      <c r="V413" s="125" t="s">
        <v>17232</v>
      </c>
    </row>
    <row r="414" spans="1:22" customFormat="1" x14ac:dyDescent="0.45">
      <c r="A414">
        <v>146733</v>
      </c>
      <c r="B414" t="s">
        <v>17233</v>
      </c>
      <c r="C414" t="s">
        <v>17234</v>
      </c>
      <c r="D414">
        <v>2</v>
      </c>
      <c r="F414" s="124"/>
      <c r="G414" s="7">
        <v>0</v>
      </c>
      <c r="H414" s="7">
        <v>0</v>
      </c>
      <c r="I414" s="7">
        <v>0</v>
      </c>
      <c r="J414" s="7">
        <v>0</v>
      </c>
      <c r="K414" s="3">
        <f t="shared" si="16"/>
        <v>0</v>
      </c>
      <c r="L414" s="3"/>
      <c r="M414" s="3">
        <f t="shared" si="17"/>
        <v>0</v>
      </c>
      <c r="O414" s="5"/>
      <c r="S414" s="6"/>
    </row>
    <row r="415" spans="1:22" customFormat="1" x14ac:dyDescent="0.45">
      <c r="A415">
        <v>146786</v>
      </c>
      <c r="B415" t="s">
        <v>17235</v>
      </c>
      <c r="C415" t="s">
        <v>17236</v>
      </c>
      <c r="D415">
        <v>0</v>
      </c>
      <c r="E415" t="s">
        <v>16561</v>
      </c>
      <c r="F415" s="124"/>
      <c r="G415" s="7">
        <v>0</v>
      </c>
      <c r="H415" s="7">
        <v>0</v>
      </c>
      <c r="I415" s="7">
        <v>0</v>
      </c>
      <c r="J415" s="7">
        <v>0</v>
      </c>
      <c r="K415" s="3">
        <f t="shared" si="16"/>
        <v>0</v>
      </c>
      <c r="L415" s="3"/>
      <c r="M415" s="3">
        <f t="shared" si="17"/>
        <v>0</v>
      </c>
      <c r="N415" s="7"/>
      <c r="O415" s="5"/>
      <c r="S415" s="6"/>
    </row>
    <row r="416" spans="1:22" customFormat="1" x14ac:dyDescent="0.45">
      <c r="A416">
        <v>146806</v>
      </c>
      <c r="B416" t="s">
        <v>17237</v>
      </c>
      <c r="C416" s="2" t="s">
        <v>16331</v>
      </c>
      <c r="D416">
        <v>2</v>
      </c>
      <c r="E416" t="s">
        <v>16331</v>
      </c>
      <c r="F416" s="125"/>
      <c r="G416" s="3">
        <v>0</v>
      </c>
      <c r="H416" s="3">
        <v>0</v>
      </c>
      <c r="I416" s="3">
        <v>0</v>
      </c>
      <c r="J416" s="3">
        <v>0</v>
      </c>
      <c r="K416" s="3">
        <f t="shared" si="16"/>
        <v>0</v>
      </c>
      <c r="L416" s="3"/>
      <c r="M416" s="3">
        <f t="shared" si="17"/>
        <v>0</v>
      </c>
      <c r="O416" s="5"/>
      <c r="S416" s="6"/>
    </row>
    <row r="417" spans="1:23" customFormat="1" x14ac:dyDescent="0.45">
      <c r="A417">
        <v>146808</v>
      </c>
      <c r="B417" t="s">
        <v>17238</v>
      </c>
      <c r="C417" t="s">
        <v>16331</v>
      </c>
      <c r="D417">
        <v>2</v>
      </c>
      <c r="E417" t="s">
        <v>16331</v>
      </c>
      <c r="F417" s="124"/>
      <c r="G417" s="7">
        <v>0</v>
      </c>
      <c r="H417" s="7">
        <v>0</v>
      </c>
      <c r="I417" s="7">
        <v>0</v>
      </c>
      <c r="J417" s="7">
        <v>0</v>
      </c>
      <c r="K417" s="3">
        <f t="shared" si="16"/>
        <v>0</v>
      </c>
      <c r="L417" s="3"/>
      <c r="M417" s="3">
        <f t="shared" si="17"/>
        <v>0</v>
      </c>
      <c r="O417" s="5"/>
      <c r="S417" s="6"/>
    </row>
    <row r="418" spans="1:23" customFormat="1" x14ac:dyDescent="0.45">
      <c r="A418">
        <v>146853</v>
      </c>
      <c r="B418" t="s">
        <v>17239</v>
      </c>
      <c r="C418" t="s">
        <v>16331</v>
      </c>
      <c r="D418">
        <v>0</v>
      </c>
      <c r="E418" t="s">
        <v>16331</v>
      </c>
      <c r="F418" s="124"/>
      <c r="G418" s="7">
        <v>0</v>
      </c>
      <c r="H418" s="7">
        <v>0</v>
      </c>
      <c r="I418" s="7">
        <v>0</v>
      </c>
      <c r="J418" s="7">
        <v>0</v>
      </c>
      <c r="K418" s="3">
        <f t="shared" si="16"/>
        <v>0</v>
      </c>
      <c r="L418" s="3"/>
      <c r="M418" s="3">
        <f t="shared" si="17"/>
        <v>0</v>
      </c>
      <c r="O418" s="5"/>
      <c r="S418" s="6"/>
    </row>
    <row r="419" spans="1:23" customFormat="1" x14ac:dyDescent="0.45">
      <c r="A419">
        <v>146892</v>
      </c>
      <c r="B419" t="s">
        <v>17240</v>
      </c>
      <c r="C419" t="s">
        <v>17241</v>
      </c>
      <c r="D419">
        <v>1</v>
      </c>
      <c r="F419" s="124"/>
      <c r="G419" s="7">
        <v>0</v>
      </c>
      <c r="H419" s="7">
        <v>0</v>
      </c>
      <c r="I419" s="7">
        <v>0</v>
      </c>
      <c r="J419" s="7">
        <v>0</v>
      </c>
      <c r="K419" s="3">
        <f t="shared" si="16"/>
        <v>0</v>
      </c>
      <c r="L419" s="3"/>
      <c r="M419" s="3">
        <f t="shared" si="17"/>
        <v>0</v>
      </c>
      <c r="O419" s="5"/>
      <c r="S419" s="6"/>
    </row>
    <row r="420" spans="1:23" x14ac:dyDescent="0.45">
      <c r="A420" s="124">
        <v>171077</v>
      </c>
      <c r="B420" s="124" t="s">
        <v>17242</v>
      </c>
      <c r="C420" s="124" t="s">
        <v>17243</v>
      </c>
      <c r="D420" s="124">
        <v>3</v>
      </c>
      <c r="E420" s="124" t="s">
        <v>16334</v>
      </c>
      <c r="F420" s="126">
        <v>1.6999999999999999E-3</v>
      </c>
      <c r="G420" s="126">
        <v>6.5500000000000003E-2</v>
      </c>
      <c r="H420" s="126">
        <v>0</v>
      </c>
      <c r="I420" s="127">
        <v>0</v>
      </c>
      <c r="J420" s="127">
        <v>0</v>
      </c>
      <c r="K420" s="126">
        <f t="shared" si="16"/>
        <v>6.5500000000000003E-2</v>
      </c>
      <c r="L420" s="3"/>
      <c r="M420" s="126">
        <f t="shared" si="17"/>
        <v>6.7199999999999996E-2</v>
      </c>
      <c r="N420" s="124" t="s">
        <v>17244</v>
      </c>
      <c r="O420" s="125" t="s">
        <v>17245</v>
      </c>
      <c r="P420" s="128" t="s">
        <v>26918</v>
      </c>
      <c r="Q420" s="130">
        <f>252084+77176</f>
        <v>329260</v>
      </c>
      <c r="R420" s="124" t="s">
        <v>16348</v>
      </c>
      <c r="S420" s="130">
        <v>251204</v>
      </c>
      <c r="T420" s="129">
        <f>S420/Q420</f>
        <v>0.7629350665127862</v>
      </c>
      <c r="V420" s="125" t="s">
        <v>17246</v>
      </c>
      <c r="W420" s="124" t="s">
        <v>17130</v>
      </c>
    </row>
    <row r="421" spans="1:23" customFormat="1" x14ac:dyDescent="0.45">
      <c r="A421">
        <v>147107</v>
      </c>
      <c r="B421" t="s">
        <v>17247</v>
      </c>
      <c r="C421" t="s">
        <v>17248</v>
      </c>
      <c r="D421">
        <v>4</v>
      </c>
      <c r="F421" s="124"/>
      <c r="G421" s="7">
        <v>0</v>
      </c>
      <c r="H421" s="7">
        <v>0</v>
      </c>
      <c r="I421" s="7">
        <v>0</v>
      </c>
      <c r="J421" s="7">
        <v>0</v>
      </c>
      <c r="K421" s="3">
        <f t="shared" si="16"/>
        <v>0</v>
      </c>
      <c r="L421" s="3"/>
      <c r="M421" s="3">
        <f t="shared" si="17"/>
        <v>0</v>
      </c>
      <c r="N421" s="7"/>
      <c r="O421" s="5"/>
      <c r="S421" s="6"/>
    </row>
    <row r="422" spans="1:23" customFormat="1" x14ac:dyDescent="0.45">
      <c r="A422">
        <v>147308</v>
      </c>
      <c r="B422" t="s">
        <v>17249</v>
      </c>
      <c r="C422" t="s">
        <v>17250</v>
      </c>
      <c r="D422">
        <v>1</v>
      </c>
      <c r="F422" s="124"/>
      <c r="G422" s="7">
        <v>0</v>
      </c>
      <c r="H422" s="7">
        <v>0</v>
      </c>
      <c r="I422" s="7">
        <v>0</v>
      </c>
      <c r="J422" s="7">
        <v>0</v>
      </c>
      <c r="K422" s="3">
        <f t="shared" si="16"/>
        <v>0</v>
      </c>
      <c r="L422" s="3"/>
      <c r="M422" s="3">
        <f t="shared" si="17"/>
        <v>0</v>
      </c>
      <c r="O422" s="5"/>
      <c r="S422" s="6"/>
    </row>
    <row r="423" spans="1:23" x14ac:dyDescent="0.45">
      <c r="A423" s="124">
        <v>842765</v>
      </c>
      <c r="B423" s="124" t="s">
        <v>17251</v>
      </c>
      <c r="C423" s="124" t="s">
        <v>17252</v>
      </c>
      <c r="D423" s="124">
        <v>2</v>
      </c>
      <c r="E423" s="124" t="s">
        <v>16334</v>
      </c>
      <c r="F423" s="126">
        <v>1.6999999999999999E-3</v>
      </c>
      <c r="G423" s="126">
        <f>1.8%+1.5%</f>
        <v>3.3000000000000002E-2</v>
      </c>
      <c r="H423" s="126">
        <v>7.4999999999999997E-3</v>
      </c>
      <c r="I423" s="127"/>
      <c r="J423" s="127"/>
      <c r="K423" s="126">
        <f t="shared" si="16"/>
        <v>4.0500000000000001E-2</v>
      </c>
      <c r="L423" s="3"/>
      <c r="M423" s="126">
        <f t="shared" si="17"/>
        <v>4.2200000000000001E-2</v>
      </c>
      <c r="O423" s="131" t="s">
        <v>17253</v>
      </c>
      <c r="P423" s="128" t="s">
        <v>26918</v>
      </c>
      <c r="Q423" s="130">
        <f>168463+71516</f>
        <v>239979</v>
      </c>
      <c r="R423" s="124" t="s">
        <v>16348</v>
      </c>
      <c r="S423" s="132">
        <v>184412</v>
      </c>
      <c r="T423" s="129">
        <f>S423/Q423</f>
        <v>0.76845057275844975</v>
      </c>
      <c r="V423" s="125" t="s">
        <v>17254</v>
      </c>
      <c r="W423" s="124" t="s">
        <v>17130</v>
      </c>
    </row>
    <row r="424" spans="1:23" customFormat="1" x14ac:dyDescent="0.45">
      <c r="A424">
        <v>147395</v>
      </c>
      <c r="B424" t="s">
        <v>17255</v>
      </c>
      <c r="C424" t="s">
        <v>17256</v>
      </c>
      <c r="D424">
        <v>2</v>
      </c>
      <c r="F424" s="124"/>
      <c r="G424" s="7">
        <v>0</v>
      </c>
      <c r="H424" s="7">
        <v>0</v>
      </c>
      <c r="I424" s="7">
        <v>0</v>
      </c>
      <c r="J424" s="7">
        <v>0</v>
      </c>
      <c r="K424" s="3">
        <f t="shared" si="16"/>
        <v>0</v>
      </c>
      <c r="L424" s="3"/>
      <c r="M424" s="3">
        <f t="shared" si="17"/>
        <v>0</v>
      </c>
      <c r="O424" s="5"/>
      <c r="S424" s="6"/>
    </row>
    <row r="425" spans="1:23" customFormat="1" x14ac:dyDescent="0.45">
      <c r="A425">
        <v>147518</v>
      </c>
      <c r="B425" t="s">
        <v>17257</v>
      </c>
      <c r="C425" t="s">
        <v>16331</v>
      </c>
      <c r="D425">
        <v>0</v>
      </c>
      <c r="E425" t="s">
        <v>16331</v>
      </c>
      <c r="F425" s="124"/>
      <c r="G425" s="7">
        <v>0</v>
      </c>
      <c r="H425" s="7">
        <v>0</v>
      </c>
      <c r="I425" s="7">
        <v>0</v>
      </c>
      <c r="J425" s="7">
        <v>0</v>
      </c>
      <c r="K425" s="3">
        <f t="shared" si="16"/>
        <v>0</v>
      </c>
      <c r="L425" s="3"/>
      <c r="M425" s="3">
        <f t="shared" si="17"/>
        <v>0</v>
      </c>
      <c r="N425" s="7"/>
      <c r="O425" s="5"/>
      <c r="S425" s="6"/>
    </row>
    <row r="426" spans="1:23" customFormat="1" x14ac:dyDescent="0.45">
      <c r="A426">
        <v>147534</v>
      </c>
      <c r="B426" t="s">
        <v>17258</v>
      </c>
      <c r="C426" t="s">
        <v>16331</v>
      </c>
      <c r="D426">
        <v>1</v>
      </c>
      <c r="E426" t="s">
        <v>16331</v>
      </c>
      <c r="F426" s="124"/>
      <c r="G426" s="7">
        <v>0</v>
      </c>
      <c r="H426" s="7">
        <v>0</v>
      </c>
      <c r="I426" s="7">
        <v>0</v>
      </c>
      <c r="J426" s="7">
        <v>0</v>
      </c>
      <c r="K426" s="3">
        <f t="shared" si="16"/>
        <v>0</v>
      </c>
      <c r="L426" s="3"/>
      <c r="M426" s="3">
        <f t="shared" si="17"/>
        <v>0</v>
      </c>
      <c r="O426" s="5"/>
      <c r="S426" s="6"/>
    </row>
    <row r="427" spans="1:23" customFormat="1" x14ac:dyDescent="0.45">
      <c r="A427">
        <v>147535</v>
      </c>
      <c r="B427" t="s">
        <v>17259</v>
      </c>
      <c r="C427" s="2" t="s">
        <v>17260</v>
      </c>
      <c r="D427">
        <v>6</v>
      </c>
      <c r="E427" t="s">
        <v>17260</v>
      </c>
      <c r="F427" s="126">
        <v>1.6999999999999999E-3</v>
      </c>
      <c r="G427" s="7">
        <v>0</v>
      </c>
      <c r="H427" s="7">
        <v>0</v>
      </c>
      <c r="I427" s="3">
        <f>2%+0.9%+0.5%</f>
        <v>3.4000000000000002E-2</v>
      </c>
      <c r="J427" s="7">
        <v>0</v>
      </c>
      <c r="K427" s="3">
        <f t="shared" si="16"/>
        <v>3.4000000000000002E-2</v>
      </c>
      <c r="L427" s="3"/>
      <c r="M427" s="3">
        <f t="shared" si="17"/>
        <v>3.5700000000000003E-2</v>
      </c>
      <c r="N427" t="s">
        <v>17261</v>
      </c>
      <c r="O427" s="2" t="s">
        <v>17262</v>
      </c>
      <c r="P427" s="68" t="s">
        <v>26918</v>
      </c>
      <c r="Q427" s="11">
        <v>39584</v>
      </c>
      <c r="R427" t="s">
        <v>16348</v>
      </c>
      <c r="S427" s="11">
        <v>39584</v>
      </c>
      <c r="T427" s="10">
        <f>S427/Q427</f>
        <v>1</v>
      </c>
      <c r="V427" s="2" t="s">
        <v>17263</v>
      </c>
      <c r="W427" t="s">
        <v>17021</v>
      </c>
    </row>
    <row r="428" spans="1:23" customFormat="1" x14ac:dyDescent="0.45">
      <c r="A428">
        <v>147562</v>
      </c>
      <c r="B428" t="s">
        <v>17264</v>
      </c>
      <c r="C428" s="2" t="s">
        <v>17265</v>
      </c>
      <c r="D428">
        <v>28</v>
      </c>
      <c r="E428" s="2" t="s">
        <v>17265</v>
      </c>
      <c r="F428" s="124"/>
      <c r="G428" s="7">
        <v>0</v>
      </c>
      <c r="H428" s="7">
        <v>0</v>
      </c>
      <c r="I428" s="7">
        <v>0</v>
      </c>
      <c r="J428" s="7">
        <v>0</v>
      </c>
      <c r="K428" s="3">
        <f t="shared" si="16"/>
        <v>0</v>
      </c>
      <c r="L428" s="3"/>
      <c r="M428" s="3">
        <f t="shared" si="17"/>
        <v>0</v>
      </c>
      <c r="N428" s="7"/>
      <c r="O428" s="5"/>
      <c r="S428" s="6"/>
    </row>
    <row r="429" spans="1:23" x14ac:dyDescent="0.45">
      <c r="A429" s="124">
        <v>821005</v>
      </c>
      <c r="B429" s="124" t="s">
        <v>17266</v>
      </c>
      <c r="C429" s="124" t="s">
        <v>17267</v>
      </c>
      <c r="D429" s="124">
        <v>1</v>
      </c>
      <c r="E429" s="124" t="s">
        <v>16334</v>
      </c>
      <c r="F429" s="126">
        <v>1.6999999999999999E-3</v>
      </c>
      <c r="G429" s="126">
        <v>1.7500000000000002E-2</v>
      </c>
      <c r="H429" s="126">
        <v>0</v>
      </c>
      <c r="I429" s="127">
        <v>0</v>
      </c>
      <c r="J429" s="127">
        <v>0</v>
      </c>
      <c r="K429" s="126">
        <f t="shared" si="16"/>
        <v>1.7500000000000002E-2</v>
      </c>
      <c r="L429" s="3"/>
      <c r="M429" s="126">
        <f t="shared" si="17"/>
        <v>1.9200000000000002E-2</v>
      </c>
      <c r="O429" s="131" t="s">
        <v>17268</v>
      </c>
      <c r="P429" s="128" t="s">
        <v>26918</v>
      </c>
      <c r="Q429" s="130">
        <f>44645+1155</f>
        <v>45800</v>
      </c>
      <c r="R429" s="124" t="s">
        <v>16348</v>
      </c>
      <c r="S429" s="132">
        <v>30947</v>
      </c>
      <c r="T429" s="129">
        <f>S429/Q429</f>
        <v>0.67569868995633187</v>
      </c>
      <c r="V429" s="125" t="s">
        <v>17269</v>
      </c>
    </row>
    <row r="430" spans="1:23" customFormat="1" x14ac:dyDescent="0.45">
      <c r="A430">
        <v>147666</v>
      </c>
      <c r="B430" t="s">
        <v>17270</v>
      </c>
      <c r="C430" t="s">
        <v>16331</v>
      </c>
      <c r="D430">
        <v>2</v>
      </c>
      <c r="E430" t="s">
        <v>16331</v>
      </c>
      <c r="F430" s="124"/>
      <c r="G430" s="7">
        <v>0</v>
      </c>
      <c r="H430" s="7">
        <v>0</v>
      </c>
      <c r="I430" s="7">
        <v>0</v>
      </c>
      <c r="J430" s="7">
        <v>0</v>
      </c>
      <c r="K430" s="3">
        <f t="shared" si="16"/>
        <v>0</v>
      </c>
      <c r="L430" s="3"/>
      <c r="M430" s="3">
        <f t="shared" si="17"/>
        <v>0</v>
      </c>
      <c r="O430" s="5"/>
      <c r="S430" s="6"/>
    </row>
    <row r="431" spans="1:23" customFormat="1" x14ac:dyDescent="0.45">
      <c r="A431">
        <v>147802</v>
      </c>
      <c r="B431" t="s">
        <v>17271</v>
      </c>
      <c r="C431" t="s">
        <v>17272</v>
      </c>
      <c r="D431">
        <v>2</v>
      </c>
      <c r="F431" s="124"/>
      <c r="G431" s="7">
        <v>0</v>
      </c>
      <c r="H431" s="7">
        <v>0</v>
      </c>
      <c r="I431" s="7">
        <v>0</v>
      </c>
      <c r="J431" s="7">
        <v>0</v>
      </c>
      <c r="K431" s="3">
        <f t="shared" si="16"/>
        <v>0</v>
      </c>
      <c r="L431" s="3"/>
      <c r="M431" s="3">
        <f t="shared" si="17"/>
        <v>0</v>
      </c>
      <c r="N431" s="7"/>
      <c r="O431" s="5"/>
      <c r="S431" s="6"/>
    </row>
    <row r="432" spans="1:23" customFormat="1" x14ac:dyDescent="0.45">
      <c r="A432">
        <v>147876</v>
      </c>
      <c r="B432" t="s">
        <v>17273</v>
      </c>
      <c r="C432" t="s">
        <v>17274</v>
      </c>
      <c r="D432">
        <v>9</v>
      </c>
      <c r="F432" s="124"/>
      <c r="G432" s="7">
        <v>0</v>
      </c>
      <c r="H432" s="7">
        <v>0</v>
      </c>
      <c r="I432" s="7">
        <v>0</v>
      </c>
      <c r="J432" s="7">
        <v>0</v>
      </c>
      <c r="K432" s="3">
        <f t="shared" si="16"/>
        <v>0</v>
      </c>
      <c r="L432" s="3"/>
      <c r="M432" s="3">
        <f t="shared" si="17"/>
        <v>0</v>
      </c>
      <c r="O432" s="5"/>
      <c r="S432" s="6"/>
    </row>
    <row r="433" spans="1:22" customFormat="1" x14ac:dyDescent="0.45">
      <c r="A433">
        <v>148029</v>
      </c>
      <c r="B433" t="s">
        <v>17275</v>
      </c>
      <c r="C433" t="s">
        <v>17276</v>
      </c>
      <c r="D433">
        <v>3</v>
      </c>
      <c r="F433" s="124"/>
      <c r="G433" s="7">
        <v>0</v>
      </c>
      <c r="H433" s="7">
        <v>0</v>
      </c>
      <c r="I433" s="7">
        <v>0</v>
      </c>
      <c r="J433" s="7">
        <v>0</v>
      </c>
      <c r="K433" s="3">
        <f t="shared" si="16"/>
        <v>0</v>
      </c>
      <c r="L433" s="3"/>
      <c r="M433" s="3">
        <f t="shared" si="17"/>
        <v>0</v>
      </c>
      <c r="O433" s="5"/>
      <c r="S433" s="6"/>
    </row>
    <row r="434" spans="1:22" customFormat="1" x14ac:dyDescent="0.45">
      <c r="A434">
        <v>148040</v>
      </c>
      <c r="B434" t="s">
        <v>17277</v>
      </c>
      <c r="C434" t="s">
        <v>16331</v>
      </c>
      <c r="D434">
        <v>1</v>
      </c>
      <c r="E434" t="s">
        <v>16331</v>
      </c>
      <c r="F434" s="124"/>
      <c r="G434" s="7">
        <v>0</v>
      </c>
      <c r="H434" s="7">
        <v>0</v>
      </c>
      <c r="I434" s="7">
        <v>0</v>
      </c>
      <c r="J434" s="7">
        <v>0</v>
      </c>
      <c r="K434" s="3">
        <f t="shared" si="16"/>
        <v>0</v>
      </c>
      <c r="L434" s="3"/>
      <c r="M434" s="3">
        <f t="shared" si="17"/>
        <v>0</v>
      </c>
      <c r="O434" s="5"/>
      <c r="S434" s="6"/>
    </row>
    <row r="435" spans="1:22" customFormat="1" x14ac:dyDescent="0.45">
      <c r="A435">
        <v>148187</v>
      </c>
      <c r="B435" t="s">
        <v>17278</v>
      </c>
      <c r="C435" t="s">
        <v>17279</v>
      </c>
      <c r="D435">
        <v>4</v>
      </c>
      <c r="F435" s="124"/>
      <c r="G435" s="7">
        <v>0</v>
      </c>
      <c r="H435" s="7">
        <v>0</v>
      </c>
      <c r="I435" s="7">
        <v>0</v>
      </c>
      <c r="J435" s="7">
        <v>0</v>
      </c>
      <c r="K435" s="3">
        <f t="shared" si="16"/>
        <v>0</v>
      </c>
      <c r="L435" s="3"/>
      <c r="M435" s="3">
        <f t="shared" si="17"/>
        <v>0</v>
      </c>
      <c r="O435" s="5"/>
      <c r="S435" s="6"/>
    </row>
    <row r="436" spans="1:22" customFormat="1" x14ac:dyDescent="0.45">
      <c r="A436">
        <v>148190</v>
      </c>
      <c r="B436" t="s">
        <v>17280</v>
      </c>
      <c r="C436" t="s">
        <v>17281</v>
      </c>
      <c r="D436">
        <v>6</v>
      </c>
      <c r="F436" s="124"/>
      <c r="G436" s="7">
        <v>0</v>
      </c>
      <c r="H436" s="7">
        <v>0</v>
      </c>
      <c r="I436" s="7">
        <v>0</v>
      </c>
      <c r="J436" s="7">
        <v>0</v>
      </c>
      <c r="K436" s="3">
        <f t="shared" si="16"/>
        <v>0</v>
      </c>
      <c r="L436" s="3"/>
      <c r="M436" s="3">
        <f t="shared" si="17"/>
        <v>0</v>
      </c>
      <c r="O436" s="5"/>
      <c r="S436" s="6"/>
    </row>
    <row r="437" spans="1:22" customFormat="1" x14ac:dyDescent="0.45">
      <c r="A437">
        <v>148191</v>
      </c>
      <c r="B437" t="s">
        <v>17282</v>
      </c>
      <c r="C437" t="s">
        <v>17283</v>
      </c>
      <c r="D437">
        <v>0</v>
      </c>
      <c r="E437" t="s">
        <v>16561</v>
      </c>
      <c r="F437" s="124"/>
      <c r="G437" s="7">
        <v>0</v>
      </c>
      <c r="H437" s="7">
        <v>0</v>
      </c>
      <c r="I437" s="7">
        <v>0</v>
      </c>
      <c r="J437" s="7">
        <v>0</v>
      </c>
      <c r="K437" s="3">
        <f t="shared" si="16"/>
        <v>0</v>
      </c>
      <c r="L437" s="3"/>
      <c r="M437" s="3">
        <f t="shared" si="17"/>
        <v>0</v>
      </c>
      <c r="O437" s="5"/>
      <c r="S437" s="6"/>
    </row>
    <row r="438" spans="1:22" x14ac:dyDescent="0.45">
      <c r="A438" s="124">
        <v>583160</v>
      </c>
      <c r="B438" s="124" t="s">
        <v>17284</v>
      </c>
      <c r="C438" s="124" t="s">
        <v>17285</v>
      </c>
      <c r="D438" s="124">
        <v>2</v>
      </c>
      <c r="E438" s="124" t="s">
        <v>16334</v>
      </c>
      <c r="F438" s="126">
        <v>1.6999999999999999E-3</v>
      </c>
      <c r="G438" s="126">
        <v>0.02</v>
      </c>
      <c r="H438" s="126"/>
      <c r="I438" s="127"/>
      <c r="J438" s="127"/>
      <c r="K438" s="126">
        <f t="shared" si="16"/>
        <v>0.02</v>
      </c>
      <c r="L438" s="3"/>
      <c r="M438" s="126">
        <f t="shared" si="17"/>
        <v>2.1700000000000001E-2</v>
      </c>
      <c r="O438" s="131" t="s">
        <v>17286</v>
      </c>
      <c r="P438" s="128" t="s">
        <v>26918</v>
      </c>
      <c r="Q438" s="130">
        <v>156635</v>
      </c>
      <c r="R438" s="124" t="s">
        <v>16348</v>
      </c>
      <c r="S438" s="132">
        <v>61663</v>
      </c>
      <c r="T438" s="129">
        <f>S438/Q438</f>
        <v>0.39367318926165928</v>
      </c>
      <c r="V438" s="125" t="s">
        <v>17287</v>
      </c>
    </row>
    <row r="439" spans="1:22" customFormat="1" x14ac:dyDescent="0.45">
      <c r="A439">
        <v>148216</v>
      </c>
      <c r="B439" t="s">
        <v>17288</v>
      </c>
      <c r="C439" t="s">
        <v>16331</v>
      </c>
      <c r="D439">
        <v>0</v>
      </c>
      <c r="E439" t="s">
        <v>16331</v>
      </c>
      <c r="F439" s="124"/>
      <c r="K439" s="3">
        <f t="shared" si="16"/>
        <v>0</v>
      </c>
      <c r="L439" s="3"/>
      <c r="M439" s="3">
        <f t="shared" si="17"/>
        <v>0</v>
      </c>
      <c r="O439" s="5"/>
      <c r="S439" s="6"/>
    </row>
    <row r="440" spans="1:22" customFormat="1" x14ac:dyDescent="0.45">
      <c r="A440">
        <v>148300</v>
      </c>
      <c r="B440" t="s">
        <v>17289</v>
      </c>
      <c r="C440" t="s">
        <v>17290</v>
      </c>
      <c r="D440">
        <v>10</v>
      </c>
      <c r="F440" s="124"/>
      <c r="G440" s="7">
        <v>0</v>
      </c>
      <c r="H440" s="7">
        <v>0</v>
      </c>
      <c r="I440" s="7">
        <v>0</v>
      </c>
      <c r="J440" s="7">
        <v>0</v>
      </c>
      <c r="K440" s="3">
        <f t="shared" si="16"/>
        <v>0</v>
      </c>
      <c r="L440" s="3"/>
      <c r="M440" s="3">
        <f t="shared" si="17"/>
        <v>0</v>
      </c>
      <c r="O440" s="5"/>
      <c r="S440" s="6"/>
    </row>
    <row r="441" spans="1:22" customFormat="1" x14ac:dyDescent="0.45">
      <c r="A441">
        <v>148407</v>
      </c>
      <c r="B441" t="s">
        <v>17291</v>
      </c>
      <c r="C441" t="s">
        <v>16331</v>
      </c>
      <c r="D441">
        <v>1</v>
      </c>
      <c r="E441" t="s">
        <v>16331</v>
      </c>
      <c r="F441" s="124"/>
      <c r="K441" s="3">
        <f t="shared" si="16"/>
        <v>0</v>
      </c>
      <c r="L441" s="3"/>
      <c r="M441" s="3">
        <f t="shared" si="17"/>
        <v>0</v>
      </c>
      <c r="O441" s="5"/>
      <c r="S441" s="6"/>
    </row>
    <row r="442" spans="1:22" customFormat="1" x14ac:dyDescent="0.45">
      <c r="A442">
        <v>148474</v>
      </c>
      <c r="B442" t="s">
        <v>17292</v>
      </c>
      <c r="C442" t="s">
        <v>17293</v>
      </c>
      <c r="D442">
        <v>0</v>
      </c>
      <c r="E442" t="s">
        <v>16561</v>
      </c>
      <c r="F442" s="124"/>
      <c r="G442" s="7">
        <v>0</v>
      </c>
      <c r="H442" s="7">
        <v>0</v>
      </c>
      <c r="I442" s="7">
        <v>0</v>
      </c>
      <c r="J442" s="7">
        <v>0</v>
      </c>
      <c r="K442" s="3">
        <f t="shared" si="16"/>
        <v>0</v>
      </c>
      <c r="L442" s="3"/>
      <c r="M442" s="3">
        <f t="shared" si="17"/>
        <v>0</v>
      </c>
      <c r="N442" s="7"/>
      <c r="O442" s="5"/>
      <c r="S442" s="6"/>
    </row>
    <row r="443" spans="1:22" customFormat="1" x14ac:dyDescent="0.45">
      <c r="A443">
        <v>148496</v>
      </c>
      <c r="B443" t="s">
        <v>17294</v>
      </c>
      <c r="C443" t="s">
        <v>17295</v>
      </c>
      <c r="D443">
        <v>9</v>
      </c>
      <c r="F443" s="124"/>
      <c r="G443" s="7">
        <v>0</v>
      </c>
      <c r="H443" s="7">
        <v>0</v>
      </c>
      <c r="I443" s="7">
        <v>0</v>
      </c>
      <c r="J443" s="7">
        <v>0</v>
      </c>
      <c r="K443" s="3">
        <f t="shared" si="16"/>
        <v>0</v>
      </c>
      <c r="L443" s="3"/>
      <c r="M443" s="3">
        <f t="shared" si="17"/>
        <v>0</v>
      </c>
      <c r="O443" s="5"/>
      <c r="S443" s="6"/>
    </row>
    <row r="444" spans="1:22" customFormat="1" x14ac:dyDescent="0.45">
      <c r="A444">
        <v>148549</v>
      </c>
      <c r="B444" t="s">
        <v>17296</v>
      </c>
      <c r="C444" t="s">
        <v>17297</v>
      </c>
      <c r="D444">
        <v>0</v>
      </c>
      <c r="E444" t="s">
        <v>17298</v>
      </c>
      <c r="F444" s="124"/>
      <c r="G444" s="7">
        <v>0</v>
      </c>
      <c r="H444" s="7">
        <v>0</v>
      </c>
      <c r="I444" s="7">
        <v>0</v>
      </c>
      <c r="J444" s="7">
        <v>0</v>
      </c>
      <c r="K444" s="3">
        <f t="shared" si="16"/>
        <v>0</v>
      </c>
      <c r="L444" s="3"/>
      <c r="M444" s="3">
        <f t="shared" si="17"/>
        <v>0</v>
      </c>
      <c r="O444" s="5"/>
      <c r="S444" s="6"/>
    </row>
    <row r="445" spans="1:22" customFormat="1" x14ac:dyDescent="0.45">
      <c r="A445">
        <v>148597</v>
      </c>
      <c r="B445" t="s">
        <v>17299</v>
      </c>
      <c r="C445" t="s">
        <v>17300</v>
      </c>
      <c r="D445">
        <v>2</v>
      </c>
      <c r="F445" s="124"/>
      <c r="G445" s="7">
        <v>0</v>
      </c>
      <c r="H445" s="7">
        <v>0</v>
      </c>
      <c r="I445" s="7">
        <v>0</v>
      </c>
      <c r="J445" s="7">
        <v>0</v>
      </c>
      <c r="K445" s="3">
        <f t="shared" si="16"/>
        <v>0</v>
      </c>
      <c r="L445" s="3"/>
      <c r="M445" s="3">
        <f t="shared" si="17"/>
        <v>0</v>
      </c>
      <c r="N445" s="7"/>
      <c r="O445" s="5"/>
      <c r="S445" s="6"/>
    </row>
    <row r="446" spans="1:22" customFormat="1" x14ac:dyDescent="0.45">
      <c r="A446">
        <v>148759</v>
      </c>
      <c r="B446" t="s">
        <v>17301</v>
      </c>
      <c r="C446" t="s">
        <v>17302</v>
      </c>
      <c r="D446">
        <v>10</v>
      </c>
      <c r="F446" s="124"/>
      <c r="G446" s="7">
        <v>0</v>
      </c>
      <c r="H446" s="7">
        <v>0</v>
      </c>
      <c r="I446" s="7">
        <v>0</v>
      </c>
      <c r="J446" s="7">
        <v>0</v>
      </c>
      <c r="K446" s="3">
        <f t="shared" si="16"/>
        <v>0</v>
      </c>
      <c r="L446" s="3"/>
      <c r="M446" s="3">
        <f t="shared" si="17"/>
        <v>0</v>
      </c>
      <c r="O446" s="5"/>
      <c r="S446" s="6"/>
    </row>
    <row r="447" spans="1:22" customFormat="1" x14ac:dyDescent="0.45">
      <c r="A447">
        <v>149161</v>
      </c>
      <c r="B447" t="s">
        <v>17303</v>
      </c>
      <c r="C447" t="s">
        <v>16331</v>
      </c>
      <c r="D447">
        <v>2</v>
      </c>
      <c r="E447" t="s">
        <v>16331</v>
      </c>
      <c r="F447" s="124"/>
      <c r="G447" s="7">
        <v>0</v>
      </c>
      <c r="H447" s="7">
        <v>0</v>
      </c>
      <c r="I447" s="7">
        <v>0</v>
      </c>
      <c r="J447" s="7">
        <v>0</v>
      </c>
      <c r="K447" s="3">
        <f t="shared" si="16"/>
        <v>0</v>
      </c>
      <c r="L447" s="3"/>
      <c r="M447" s="3">
        <f t="shared" si="17"/>
        <v>0</v>
      </c>
      <c r="O447" s="5"/>
      <c r="S447" s="6"/>
    </row>
    <row r="448" spans="1:22" customFormat="1" x14ac:dyDescent="0.45">
      <c r="A448">
        <v>149177</v>
      </c>
      <c r="B448" t="s">
        <v>17304</v>
      </c>
      <c r="C448" t="s">
        <v>17305</v>
      </c>
      <c r="D448">
        <v>2</v>
      </c>
      <c r="F448" s="124"/>
      <c r="G448" s="7">
        <v>0</v>
      </c>
      <c r="H448" s="7">
        <v>0</v>
      </c>
      <c r="I448" s="7">
        <v>0</v>
      </c>
      <c r="J448" s="7">
        <v>0</v>
      </c>
      <c r="K448" s="3">
        <f t="shared" si="16"/>
        <v>0</v>
      </c>
      <c r="L448" s="3"/>
      <c r="M448" s="3">
        <f t="shared" si="17"/>
        <v>0</v>
      </c>
      <c r="O448" s="5"/>
      <c r="S448" s="6"/>
    </row>
    <row r="449" spans="1:19" customFormat="1" x14ac:dyDescent="0.45">
      <c r="A449">
        <v>149231</v>
      </c>
      <c r="B449" t="s">
        <v>17306</v>
      </c>
      <c r="C449" t="s">
        <v>17307</v>
      </c>
      <c r="D449">
        <v>7</v>
      </c>
      <c r="F449" s="124"/>
      <c r="G449" s="7">
        <v>0</v>
      </c>
      <c r="H449" s="7">
        <v>0</v>
      </c>
      <c r="I449" s="7">
        <v>0</v>
      </c>
      <c r="J449" s="7">
        <v>0</v>
      </c>
      <c r="K449" s="3">
        <f t="shared" si="16"/>
        <v>0</v>
      </c>
      <c r="L449" s="3"/>
      <c r="M449" s="3">
        <f t="shared" si="17"/>
        <v>0</v>
      </c>
      <c r="O449" s="5"/>
      <c r="S449" s="6"/>
    </row>
    <row r="450" spans="1:19" customFormat="1" x14ac:dyDescent="0.45">
      <c r="A450">
        <v>149307</v>
      </c>
      <c r="B450" t="s">
        <v>17308</v>
      </c>
      <c r="C450" t="s">
        <v>17309</v>
      </c>
      <c r="D450">
        <v>13</v>
      </c>
      <c r="F450" s="124"/>
      <c r="G450" s="3">
        <v>0</v>
      </c>
      <c r="H450" s="3">
        <v>0</v>
      </c>
      <c r="I450" s="3">
        <v>0</v>
      </c>
      <c r="J450" s="3">
        <v>0</v>
      </c>
      <c r="K450" s="3">
        <f t="shared" si="16"/>
        <v>0</v>
      </c>
      <c r="L450" s="3"/>
      <c r="M450" s="3">
        <f t="shared" si="17"/>
        <v>0</v>
      </c>
      <c r="O450" s="5"/>
      <c r="S450" s="6"/>
    </row>
    <row r="451" spans="1:19" customFormat="1" x14ac:dyDescent="0.45">
      <c r="A451">
        <v>149380</v>
      </c>
      <c r="B451" t="s">
        <v>17310</v>
      </c>
      <c r="C451" t="s">
        <v>17311</v>
      </c>
      <c r="D451">
        <v>0</v>
      </c>
      <c r="E451" t="s">
        <v>16561</v>
      </c>
      <c r="F451" s="124"/>
      <c r="G451" s="7">
        <v>0</v>
      </c>
      <c r="H451" s="7">
        <v>0</v>
      </c>
      <c r="I451" s="7">
        <v>0</v>
      </c>
      <c r="J451" s="7">
        <v>0</v>
      </c>
      <c r="K451" s="3">
        <f t="shared" si="16"/>
        <v>0</v>
      </c>
      <c r="L451" s="3"/>
      <c r="M451" s="3">
        <f t="shared" si="17"/>
        <v>0</v>
      </c>
      <c r="N451" s="7"/>
      <c r="O451" s="5"/>
      <c r="S451" s="6"/>
    </row>
    <row r="452" spans="1:19" customFormat="1" x14ac:dyDescent="0.45">
      <c r="A452">
        <v>149541</v>
      </c>
      <c r="B452" t="s">
        <v>17312</v>
      </c>
      <c r="C452" t="s">
        <v>17313</v>
      </c>
      <c r="D452">
        <v>2</v>
      </c>
      <c r="F452" s="124"/>
      <c r="K452" s="3">
        <f t="shared" si="16"/>
        <v>0</v>
      </c>
      <c r="L452" s="3"/>
      <c r="M452" s="3">
        <f t="shared" si="17"/>
        <v>0</v>
      </c>
      <c r="O452" s="5"/>
      <c r="S452" s="6"/>
    </row>
    <row r="453" spans="1:19" customFormat="1" x14ac:dyDescent="0.45">
      <c r="A453">
        <v>149623</v>
      </c>
      <c r="B453" t="s">
        <v>17314</v>
      </c>
      <c r="C453" t="s">
        <v>16331</v>
      </c>
      <c r="D453">
        <v>0</v>
      </c>
      <c r="E453" t="s">
        <v>16331</v>
      </c>
      <c r="F453" s="124"/>
      <c r="G453" s="3">
        <v>0</v>
      </c>
      <c r="H453" s="3">
        <v>0</v>
      </c>
      <c r="I453" s="3">
        <v>0</v>
      </c>
      <c r="J453" s="3">
        <v>0</v>
      </c>
      <c r="K453" s="3">
        <f t="shared" si="16"/>
        <v>0</v>
      </c>
      <c r="L453" s="3"/>
      <c r="M453" s="3">
        <f t="shared" si="17"/>
        <v>0</v>
      </c>
      <c r="O453" s="5"/>
      <c r="S453" s="6"/>
    </row>
    <row r="454" spans="1:19" customFormat="1" x14ac:dyDescent="0.45">
      <c r="A454">
        <v>149715</v>
      </c>
      <c r="B454" t="s">
        <v>17315</v>
      </c>
      <c r="C454" t="s">
        <v>16331</v>
      </c>
      <c r="D454">
        <v>2</v>
      </c>
      <c r="E454" t="s">
        <v>16331</v>
      </c>
      <c r="F454" s="124"/>
      <c r="G454" s="7">
        <v>0</v>
      </c>
      <c r="H454" s="7">
        <v>0</v>
      </c>
      <c r="I454" s="7">
        <v>0</v>
      </c>
      <c r="J454" s="7">
        <v>0</v>
      </c>
      <c r="K454" s="3">
        <f t="shared" si="16"/>
        <v>0</v>
      </c>
      <c r="L454" s="3"/>
      <c r="M454" s="3">
        <f t="shared" si="17"/>
        <v>0</v>
      </c>
      <c r="O454" s="5"/>
      <c r="S454" s="6"/>
    </row>
    <row r="455" spans="1:19" customFormat="1" x14ac:dyDescent="0.45">
      <c r="A455">
        <v>149766</v>
      </c>
      <c r="B455" t="s">
        <v>17316</v>
      </c>
      <c r="C455" t="s">
        <v>17317</v>
      </c>
      <c r="D455">
        <v>3</v>
      </c>
      <c r="F455" s="124"/>
      <c r="G455" s="7">
        <v>0</v>
      </c>
      <c r="H455" s="7">
        <v>0</v>
      </c>
      <c r="I455" s="7">
        <v>0</v>
      </c>
      <c r="J455" s="7">
        <v>0</v>
      </c>
      <c r="K455" s="3">
        <f t="shared" si="16"/>
        <v>0</v>
      </c>
      <c r="L455" s="3"/>
      <c r="M455" s="3">
        <f t="shared" si="17"/>
        <v>0</v>
      </c>
      <c r="O455" s="5"/>
      <c r="S455" s="6"/>
    </row>
    <row r="456" spans="1:19" customFormat="1" x14ac:dyDescent="0.45">
      <c r="A456">
        <v>149826</v>
      </c>
      <c r="B456" t="s">
        <v>17318</v>
      </c>
      <c r="C456" t="s">
        <v>16331</v>
      </c>
      <c r="D456">
        <v>0</v>
      </c>
      <c r="E456" t="s">
        <v>16331</v>
      </c>
      <c r="F456" s="124"/>
      <c r="G456" s="7">
        <v>0</v>
      </c>
      <c r="H456" s="3">
        <v>0</v>
      </c>
      <c r="I456" s="3">
        <v>0</v>
      </c>
      <c r="J456">
        <v>0</v>
      </c>
      <c r="K456" s="3">
        <f t="shared" si="16"/>
        <v>0</v>
      </c>
      <c r="L456" s="3"/>
      <c r="M456" s="3">
        <f t="shared" si="17"/>
        <v>0</v>
      </c>
      <c r="O456" s="5"/>
      <c r="S456" s="6"/>
    </row>
    <row r="457" spans="1:19" customFormat="1" x14ac:dyDescent="0.45">
      <c r="A457">
        <v>149828</v>
      </c>
      <c r="B457" t="s">
        <v>17319</v>
      </c>
      <c r="C457" t="s">
        <v>16331</v>
      </c>
      <c r="D457">
        <v>3</v>
      </c>
      <c r="E457" t="s">
        <v>16331</v>
      </c>
      <c r="F457" s="124"/>
      <c r="G457" s="7">
        <v>0</v>
      </c>
      <c r="H457" s="7">
        <v>0</v>
      </c>
      <c r="I457" s="7">
        <v>0</v>
      </c>
      <c r="J457" s="7">
        <v>0</v>
      </c>
      <c r="K457" s="3">
        <f t="shared" si="16"/>
        <v>0</v>
      </c>
      <c r="L457" s="3"/>
      <c r="M457" s="3">
        <f t="shared" si="17"/>
        <v>0</v>
      </c>
      <c r="O457" s="5"/>
      <c r="S457" s="6"/>
    </row>
    <row r="458" spans="1:19" customFormat="1" x14ac:dyDescent="0.45">
      <c r="A458">
        <v>149889</v>
      </c>
      <c r="B458" t="s">
        <v>17320</v>
      </c>
      <c r="C458" t="s">
        <v>17321</v>
      </c>
      <c r="D458">
        <v>3</v>
      </c>
      <c r="F458" s="124"/>
      <c r="G458" s="7">
        <v>0</v>
      </c>
      <c r="H458" s="7">
        <v>0</v>
      </c>
      <c r="I458" s="7">
        <v>0</v>
      </c>
      <c r="J458" s="7">
        <v>0</v>
      </c>
      <c r="K458" s="3">
        <f t="shared" si="16"/>
        <v>0</v>
      </c>
      <c r="L458" s="3"/>
      <c r="M458" s="3">
        <f t="shared" si="17"/>
        <v>0</v>
      </c>
      <c r="O458" s="5"/>
      <c r="S458" s="6"/>
    </row>
    <row r="459" spans="1:19" customFormat="1" x14ac:dyDescent="0.45">
      <c r="A459">
        <v>149922</v>
      </c>
      <c r="B459" t="s">
        <v>17322</v>
      </c>
      <c r="C459" t="s">
        <v>17323</v>
      </c>
      <c r="D459">
        <v>3</v>
      </c>
      <c r="F459" s="124"/>
      <c r="G459" s="7">
        <v>0</v>
      </c>
      <c r="H459" s="7">
        <v>0</v>
      </c>
      <c r="I459" s="7">
        <v>0</v>
      </c>
      <c r="J459" s="7">
        <v>0</v>
      </c>
      <c r="K459" s="3">
        <f t="shared" si="16"/>
        <v>0</v>
      </c>
      <c r="L459" s="3"/>
      <c r="M459" s="3">
        <f t="shared" si="17"/>
        <v>0</v>
      </c>
      <c r="O459" s="5"/>
      <c r="S459" s="6"/>
    </row>
    <row r="460" spans="1:19" customFormat="1" x14ac:dyDescent="0.45">
      <c r="A460">
        <v>149979</v>
      </c>
      <c r="B460" t="s">
        <v>17324</v>
      </c>
      <c r="C460" t="s">
        <v>16331</v>
      </c>
      <c r="D460">
        <v>2</v>
      </c>
      <c r="E460" t="s">
        <v>16331</v>
      </c>
      <c r="F460" s="124"/>
      <c r="G460" s="7">
        <v>0</v>
      </c>
      <c r="H460" s="7">
        <v>0</v>
      </c>
      <c r="I460" s="7">
        <v>0</v>
      </c>
      <c r="J460" s="7">
        <v>0</v>
      </c>
      <c r="K460" s="3">
        <f t="shared" si="16"/>
        <v>0</v>
      </c>
      <c r="L460" s="3"/>
      <c r="M460" s="3">
        <f t="shared" si="17"/>
        <v>0</v>
      </c>
      <c r="O460" s="5"/>
      <c r="S460" s="6"/>
    </row>
    <row r="461" spans="1:19" customFormat="1" x14ac:dyDescent="0.45">
      <c r="A461">
        <v>150018</v>
      </c>
      <c r="B461" t="s">
        <v>17325</v>
      </c>
      <c r="C461" t="s">
        <v>16331</v>
      </c>
      <c r="D461">
        <v>0</v>
      </c>
      <c r="E461" t="s">
        <v>16331</v>
      </c>
      <c r="F461" s="124"/>
      <c r="G461" s="7">
        <v>0</v>
      </c>
      <c r="H461" s="7">
        <v>0</v>
      </c>
      <c r="I461" s="7">
        <v>0</v>
      </c>
      <c r="J461" s="7">
        <v>0</v>
      </c>
      <c r="K461" s="3">
        <f t="shared" si="16"/>
        <v>0</v>
      </c>
      <c r="L461" s="3"/>
      <c r="M461" s="3">
        <f t="shared" si="17"/>
        <v>0</v>
      </c>
      <c r="N461" s="7"/>
      <c r="O461" s="5"/>
      <c r="S461" s="6"/>
    </row>
    <row r="462" spans="1:19" customFormat="1" x14ac:dyDescent="0.45">
      <c r="A462">
        <v>150115</v>
      </c>
      <c r="B462" t="s">
        <v>17326</v>
      </c>
      <c r="C462" t="s">
        <v>16331</v>
      </c>
      <c r="D462">
        <v>1</v>
      </c>
      <c r="E462" t="s">
        <v>16331</v>
      </c>
      <c r="F462" s="124"/>
      <c r="G462" s="7">
        <v>0</v>
      </c>
      <c r="H462" s="7">
        <v>0</v>
      </c>
      <c r="I462" s="7">
        <v>0</v>
      </c>
      <c r="J462" s="7">
        <v>0</v>
      </c>
      <c r="K462" s="3">
        <f t="shared" si="16"/>
        <v>0</v>
      </c>
      <c r="L462" s="3"/>
      <c r="M462" s="3">
        <f t="shared" si="17"/>
        <v>0</v>
      </c>
      <c r="O462" s="5"/>
      <c r="S462" s="6"/>
    </row>
    <row r="463" spans="1:19" customFormat="1" x14ac:dyDescent="0.45">
      <c r="A463">
        <v>150126</v>
      </c>
      <c r="B463" t="s">
        <v>17327</v>
      </c>
      <c r="C463" t="s">
        <v>16331</v>
      </c>
      <c r="D463">
        <v>2</v>
      </c>
      <c r="E463" t="s">
        <v>16331</v>
      </c>
      <c r="F463" s="124"/>
      <c r="G463" s="7">
        <v>0</v>
      </c>
      <c r="H463" s="7">
        <v>0</v>
      </c>
      <c r="I463" s="7">
        <v>0</v>
      </c>
      <c r="J463" s="7">
        <v>0</v>
      </c>
      <c r="K463" s="3">
        <f t="shared" si="16"/>
        <v>0</v>
      </c>
      <c r="L463" s="3"/>
      <c r="M463" s="3">
        <f t="shared" si="17"/>
        <v>0</v>
      </c>
      <c r="O463" s="5"/>
      <c r="S463" s="6"/>
    </row>
    <row r="464" spans="1:19" customFormat="1" x14ac:dyDescent="0.45">
      <c r="A464">
        <v>150188</v>
      </c>
      <c r="B464" t="s">
        <v>17328</v>
      </c>
      <c r="C464" t="s">
        <v>16331</v>
      </c>
      <c r="D464">
        <v>3</v>
      </c>
      <c r="E464" t="s">
        <v>16331</v>
      </c>
      <c r="F464" s="124"/>
      <c r="G464" s="7">
        <v>0</v>
      </c>
      <c r="H464" s="7">
        <v>0</v>
      </c>
      <c r="I464" s="7">
        <v>0</v>
      </c>
      <c r="J464" s="7">
        <v>0</v>
      </c>
      <c r="K464" s="3">
        <f t="shared" si="16"/>
        <v>0</v>
      </c>
      <c r="L464" s="3"/>
      <c r="M464" s="3">
        <f t="shared" si="17"/>
        <v>0</v>
      </c>
      <c r="O464" s="5"/>
      <c r="S464" s="6"/>
    </row>
    <row r="465" spans="1:22" customFormat="1" x14ac:dyDescent="0.45">
      <c r="A465">
        <v>150285</v>
      </c>
      <c r="B465" t="s">
        <v>17329</v>
      </c>
      <c r="C465" t="s">
        <v>17330</v>
      </c>
      <c r="D465">
        <v>2</v>
      </c>
      <c r="F465" s="124"/>
      <c r="G465" s="3">
        <v>0</v>
      </c>
      <c r="H465" s="3">
        <v>0</v>
      </c>
      <c r="I465" s="3">
        <v>0</v>
      </c>
      <c r="J465" s="3">
        <v>0</v>
      </c>
      <c r="K465" s="3">
        <f t="shared" si="16"/>
        <v>0</v>
      </c>
      <c r="L465" s="3"/>
      <c r="M465" s="3">
        <f t="shared" si="17"/>
        <v>0</v>
      </c>
      <c r="O465" s="5"/>
      <c r="S465" s="6"/>
    </row>
    <row r="466" spans="1:22" customFormat="1" x14ac:dyDescent="0.45">
      <c r="A466">
        <v>150317</v>
      </c>
      <c r="B466" t="s">
        <v>17331</v>
      </c>
      <c r="C466" t="s">
        <v>17332</v>
      </c>
      <c r="D466">
        <v>47</v>
      </c>
      <c r="F466" s="124"/>
      <c r="G466" s="3">
        <v>0</v>
      </c>
      <c r="H466" s="3">
        <v>0</v>
      </c>
      <c r="I466" s="3">
        <v>0</v>
      </c>
      <c r="J466" s="3">
        <v>0</v>
      </c>
      <c r="K466" s="3">
        <f t="shared" si="16"/>
        <v>0</v>
      </c>
      <c r="L466" s="3"/>
      <c r="M466" s="3">
        <f t="shared" si="17"/>
        <v>0</v>
      </c>
      <c r="O466" s="5"/>
      <c r="S466" s="6"/>
    </row>
    <row r="467" spans="1:22" customFormat="1" x14ac:dyDescent="0.45">
      <c r="A467">
        <v>150458</v>
      </c>
      <c r="B467" t="s">
        <v>17333</v>
      </c>
      <c r="C467" t="s">
        <v>17334</v>
      </c>
      <c r="D467">
        <v>17</v>
      </c>
      <c r="F467" s="124"/>
      <c r="G467" s="7">
        <v>0</v>
      </c>
      <c r="H467" s="7">
        <v>0</v>
      </c>
      <c r="I467" s="7">
        <v>0</v>
      </c>
      <c r="J467" s="7">
        <v>0</v>
      </c>
      <c r="K467" s="3">
        <f t="shared" si="16"/>
        <v>0</v>
      </c>
      <c r="L467" s="3"/>
      <c r="M467" s="3">
        <f t="shared" si="17"/>
        <v>0</v>
      </c>
      <c r="O467" s="5"/>
      <c r="S467" s="6"/>
    </row>
    <row r="468" spans="1:22" customFormat="1" x14ac:dyDescent="0.45">
      <c r="A468">
        <v>150469</v>
      </c>
      <c r="B468" t="s">
        <v>17335</v>
      </c>
      <c r="C468" t="s">
        <v>17336</v>
      </c>
      <c r="D468">
        <v>5</v>
      </c>
      <c r="F468" s="124"/>
      <c r="G468" s="3">
        <v>0</v>
      </c>
      <c r="H468" s="3">
        <v>0</v>
      </c>
      <c r="I468" s="3">
        <v>0</v>
      </c>
      <c r="J468" s="3">
        <v>0</v>
      </c>
      <c r="K468" s="3">
        <f t="shared" si="16"/>
        <v>0</v>
      </c>
      <c r="L468" s="3"/>
      <c r="M468" s="3">
        <f t="shared" si="17"/>
        <v>0</v>
      </c>
      <c r="O468" s="5"/>
      <c r="S468" s="6"/>
    </row>
    <row r="469" spans="1:22" customFormat="1" x14ac:dyDescent="0.45">
      <c r="A469">
        <v>150485</v>
      </c>
      <c r="B469" t="s">
        <v>17337</v>
      </c>
      <c r="C469" t="s">
        <v>17338</v>
      </c>
      <c r="D469">
        <v>2</v>
      </c>
      <c r="F469" s="124"/>
      <c r="G469" s="7">
        <v>0</v>
      </c>
      <c r="H469" s="7">
        <v>0</v>
      </c>
      <c r="I469" s="7">
        <v>0</v>
      </c>
      <c r="J469" s="7">
        <v>0</v>
      </c>
      <c r="K469" s="3">
        <f t="shared" si="16"/>
        <v>0</v>
      </c>
      <c r="L469" s="3"/>
      <c r="M469" s="3">
        <f t="shared" si="17"/>
        <v>0</v>
      </c>
      <c r="O469" s="5"/>
      <c r="S469" s="6"/>
    </row>
    <row r="470" spans="1:22" x14ac:dyDescent="0.45">
      <c r="A470" s="124">
        <v>629635</v>
      </c>
      <c r="B470" s="124" t="s">
        <v>17339</v>
      </c>
      <c r="C470" s="124" t="s">
        <v>17340</v>
      </c>
      <c r="D470" s="124">
        <v>1</v>
      </c>
      <c r="E470" s="124" t="s">
        <v>16334</v>
      </c>
      <c r="F470" s="126">
        <v>1.6999999999999999E-3</v>
      </c>
      <c r="G470" s="126">
        <v>1.4999999999999999E-2</v>
      </c>
      <c r="H470" s="126">
        <v>7.4999999999999997E-3</v>
      </c>
      <c r="I470" s="127"/>
      <c r="J470" s="127"/>
      <c r="K470" s="126">
        <f t="shared" si="16"/>
        <v>2.2499999999999999E-2</v>
      </c>
      <c r="L470" s="3"/>
      <c r="M470" s="126">
        <f t="shared" si="17"/>
        <v>2.4199999999999999E-2</v>
      </c>
      <c r="O470" s="131" t="s">
        <v>17341</v>
      </c>
      <c r="P470" s="128" t="s">
        <v>26918</v>
      </c>
      <c r="Q470" s="132">
        <f>S470+28998</f>
        <v>75044</v>
      </c>
      <c r="R470" s="124" t="s">
        <v>16348</v>
      </c>
      <c r="S470" s="132">
        <v>46046</v>
      </c>
      <c r="T470" s="129">
        <f>S470/Q470</f>
        <v>0.6135866958051277</v>
      </c>
      <c r="V470" s="125" t="s">
        <v>17342</v>
      </c>
    </row>
    <row r="471" spans="1:22" customFormat="1" x14ac:dyDescent="0.45">
      <c r="A471">
        <v>150626</v>
      </c>
      <c r="B471" t="s">
        <v>17343</v>
      </c>
      <c r="C471" t="s">
        <v>16331</v>
      </c>
      <c r="D471">
        <v>1</v>
      </c>
      <c r="E471" t="s">
        <v>16331</v>
      </c>
      <c r="F471" s="124"/>
      <c r="G471" s="7">
        <v>0</v>
      </c>
      <c r="H471" s="7">
        <v>0</v>
      </c>
      <c r="I471" s="7">
        <v>0</v>
      </c>
      <c r="J471" s="7">
        <v>0</v>
      </c>
      <c r="K471" s="3">
        <f t="shared" si="16"/>
        <v>0</v>
      </c>
      <c r="L471" s="3"/>
      <c r="M471" s="3">
        <f t="shared" si="17"/>
        <v>0</v>
      </c>
      <c r="O471" s="5"/>
      <c r="S471" s="6"/>
    </row>
    <row r="472" spans="1:22" customFormat="1" x14ac:dyDescent="0.45">
      <c r="A472">
        <v>150643</v>
      </c>
      <c r="B472" t="s">
        <v>17344</v>
      </c>
      <c r="C472" t="s">
        <v>16331</v>
      </c>
      <c r="D472">
        <v>0</v>
      </c>
      <c r="E472" t="s">
        <v>16331</v>
      </c>
      <c r="F472" s="124"/>
      <c r="G472" s="7">
        <v>0</v>
      </c>
      <c r="H472" s="3">
        <v>0</v>
      </c>
      <c r="I472" s="3">
        <v>0</v>
      </c>
      <c r="J472">
        <v>0</v>
      </c>
      <c r="K472" s="3">
        <f t="shared" ref="K472:K535" si="18">SUM(G472:J472)</f>
        <v>0</v>
      </c>
      <c r="L472" s="3"/>
      <c r="M472" s="3">
        <f t="shared" ref="M472:M484" si="19">K472+F472</f>
        <v>0</v>
      </c>
      <c r="O472" s="5"/>
      <c r="S472" s="6"/>
    </row>
    <row r="473" spans="1:22" customFormat="1" x14ac:dyDescent="0.45">
      <c r="A473">
        <v>152587</v>
      </c>
      <c r="B473" t="s">
        <v>17345</v>
      </c>
      <c r="C473" t="s">
        <v>17346</v>
      </c>
      <c r="D473">
        <v>6</v>
      </c>
      <c r="F473" s="124"/>
      <c r="G473" s="3">
        <v>0</v>
      </c>
      <c r="H473" s="3">
        <v>0</v>
      </c>
      <c r="I473" s="3">
        <v>0</v>
      </c>
      <c r="J473" s="3">
        <v>0</v>
      </c>
      <c r="K473" s="3">
        <f t="shared" si="18"/>
        <v>0</v>
      </c>
      <c r="L473" s="3"/>
      <c r="M473" s="3">
        <f t="shared" si="19"/>
        <v>0</v>
      </c>
      <c r="O473" s="5"/>
      <c r="S473" s="6"/>
    </row>
    <row r="474" spans="1:22" customFormat="1" x14ac:dyDescent="0.45">
      <c r="A474">
        <v>152689</v>
      </c>
      <c r="B474" t="s">
        <v>17347</v>
      </c>
      <c r="C474" t="s">
        <v>17348</v>
      </c>
      <c r="D474">
        <v>2</v>
      </c>
      <c r="F474" s="124"/>
      <c r="K474" s="3">
        <f t="shared" si="18"/>
        <v>0</v>
      </c>
      <c r="L474" s="3"/>
      <c r="M474" s="3">
        <f t="shared" si="19"/>
        <v>0</v>
      </c>
      <c r="O474" s="5"/>
      <c r="S474" s="6"/>
    </row>
    <row r="475" spans="1:22" customFormat="1" x14ac:dyDescent="0.45">
      <c r="A475">
        <v>152710</v>
      </c>
      <c r="B475" t="s">
        <v>17349</v>
      </c>
      <c r="C475" t="s">
        <v>16331</v>
      </c>
      <c r="D475">
        <v>1</v>
      </c>
      <c r="E475" t="s">
        <v>16331</v>
      </c>
      <c r="F475" s="124"/>
      <c r="K475" s="3">
        <f t="shared" si="18"/>
        <v>0</v>
      </c>
      <c r="L475" s="3"/>
      <c r="M475" s="3">
        <f t="shared" si="19"/>
        <v>0</v>
      </c>
      <c r="O475" s="5"/>
      <c r="S475" s="6"/>
    </row>
    <row r="476" spans="1:22" customFormat="1" x14ac:dyDescent="0.45">
      <c r="A476">
        <v>152753</v>
      </c>
      <c r="B476" t="s">
        <v>17350</v>
      </c>
      <c r="C476" t="s">
        <v>17351</v>
      </c>
      <c r="D476">
        <v>18</v>
      </c>
      <c r="F476" s="124"/>
      <c r="G476" s="7">
        <v>0</v>
      </c>
      <c r="H476" s="7">
        <v>0</v>
      </c>
      <c r="I476" s="7">
        <v>0</v>
      </c>
      <c r="J476" s="7">
        <v>0</v>
      </c>
      <c r="K476" s="3">
        <f t="shared" si="18"/>
        <v>0</v>
      </c>
      <c r="L476" s="3"/>
      <c r="M476" s="3">
        <f t="shared" si="19"/>
        <v>0</v>
      </c>
      <c r="N476" s="7"/>
      <c r="O476" s="5"/>
      <c r="S476" s="6"/>
    </row>
    <row r="477" spans="1:22" customFormat="1" x14ac:dyDescent="0.45">
      <c r="A477">
        <v>152998</v>
      </c>
      <c r="B477" t="s">
        <v>17352</v>
      </c>
      <c r="C477" t="s">
        <v>17353</v>
      </c>
      <c r="D477">
        <v>8</v>
      </c>
      <c r="F477" s="124"/>
      <c r="G477" s="3">
        <v>0</v>
      </c>
      <c r="H477" s="3">
        <v>0</v>
      </c>
      <c r="I477" s="3">
        <v>0</v>
      </c>
      <c r="J477" s="3">
        <v>0</v>
      </c>
      <c r="K477" s="3">
        <f t="shared" si="18"/>
        <v>0</v>
      </c>
      <c r="L477" s="3"/>
      <c r="M477" s="3">
        <f t="shared" si="19"/>
        <v>0</v>
      </c>
      <c r="O477" s="5"/>
      <c r="S477" s="6"/>
    </row>
    <row r="478" spans="1:22" customFormat="1" x14ac:dyDescent="0.45">
      <c r="A478">
        <v>153041</v>
      </c>
      <c r="B478" t="s">
        <v>17354</v>
      </c>
      <c r="C478" t="s">
        <v>16331</v>
      </c>
      <c r="D478">
        <v>1</v>
      </c>
      <c r="E478" t="s">
        <v>16331</v>
      </c>
      <c r="F478" s="124"/>
      <c r="G478" s="3">
        <v>0</v>
      </c>
      <c r="H478" s="3">
        <v>0</v>
      </c>
      <c r="I478" s="3">
        <v>0</v>
      </c>
      <c r="J478" s="3">
        <v>0</v>
      </c>
      <c r="K478" s="3">
        <f t="shared" si="18"/>
        <v>0</v>
      </c>
      <c r="L478" s="3"/>
      <c r="M478" s="3">
        <f t="shared" si="19"/>
        <v>0</v>
      </c>
      <c r="O478" s="5"/>
      <c r="S478" s="6"/>
    </row>
    <row r="479" spans="1:22" customFormat="1" x14ac:dyDescent="0.45">
      <c r="A479">
        <v>153248</v>
      </c>
      <c r="B479" t="s">
        <v>17355</v>
      </c>
      <c r="C479" t="s">
        <v>16331</v>
      </c>
      <c r="D479">
        <v>2</v>
      </c>
      <c r="E479" t="s">
        <v>16331</v>
      </c>
      <c r="F479" s="124"/>
      <c r="G479" s="7">
        <v>0</v>
      </c>
      <c r="H479" s="7">
        <v>0</v>
      </c>
      <c r="I479" s="7">
        <v>0</v>
      </c>
      <c r="J479" s="7">
        <v>0</v>
      </c>
      <c r="K479" s="3">
        <f t="shared" si="18"/>
        <v>0</v>
      </c>
      <c r="L479" s="3"/>
      <c r="M479" s="3">
        <f t="shared" si="19"/>
        <v>0</v>
      </c>
      <c r="O479" s="5"/>
      <c r="S479" s="6"/>
    </row>
    <row r="480" spans="1:22" customFormat="1" x14ac:dyDescent="0.45">
      <c r="A480">
        <v>153446</v>
      </c>
      <c r="B480" t="s">
        <v>17356</v>
      </c>
      <c r="C480" t="s">
        <v>17357</v>
      </c>
      <c r="D480">
        <v>2</v>
      </c>
      <c r="F480" s="124"/>
      <c r="G480" s="7">
        <v>0</v>
      </c>
      <c r="H480" s="7">
        <v>0</v>
      </c>
      <c r="I480" s="7">
        <v>0</v>
      </c>
      <c r="J480" s="7">
        <v>0</v>
      </c>
      <c r="K480" s="3">
        <f t="shared" si="18"/>
        <v>0</v>
      </c>
      <c r="L480" s="3"/>
      <c r="M480" s="3">
        <f t="shared" si="19"/>
        <v>0</v>
      </c>
      <c r="O480" s="5"/>
      <c r="S480" s="6"/>
    </row>
    <row r="481" spans="1:22" customFormat="1" x14ac:dyDescent="0.45">
      <c r="A481">
        <v>153508</v>
      </c>
      <c r="B481" t="s">
        <v>17358</v>
      </c>
      <c r="C481" t="s">
        <v>17359</v>
      </c>
      <c r="D481">
        <v>9</v>
      </c>
      <c r="F481" s="124"/>
      <c r="K481" s="3">
        <f t="shared" si="18"/>
        <v>0</v>
      </c>
      <c r="L481" s="3"/>
      <c r="M481" s="3">
        <f t="shared" si="19"/>
        <v>0</v>
      </c>
      <c r="O481" s="5"/>
      <c r="S481" s="6"/>
    </row>
    <row r="482" spans="1:22" customFormat="1" x14ac:dyDescent="0.45">
      <c r="A482">
        <v>153566</v>
      </c>
      <c r="B482" t="s">
        <v>17360</v>
      </c>
      <c r="C482" t="s">
        <v>17361</v>
      </c>
      <c r="D482">
        <v>53</v>
      </c>
      <c r="F482" s="124"/>
      <c r="G482" s="7"/>
      <c r="I482" s="7"/>
      <c r="K482" s="3">
        <f t="shared" si="18"/>
        <v>0</v>
      </c>
      <c r="L482" s="3"/>
      <c r="M482" s="3">
        <f t="shared" si="19"/>
        <v>0</v>
      </c>
      <c r="N482" t="s">
        <v>19</v>
      </c>
      <c r="O482" s="5" t="s">
        <v>17362</v>
      </c>
      <c r="P482" t="s">
        <v>17363</v>
      </c>
      <c r="S482" s="6"/>
    </row>
    <row r="483" spans="1:22" customFormat="1" x14ac:dyDescent="0.45">
      <c r="A483">
        <v>153640</v>
      </c>
      <c r="B483" t="s">
        <v>17364</v>
      </c>
      <c r="C483" t="s">
        <v>17365</v>
      </c>
      <c r="D483">
        <v>1</v>
      </c>
      <c r="F483" s="124"/>
      <c r="G483" s="7">
        <v>0</v>
      </c>
      <c r="H483" s="7">
        <v>0</v>
      </c>
      <c r="I483" s="7">
        <v>0</v>
      </c>
      <c r="J483" s="7">
        <v>0</v>
      </c>
      <c r="K483" s="3">
        <f t="shared" si="18"/>
        <v>0</v>
      </c>
      <c r="L483" s="3"/>
      <c r="M483" s="3">
        <f t="shared" si="19"/>
        <v>0</v>
      </c>
      <c r="O483" s="5"/>
      <c r="S483" s="6"/>
    </row>
    <row r="484" spans="1:22" customFormat="1" x14ac:dyDescent="0.45">
      <c r="A484">
        <v>153646</v>
      </c>
      <c r="B484" t="s">
        <v>17366</v>
      </c>
      <c r="C484" t="s">
        <v>16331</v>
      </c>
      <c r="D484">
        <v>0</v>
      </c>
      <c r="E484" t="s">
        <v>16331</v>
      </c>
      <c r="F484" s="124"/>
      <c r="G484" s="7">
        <v>0</v>
      </c>
      <c r="H484" s="7">
        <v>0</v>
      </c>
      <c r="I484" s="7">
        <v>0</v>
      </c>
      <c r="J484" s="7">
        <v>0</v>
      </c>
      <c r="K484" s="3">
        <f t="shared" si="18"/>
        <v>0</v>
      </c>
      <c r="L484" s="3"/>
      <c r="M484" s="3">
        <f t="shared" si="19"/>
        <v>0</v>
      </c>
      <c r="N484" s="7"/>
      <c r="O484" s="5"/>
      <c r="S484" s="6"/>
    </row>
    <row r="485" spans="1:22" x14ac:dyDescent="0.45">
      <c r="A485" s="124">
        <v>804197</v>
      </c>
      <c r="B485" s="124" t="s">
        <v>17367</v>
      </c>
      <c r="C485" s="124" t="s">
        <v>17368</v>
      </c>
      <c r="D485" s="124">
        <v>2</v>
      </c>
      <c r="E485" s="124" t="s">
        <v>16417</v>
      </c>
      <c r="F485" s="126">
        <v>1.2500000000000001E-2</v>
      </c>
      <c r="G485" s="126">
        <v>0.03</v>
      </c>
      <c r="H485" s="126">
        <v>0</v>
      </c>
      <c r="I485" s="127"/>
      <c r="J485" s="127"/>
      <c r="K485" s="126">
        <f t="shared" si="18"/>
        <v>0.03</v>
      </c>
      <c r="L485" s="3"/>
      <c r="M485" s="126">
        <f>SUM(I485:L485)</f>
        <v>0.03</v>
      </c>
      <c r="N485" s="124" t="s">
        <v>26920</v>
      </c>
      <c r="O485" s="131" t="s">
        <v>17369</v>
      </c>
      <c r="Q485" s="132">
        <f>88868+7000</f>
        <v>95868</v>
      </c>
      <c r="R485" s="124" t="s">
        <v>16348</v>
      </c>
      <c r="S485" s="132">
        <v>95868</v>
      </c>
      <c r="T485" s="129">
        <f>S485/Q485</f>
        <v>1</v>
      </c>
      <c r="V485" s="125" t="s">
        <v>17370</v>
      </c>
    </row>
    <row r="486" spans="1:22" customFormat="1" x14ac:dyDescent="0.45">
      <c r="A486">
        <v>153730</v>
      </c>
      <c r="B486" t="s">
        <v>17371</v>
      </c>
      <c r="C486" t="s">
        <v>16331</v>
      </c>
      <c r="D486">
        <v>5</v>
      </c>
      <c r="E486" t="s">
        <v>16331</v>
      </c>
      <c r="F486" s="124"/>
      <c r="G486" s="7">
        <v>0</v>
      </c>
      <c r="H486" s="7">
        <v>0</v>
      </c>
      <c r="I486" s="7">
        <v>0</v>
      </c>
      <c r="J486" s="7">
        <v>0</v>
      </c>
      <c r="K486" s="3">
        <f t="shared" si="18"/>
        <v>0</v>
      </c>
      <c r="L486" s="3"/>
      <c r="M486" s="3">
        <f t="shared" ref="M486:M549" si="20">K486+F486</f>
        <v>0</v>
      </c>
      <c r="N486" s="7"/>
      <c r="O486" s="5"/>
      <c r="S486" s="6"/>
    </row>
    <row r="487" spans="1:22" customFormat="1" x14ac:dyDescent="0.45">
      <c r="A487">
        <v>153860</v>
      </c>
      <c r="B487" t="s">
        <v>17372</v>
      </c>
      <c r="C487" t="s">
        <v>17373</v>
      </c>
      <c r="D487">
        <v>0</v>
      </c>
      <c r="E487" t="s">
        <v>16561</v>
      </c>
      <c r="F487" s="124"/>
      <c r="K487" s="3">
        <f t="shared" si="18"/>
        <v>0</v>
      </c>
      <c r="L487" s="3"/>
      <c r="M487" s="3">
        <f t="shared" si="20"/>
        <v>0</v>
      </c>
      <c r="O487" s="5"/>
      <c r="S487" s="6"/>
    </row>
    <row r="488" spans="1:22" customFormat="1" x14ac:dyDescent="0.45">
      <c r="A488">
        <v>153871</v>
      </c>
      <c r="B488" t="s">
        <v>17374</v>
      </c>
      <c r="C488" s="2" t="s">
        <v>17375</v>
      </c>
      <c r="D488">
        <v>29</v>
      </c>
      <c r="F488" s="124"/>
      <c r="G488" s="3">
        <v>0</v>
      </c>
      <c r="H488" s="3">
        <v>0</v>
      </c>
      <c r="I488" s="3">
        <v>0</v>
      </c>
      <c r="J488" s="3">
        <v>0</v>
      </c>
      <c r="K488" s="3">
        <f t="shared" si="18"/>
        <v>0</v>
      </c>
      <c r="L488" s="3"/>
      <c r="M488" s="3">
        <f t="shared" si="20"/>
        <v>0</v>
      </c>
      <c r="O488" s="5"/>
      <c r="S488" s="6"/>
    </row>
    <row r="489" spans="1:22" customFormat="1" x14ac:dyDescent="0.45">
      <c r="A489">
        <v>153989</v>
      </c>
      <c r="B489" t="s">
        <v>17376</v>
      </c>
      <c r="C489" t="s">
        <v>17377</v>
      </c>
      <c r="D489">
        <v>3</v>
      </c>
      <c r="F489" s="124"/>
      <c r="G489" s="7">
        <v>0</v>
      </c>
      <c r="H489" s="7">
        <v>0</v>
      </c>
      <c r="I489" s="7">
        <v>0</v>
      </c>
      <c r="J489" s="7">
        <v>0</v>
      </c>
      <c r="K489" s="3">
        <f t="shared" si="18"/>
        <v>0</v>
      </c>
      <c r="L489" s="3"/>
      <c r="M489" s="3">
        <f t="shared" si="20"/>
        <v>0</v>
      </c>
      <c r="O489" s="5"/>
      <c r="S489" s="6"/>
    </row>
    <row r="490" spans="1:22" customFormat="1" x14ac:dyDescent="0.45">
      <c r="A490">
        <v>154038</v>
      </c>
      <c r="B490" t="s">
        <v>17378</v>
      </c>
      <c r="C490" t="s">
        <v>17379</v>
      </c>
      <c r="D490">
        <v>1</v>
      </c>
      <c r="F490" s="124"/>
      <c r="G490" s="3">
        <v>0</v>
      </c>
      <c r="H490" s="3">
        <v>0</v>
      </c>
      <c r="I490" s="3">
        <v>0</v>
      </c>
      <c r="J490" s="3">
        <v>0</v>
      </c>
      <c r="K490" s="3">
        <f t="shared" si="18"/>
        <v>0</v>
      </c>
      <c r="L490" s="3"/>
      <c r="M490" s="3">
        <f t="shared" si="20"/>
        <v>0</v>
      </c>
      <c r="O490" s="5"/>
      <c r="S490" s="6"/>
    </row>
    <row r="491" spans="1:22" customFormat="1" x14ac:dyDescent="0.45">
      <c r="A491">
        <v>154182</v>
      </c>
      <c r="B491" t="s">
        <v>17380</v>
      </c>
      <c r="C491" t="s">
        <v>16331</v>
      </c>
      <c r="D491">
        <v>0</v>
      </c>
      <c r="E491" t="s">
        <v>16331</v>
      </c>
      <c r="F491" s="124"/>
      <c r="G491" s="7">
        <v>0</v>
      </c>
      <c r="H491" s="7">
        <v>0</v>
      </c>
      <c r="I491" s="7">
        <v>0</v>
      </c>
      <c r="J491" s="7">
        <v>0</v>
      </c>
      <c r="K491" s="3">
        <f t="shared" si="18"/>
        <v>0</v>
      </c>
      <c r="L491" s="3"/>
      <c r="M491" s="3">
        <f t="shared" si="20"/>
        <v>0</v>
      </c>
      <c r="O491" s="5"/>
      <c r="S491" s="6"/>
    </row>
    <row r="492" spans="1:22" x14ac:dyDescent="0.45">
      <c r="A492" s="124">
        <v>774469</v>
      </c>
      <c r="B492" s="124" t="s">
        <v>17381</v>
      </c>
      <c r="C492" s="124" t="s">
        <v>17382</v>
      </c>
      <c r="D492" s="124">
        <v>3</v>
      </c>
      <c r="E492" s="124" t="s">
        <v>16334</v>
      </c>
      <c r="F492" s="126">
        <v>1.6999999999999999E-3</v>
      </c>
      <c r="G492" s="126">
        <f>((180+293)+(552+2700/2))/100000</f>
        <v>2.375E-2</v>
      </c>
      <c r="H492" s="126">
        <v>0</v>
      </c>
      <c r="I492" s="127">
        <v>0</v>
      </c>
      <c r="J492" s="127">
        <v>0</v>
      </c>
      <c r="K492" s="126">
        <f t="shared" si="18"/>
        <v>2.375E-2</v>
      </c>
      <c r="L492" s="3"/>
      <c r="M492" s="126">
        <f t="shared" si="20"/>
        <v>2.545E-2</v>
      </c>
      <c r="N492" s="124" t="s">
        <v>17383</v>
      </c>
      <c r="O492" s="131" t="s">
        <v>17384</v>
      </c>
      <c r="P492" s="128" t="s">
        <v>26918</v>
      </c>
      <c r="Q492" s="124">
        <f>117354+69248</f>
        <v>186602</v>
      </c>
      <c r="R492" s="124" t="s">
        <v>16348</v>
      </c>
      <c r="S492" s="132">
        <v>115643</v>
      </c>
      <c r="T492" s="129">
        <f>S492/Q492</f>
        <v>0.61973076387176984</v>
      </c>
      <c r="V492" s="125" t="s">
        <v>17385</v>
      </c>
    </row>
    <row r="493" spans="1:22" customFormat="1" x14ac:dyDescent="0.45">
      <c r="A493">
        <v>154311</v>
      </c>
      <c r="B493" t="s">
        <v>17386</v>
      </c>
      <c r="C493" t="s">
        <v>16331</v>
      </c>
      <c r="D493">
        <v>6</v>
      </c>
      <c r="E493" t="s">
        <v>16331</v>
      </c>
      <c r="F493" s="124"/>
      <c r="G493" s="7">
        <v>0</v>
      </c>
      <c r="H493" s="7">
        <v>0</v>
      </c>
      <c r="I493" s="7">
        <v>0</v>
      </c>
      <c r="J493" s="7">
        <v>0</v>
      </c>
      <c r="K493" s="3">
        <f t="shared" si="18"/>
        <v>0</v>
      </c>
      <c r="L493" s="3"/>
      <c r="M493" s="3">
        <f t="shared" si="20"/>
        <v>0</v>
      </c>
      <c r="O493" s="5"/>
      <c r="S493" s="6"/>
    </row>
    <row r="494" spans="1:22" customFormat="1" x14ac:dyDescent="0.45">
      <c r="A494">
        <v>154371</v>
      </c>
      <c r="B494" t="s">
        <v>17387</v>
      </c>
      <c r="C494" t="s">
        <v>17388</v>
      </c>
      <c r="D494">
        <v>1</v>
      </c>
      <c r="F494" s="124"/>
      <c r="G494" s="7">
        <v>0</v>
      </c>
      <c r="H494" s="7">
        <v>0</v>
      </c>
      <c r="I494" s="7">
        <v>0</v>
      </c>
      <c r="J494" s="7">
        <v>0</v>
      </c>
      <c r="K494" s="3">
        <f t="shared" si="18"/>
        <v>0</v>
      </c>
      <c r="L494" s="3"/>
      <c r="M494" s="3">
        <f t="shared" si="20"/>
        <v>0</v>
      </c>
      <c r="O494" s="5"/>
      <c r="S494" s="6"/>
    </row>
    <row r="495" spans="1:22" customFormat="1" x14ac:dyDescent="0.45">
      <c r="A495">
        <v>154608</v>
      </c>
      <c r="B495" t="s">
        <v>17389</v>
      </c>
      <c r="C495" t="s">
        <v>17390</v>
      </c>
      <c r="D495">
        <v>0</v>
      </c>
      <c r="E495" t="s">
        <v>16417</v>
      </c>
      <c r="F495" s="124"/>
      <c r="G495" s="7">
        <v>0</v>
      </c>
      <c r="H495" s="7">
        <v>0</v>
      </c>
      <c r="I495" s="7">
        <v>0</v>
      </c>
      <c r="J495" s="7">
        <v>0</v>
      </c>
      <c r="K495" s="3">
        <f t="shared" si="18"/>
        <v>0</v>
      </c>
      <c r="L495" s="3"/>
      <c r="M495" s="3">
        <f t="shared" si="20"/>
        <v>0</v>
      </c>
      <c r="N495" s="7"/>
      <c r="O495" s="5"/>
      <c r="S495" s="6"/>
    </row>
    <row r="496" spans="1:22" customFormat="1" x14ac:dyDescent="0.45">
      <c r="A496">
        <v>154621</v>
      </c>
      <c r="B496" t="s">
        <v>17391</v>
      </c>
      <c r="C496" t="s">
        <v>17392</v>
      </c>
      <c r="D496">
        <v>19</v>
      </c>
      <c r="F496" s="124"/>
      <c r="G496" s="7">
        <v>0</v>
      </c>
      <c r="H496" s="7">
        <v>0</v>
      </c>
      <c r="I496" s="7">
        <v>0</v>
      </c>
      <c r="J496" s="7">
        <v>0</v>
      </c>
      <c r="K496" s="3">
        <f t="shared" si="18"/>
        <v>0</v>
      </c>
      <c r="L496" s="3"/>
      <c r="M496" s="3">
        <f t="shared" si="20"/>
        <v>0</v>
      </c>
      <c r="O496" s="5"/>
      <c r="S496" s="6"/>
    </row>
    <row r="497" spans="1:20" customFormat="1" x14ac:dyDescent="0.45">
      <c r="A497">
        <v>154622</v>
      </c>
      <c r="B497" t="s">
        <v>17393</v>
      </c>
      <c r="C497" t="s">
        <v>17394</v>
      </c>
      <c r="D497">
        <v>20</v>
      </c>
      <c r="F497" s="124"/>
      <c r="G497" s="3">
        <v>0</v>
      </c>
      <c r="H497" s="3">
        <v>0</v>
      </c>
      <c r="I497" s="3">
        <v>0</v>
      </c>
      <c r="J497" s="3">
        <v>0</v>
      </c>
      <c r="K497" s="3">
        <f t="shared" si="18"/>
        <v>0</v>
      </c>
      <c r="L497" s="3"/>
      <c r="M497" s="3">
        <f t="shared" si="20"/>
        <v>0</v>
      </c>
      <c r="O497" s="5"/>
      <c r="S497" s="6"/>
    </row>
    <row r="498" spans="1:20" customFormat="1" x14ac:dyDescent="0.45">
      <c r="A498">
        <v>154750</v>
      </c>
      <c r="B498" t="s">
        <v>17395</v>
      </c>
      <c r="C498" t="s">
        <v>16331</v>
      </c>
      <c r="D498">
        <v>1</v>
      </c>
      <c r="E498" t="s">
        <v>16331</v>
      </c>
      <c r="F498" s="124"/>
      <c r="G498" s="7">
        <v>0</v>
      </c>
      <c r="H498" s="7">
        <v>0</v>
      </c>
      <c r="I498" s="7">
        <v>0</v>
      </c>
      <c r="J498" s="7">
        <v>0</v>
      </c>
      <c r="K498" s="3">
        <f t="shared" si="18"/>
        <v>0</v>
      </c>
      <c r="L498" s="3"/>
      <c r="M498" s="3">
        <f t="shared" si="20"/>
        <v>0</v>
      </c>
      <c r="O498" s="5"/>
      <c r="S498" s="6"/>
    </row>
    <row r="499" spans="1:20" customFormat="1" x14ac:dyDescent="0.45">
      <c r="A499">
        <v>154917</v>
      </c>
      <c r="B499" t="s">
        <v>17396</v>
      </c>
      <c r="C499" t="s">
        <v>17397</v>
      </c>
      <c r="D499">
        <v>8</v>
      </c>
      <c r="F499" s="124"/>
      <c r="G499" s="3">
        <v>0</v>
      </c>
      <c r="H499" s="3">
        <v>0</v>
      </c>
      <c r="I499" s="3">
        <v>0</v>
      </c>
      <c r="J499" s="3">
        <v>0</v>
      </c>
      <c r="K499" s="3">
        <f t="shared" si="18"/>
        <v>0</v>
      </c>
      <c r="L499" s="3"/>
      <c r="M499" s="3">
        <f t="shared" si="20"/>
        <v>0</v>
      </c>
      <c r="O499" s="5"/>
      <c r="S499" s="6"/>
    </row>
    <row r="500" spans="1:20" customFormat="1" x14ac:dyDescent="0.45">
      <c r="A500">
        <v>154918</v>
      </c>
      <c r="B500" t="s">
        <v>17398</v>
      </c>
      <c r="C500" t="s">
        <v>17399</v>
      </c>
      <c r="D500">
        <v>4</v>
      </c>
      <c r="F500" s="124"/>
      <c r="G500" s="7">
        <v>0</v>
      </c>
      <c r="H500" s="7">
        <v>0</v>
      </c>
      <c r="I500" s="7">
        <v>0</v>
      </c>
      <c r="J500" s="7">
        <v>0</v>
      </c>
      <c r="K500" s="3">
        <f t="shared" si="18"/>
        <v>0</v>
      </c>
      <c r="L500" s="3"/>
      <c r="M500" s="3">
        <f t="shared" si="20"/>
        <v>0</v>
      </c>
      <c r="O500" s="5"/>
      <c r="S500" s="6"/>
    </row>
    <row r="501" spans="1:20" customFormat="1" x14ac:dyDescent="0.45">
      <c r="A501">
        <v>154950</v>
      </c>
      <c r="B501" t="s">
        <v>17400</v>
      </c>
      <c r="C501" t="s">
        <v>16331</v>
      </c>
      <c r="D501">
        <v>5</v>
      </c>
      <c r="E501" t="s">
        <v>16331</v>
      </c>
      <c r="F501" s="124"/>
      <c r="G501" s="7">
        <v>0</v>
      </c>
      <c r="H501" s="7">
        <v>0</v>
      </c>
      <c r="I501" s="7">
        <v>0</v>
      </c>
      <c r="J501" s="7">
        <v>0</v>
      </c>
      <c r="K501" s="3">
        <f t="shared" si="18"/>
        <v>0</v>
      </c>
      <c r="L501" s="3"/>
      <c r="M501" s="3">
        <f t="shared" si="20"/>
        <v>0</v>
      </c>
      <c r="O501" s="5"/>
      <c r="S501" s="6"/>
    </row>
    <row r="502" spans="1:20" customFormat="1" x14ac:dyDescent="0.45">
      <c r="A502">
        <v>155051</v>
      </c>
      <c r="B502" t="s">
        <v>17401</v>
      </c>
      <c r="C502" t="s">
        <v>16331</v>
      </c>
      <c r="D502">
        <v>0</v>
      </c>
      <c r="E502" t="s">
        <v>16331</v>
      </c>
      <c r="F502" s="124"/>
      <c r="G502" s="7">
        <v>0</v>
      </c>
      <c r="H502" s="7">
        <v>0</v>
      </c>
      <c r="I502" s="7">
        <v>0</v>
      </c>
      <c r="J502" s="7">
        <v>0</v>
      </c>
      <c r="K502" s="3">
        <f t="shared" si="18"/>
        <v>0</v>
      </c>
      <c r="L502" s="3"/>
      <c r="M502" s="3">
        <f t="shared" si="20"/>
        <v>0</v>
      </c>
      <c r="N502" s="7"/>
      <c r="O502" s="5"/>
      <c r="S502" s="6"/>
    </row>
    <row r="503" spans="1:20" x14ac:dyDescent="0.45">
      <c r="A503" s="124">
        <v>439768</v>
      </c>
      <c r="B503" s="124" t="s">
        <v>17402</v>
      </c>
      <c r="C503" s="125" t="s">
        <v>17403</v>
      </c>
      <c r="D503" s="124">
        <v>3</v>
      </c>
      <c r="E503" s="124" t="s">
        <v>17404</v>
      </c>
      <c r="F503" s="126">
        <v>1.6999999999999999E-3</v>
      </c>
      <c r="G503" s="126">
        <v>0.02</v>
      </c>
      <c r="H503" s="126">
        <v>0.01</v>
      </c>
      <c r="I503" s="127"/>
      <c r="J503" s="127"/>
      <c r="K503" s="126">
        <f t="shared" si="18"/>
        <v>0.03</v>
      </c>
      <c r="L503" s="30"/>
      <c r="M503" s="126">
        <f t="shared" si="20"/>
        <v>3.1699999999999999E-2</v>
      </c>
      <c r="O503" s="131" t="s">
        <v>17405</v>
      </c>
      <c r="P503" s="128" t="s">
        <v>26918</v>
      </c>
      <c r="R503" s="124" t="s">
        <v>16348</v>
      </c>
      <c r="S503" s="124"/>
      <c r="T503" s="129" t="e">
        <f>S503/Q503</f>
        <v>#DIV/0!</v>
      </c>
    </row>
    <row r="504" spans="1:20" customFormat="1" x14ac:dyDescent="0.45">
      <c r="A504">
        <v>155241</v>
      </c>
      <c r="B504" t="s">
        <v>17406</v>
      </c>
      <c r="C504" t="s">
        <v>17407</v>
      </c>
      <c r="D504">
        <v>38</v>
      </c>
      <c r="F504" s="124"/>
      <c r="G504" s="3">
        <v>0</v>
      </c>
      <c r="H504" s="3">
        <v>0</v>
      </c>
      <c r="I504" s="3">
        <v>0</v>
      </c>
      <c r="J504" s="3">
        <v>0</v>
      </c>
      <c r="K504" s="3">
        <f t="shared" si="18"/>
        <v>0</v>
      </c>
      <c r="L504" s="3"/>
      <c r="M504" s="3">
        <f t="shared" si="20"/>
        <v>0</v>
      </c>
      <c r="O504" s="5"/>
      <c r="S504" s="6"/>
    </row>
    <row r="505" spans="1:20" customFormat="1" x14ac:dyDescent="0.45">
      <c r="A505">
        <v>155325</v>
      </c>
      <c r="B505" t="s">
        <v>17408</v>
      </c>
      <c r="C505" t="s">
        <v>16331</v>
      </c>
      <c r="D505">
        <v>1</v>
      </c>
      <c r="E505" t="s">
        <v>16331</v>
      </c>
      <c r="F505" s="124"/>
      <c r="G505" s="3">
        <v>0</v>
      </c>
      <c r="H505" s="3">
        <v>0</v>
      </c>
      <c r="I505" s="3">
        <v>0</v>
      </c>
      <c r="J505" s="3">
        <v>0</v>
      </c>
      <c r="K505" s="3">
        <f t="shared" si="18"/>
        <v>0</v>
      </c>
      <c r="L505" s="3"/>
      <c r="M505" s="3">
        <f t="shared" si="20"/>
        <v>0</v>
      </c>
      <c r="O505" s="5"/>
      <c r="S505" s="6"/>
    </row>
    <row r="506" spans="1:20" customFormat="1" x14ac:dyDescent="0.45">
      <c r="A506">
        <v>155399</v>
      </c>
      <c r="B506" t="s">
        <v>17409</v>
      </c>
      <c r="C506" t="s">
        <v>17410</v>
      </c>
      <c r="D506">
        <v>2</v>
      </c>
      <c r="F506" s="124"/>
      <c r="G506" s="3">
        <v>0</v>
      </c>
      <c r="H506" s="3">
        <v>0</v>
      </c>
      <c r="I506" s="3">
        <v>0</v>
      </c>
      <c r="J506" s="3">
        <v>0</v>
      </c>
      <c r="K506" s="3">
        <f t="shared" si="18"/>
        <v>0</v>
      </c>
      <c r="L506" s="3"/>
      <c r="M506" s="3">
        <f t="shared" si="20"/>
        <v>0</v>
      </c>
      <c r="O506" s="5"/>
      <c r="S506" s="6"/>
    </row>
    <row r="507" spans="1:20" customFormat="1" x14ac:dyDescent="0.45">
      <c r="A507">
        <v>155593</v>
      </c>
      <c r="B507" t="s">
        <v>17411</v>
      </c>
      <c r="C507" t="s">
        <v>16331</v>
      </c>
      <c r="D507">
        <v>0</v>
      </c>
      <c r="E507" t="s">
        <v>16331</v>
      </c>
      <c r="F507" s="124"/>
      <c r="G507" s="7">
        <v>0</v>
      </c>
      <c r="H507" s="7">
        <v>0</v>
      </c>
      <c r="I507" s="7">
        <v>0</v>
      </c>
      <c r="J507" s="7">
        <v>0</v>
      </c>
      <c r="K507" s="3">
        <f t="shared" si="18"/>
        <v>0</v>
      </c>
      <c r="L507" s="3"/>
      <c r="M507" s="3">
        <f t="shared" si="20"/>
        <v>0</v>
      </c>
      <c r="O507" s="5"/>
      <c r="S507" s="6"/>
    </row>
    <row r="508" spans="1:20" customFormat="1" x14ac:dyDescent="0.45">
      <c r="A508">
        <v>155595</v>
      </c>
      <c r="B508" t="s">
        <v>17412</v>
      </c>
      <c r="C508" t="s">
        <v>16331</v>
      </c>
      <c r="D508">
        <v>0</v>
      </c>
      <c r="E508" t="s">
        <v>16331</v>
      </c>
      <c r="F508" s="124"/>
      <c r="G508" s="7">
        <v>0</v>
      </c>
      <c r="H508" s="7">
        <v>0</v>
      </c>
      <c r="I508" s="7">
        <v>0</v>
      </c>
      <c r="J508" s="7">
        <v>0</v>
      </c>
      <c r="K508" s="3">
        <f t="shared" si="18"/>
        <v>0</v>
      </c>
      <c r="L508" s="3"/>
      <c r="M508" s="3">
        <f t="shared" si="20"/>
        <v>0</v>
      </c>
      <c r="N508" s="7"/>
      <c r="O508" s="5"/>
      <c r="S508" s="6"/>
    </row>
    <row r="509" spans="1:20" customFormat="1" x14ac:dyDescent="0.45">
      <c r="A509">
        <v>158790</v>
      </c>
      <c r="B509" t="s">
        <v>17413</v>
      </c>
      <c r="C509" t="s">
        <v>17414</v>
      </c>
      <c r="D509">
        <v>0</v>
      </c>
      <c r="E509" t="s">
        <v>16561</v>
      </c>
      <c r="F509" s="124"/>
      <c r="G509" s="7">
        <v>0</v>
      </c>
      <c r="H509" s="7">
        <v>0</v>
      </c>
      <c r="I509" s="7">
        <v>0</v>
      </c>
      <c r="J509" s="7">
        <v>0</v>
      </c>
      <c r="K509" s="3">
        <f t="shared" si="18"/>
        <v>0</v>
      </c>
      <c r="L509" s="3"/>
      <c r="M509" s="3">
        <f t="shared" si="20"/>
        <v>0</v>
      </c>
      <c r="N509" s="7"/>
      <c r="O509" s="5"/>
      <c r="S509" s="6"/>
    </row>
    <row r="510" spans="1:20" customFormat="1" x14ac:dyDescent="0.45">
      <c r="A510">
        <v>158879</v>
      </c>
      <c r="B510" t="s">
        <v>17415</v>
      </c>
      <c r="C510" t="s">
        <v>16331</v>
      </c>
      <c r="D510">
        <v>3</v>
      </c>
      <c r="E510" t="s">
        <v>16331</v>
      </c>
      <c r="F510" s="124"/>
      <c r="G510" s="7">
        <v>0</v>
      </c>
      <c r="H510" s="7">
        <v>0</v>
      </c>
      <c r="I510" s="7">
        <v>0</v>
      </c>
      <c r="J510" s="7">
        <v>0</v>
      </c>
      <c r="K510" s="3">
        <f t="shared" si="18"/>
        <v>0</v>
      </c>
      <c r="L510" s="3"/>
      <c r="M510" s="3">
        <f t="shared" si="20"/>
        <v>0</v>
      </c>
      <c r="O510" s="5"/>
      <c r="S510" s="6"/>
    </row>
    <row r="511" spans="1:20" customFormat="1" x14ac:dyDescent="0.45">
      <c r="A511">
        <v>158927</v>
      </c>
      <c r="B511" t="s">
        <v>17416</v>
      </c>
      <c r="C511" t="s">
        <v>17417</v>
      </c>
      <c r="D511">
        <v>10</v>
      </c>
      <c r="F511" s="124"/>
      <c r="G511" s="7">
        <v>0</v>
      </c>
      <c r="H511" s="7">
        <v>0</v>
      </c>
      <c r="I511" s="7">
        <v>0</v>
      </c>
      <c r="J511" s="7">
        <v>0</v>
      </c>
      <c r="K511" s="3">
        <f t="shared" si="18"/>
        <v>0</v>
      </c>
      <c r="L511" s="3"/>
      <c r="M511" s="3">
        <f t="shared" si="20"/>
        <v>0</v>
      </c>
      <c r="O511" s="5"/>
      <c r="S511" s="6"/>
    </row>
    <row r="512" spans="1:20" customFormat="1" x14ac:dyDescent="0.45">
      <c r="A512">
        <v>158976</v>
      </c>
      <c r="B512" t="s">
        <v>17418</v>
      </c>
      <c r="C512" t="s">
        <v>16331</v>
      </c>
      <c r="D512">
        <v>10</v>
      </c>
      <c r="E512" t="s">
        <v>16331</v>
      </c>
      <c r="F512" s="124"/>
      <c r="G512" s="7">
        <v>0</v>
      </c>
      <c r="H512" s="7">
        <v>0</v>
      </c>
      <c r="I512" s="7">
        <v>0</v>
      </c>
      <c r="J512" s="7">
        <v>0</v>
      </c>
      <c r="K512" s="3">
        <f t="shared" si="18"/>
        <v>0</v>
      </c>
      <c r="L512" s="3"/>
      <c r="M512" s="3">
        <f t="shared" si="20"/>
        <v>0</v>
      </c>
      <c r="O512" s="5"/>
      <c r="S512" s="6"/>
    </row>
    <row r="513" spans="1:22" customFormat="1" x14ac:dyDescent="0.45">
      <c r="A513">
        <v>159488</v>
      </c>
      <c r="B513" t="s">
        <v>17419</v>
      </c>
      <c r="C513" t="s">
        <v>17420</v>
      </c>
      <c r="D513">
        <v>7</v>
      </c>
      <c r="F513" s="124"/>
      <c r="K513" s="3">
        <f t="shared" si="18"/>
        <v>0</v>
      </c>
      <c r="L513" s="3"/>
      <c r="M513" s="3">
        <f t="shared" si="20"/>
        <v>0</v>
      </c>
      <c r="O513" s="5"/>
      <c r="S513" s="6"/>
    </row>
    <row r="514" spans="1:22" customFormat="1" x14ac:dyDescent="0.45">
      <c r="A514">
        <v>160493</v>
      </c>
      <c r="B514" t="s">
        <v>17421</v>
      </c>
      <c r="C514" t="s">
        <v>17422</v>
      </c>
      <c r="D514">
        <v>8</v>
      </c>
      <c r="F514" s="124"/>
      <c r="G514" s="7">
        <v>0</v>
      </c>
      <c r="H514" s="7">
        <v>0</v>
      </c>
      <c r="I514" s="7">
        <v>0</v>
      </c>
      <c r="J514" s="7">
        <v>0</v>
      </c>
      <c r="K514" s="3">
        <f t="shared" si="18"/>
        <v>0</v>
      </c>
      <c r="L514" s="3"/>
      <c r="M514" s="3">
        <f t="shared" si="20"/>
        <v>0</v>
      </c>
      <c r="O514" s="5"/>
      <c r="S514" s="6"/>
    </row>
    <row r="515" spans="1:22" customFormat="1" x14ac:dyDescent="0.45">
      <c r="A515">
        <v>160494</v>
      </c>
      <c r="B515" t="s">
        <v>17423</v>
      </c>
      <c r="C515" t="s">
        <v>17424</v>
      </c>
      <c r="D515">
        <v>3</v>
      </c>
      <c r="F515" s="124"/>
      <c r="G515" s="7">
        <v>0</v>
      </c>
      <c r="H515" s="7">
        <v>0</v>
      </c>
      <c r="I515" s="7">
        <v>0</v>
      </c>
      <c r="J515" s="7">
        <v>0</v>
      </c>
      <c r="K515" s="3">
        <f t="shared" si="18"/>
        <v>0</v>
      </c>
      <c r="L515" s="3"/>
      <c r="M515" s="3">
        <f t="shared" si="20"/>
        <v>0</v>
      </c>
      <c r="O515" s="5"/>
      <c r="S515" s="6"/>
    </row>
    <row r="516" spans="1:22" customFormat="1" x14ac:dyDescent="0.45">
      <c r="A516">
        <v>160497</v>
      </c>
      <c r="B516" t="s">
        <v>17425</v>
      </c>
      <c r="C516" t="s">
        <v>16331</v>
      </c>
      <c r="D516">
        <v>1</v>
      </c>
      <c r="E516" t="s">
        <v>16331</v>
      </c>
      <c r="F516" s="124"/>
      <c r="G516" s="7">
        <v>0</v>
      </c>
      <c r="H516" s="7">
        <v>0</v>
      </c>
      <c r="I516" s="7">
        <v>0</v>
      </c>
      <c r="J516" s="7">
        <v>0</v>
      </c>
      <c r="K516" s="3">
        <f t="shared" si="18"/>
        <v>0</v>
      </c>
      <c r="L516" s="3"/>
      <c r="M516" s="3">
        <f t="shared" si="20"/>
        <v>0</v>
      </c>
      <c r="O516" s="5"/>
      <c r="S516" s="6"/>
    </row>
    <row r="517" spans="1:22" customFormat="1" x14ac:dyDescent="0.45">
      <c r="A517">
        <v>161531</v>
      </c>
      <c r="B517" t="s">
        <v>17426</v>
      </c>
      <c r="C517" t="s">
        <v>16331</v>
      </c>
      <c r="D517">
        <v>1</v>
      </c>
      <c r="E517" t="s">
        <v>16331</v>
      </c>
      <c r="F517" s="124"/>
      <c r="G517" s="7">
        <v>0</v>
      </c>
      <c r="H517" s="7">
        <v>0</v>
      </c>
      <c r="I517" s="7">
        <v>0</v>
      </c>
      <c r="J517" s="7">
        <v>0</v>
      </c>
      <c r="K517" s="3">
        <f t="shared" si="18"/>
        <v>0</v>
      </c>
      <c r="L517" s="3"/>
      <c r="M517" s="3">
        <f t="shared" si="20"/>
        <v>0</v>
      </c>
      <c r="O517" s="5"/>
      <c r="S517" s="6"/>
    </row>
    <row r="518" spans="1:22" customFormat="1" x14ac:dyDescent="0.45">
      <c r="A518">
        <v>161585</v>
      </c>
      <c r="B518" t="s">
        <v>17427</v>
      </c>
      <c r="C518" s="2" t="s">
        <v>17428</v>
      </c>
      <c r="D518">
        <v>5</v>
      </c>
      <c r="F518" s="125"/>
      <c r="G518" s="3">
        <v>0</v>
      </c>
      <c r="H518" s="3">
        <v>0</v>
      </c>
      <c r="I518" s="3">
        <v>0</v>
      </c>
      <c r="J518" s="3">
        <v>0</v>
      </c>
      <c r="K518" s="3">
        <f t="shared" si="18"/>
        <v>0</v>
      </c>
      <c r="L518" s="3"/>
      <c r="M518" s="3">
        <f t="shared" si="20"/>
        <v>0</v>
      </c>
      <c r="O518" s="5"/>
      <c r="S518" s="6"/>
    </row>
    <row r="519" spans="1:22" customFormat="1" x14ac:dyDescent="0.45">
      <c r="A519">
        <v>161661</v>
      </c>
      <c r="B519" t="s">
        <v>17429</v>
      </c>
      <c r="C519" t="s">
        <v>17430</v>
      </c>
      <c r="D519">
        <v>0</v>
      </c>
      <c r="E519" t="s">
        <v>16561</v>
      </c>
      <c r="F519" s="124"/>
      <c r="G519" s="7">
        <v>0</v>
      </c>
      <c r="H519" s="3">
        <v>0</v>
      </c>
      <c r="I519" s="3">
        <v>0</v>
      </c>
      <c r="J519">
        <v>0</v>
      </c>
      <c r="K519" s="3">
        <f t="shared" si="18"/>
        <v>0</v>
      </c>
      <c r="L519" s="3"/>
      <c r="M519" s="3">
        <f t="shared" si="20"/>
        <v>0</v>
      </c>
      <c r="O519" s="5"/>
      <c r="S519" s="6"/>
    </row>
    <row r="520" spans="1:22" customFormat="1" x14ac:dyDescent="0.45">
      <c r="A520">
        <v>162024</v>
      </c>
      <c r="B520" t="s">
        <v>17431</v>
      </c>
      <c r="C520" t="s">
        <v>16331</v>
      </c>
      <c r="D520">
        <v>1</v>
      </c>
      <c r="E520" t="s">
        <v>16331</v>
      </c>
      <c r="F520" s="124"/>
      <c r="G520" s="7">
        <v>0</v>
      </c>
      <c r="H520" s="7">
        <v>0</v>
      </c>
      <c r="I520" s="7">
        <v>0</v>
      </c>
      <c r="J520" s="7">
        <v>0</v>
      </c>
      <c r="K520" s="3">
        <f t="shared" si="18"/>
        <v>0</v>
      </c>
      <c r="L520" s="3"/>
      <c r="M520" s="3">
        <f t="shared" si="20"/>
        <v>0</v>
      </c>
      <c r="O520" s="5"/>
      <c r="S520" s="6"/>
    </row>
    <row r="521" spans="1:22" customFormat="1" x14ac:dyDescent="0.45">
      <c r="A521">
        <v>162408</v>
      </c>
      <c r="B521" t="s">
        <v>17432</v>
      </c>
      <c r="C521" t="s">
        <v>17433</v>
      </c>
      <c r="D521">
        <v>3</v>
      </c>
      <c r="F521" s="124"/>
      <c r="G521" s="7">
        <v>0</v>
      </c>
      <c r="H521" s="7">
        <v>0</v>
      </c>
      <c r="I521" s="7">
        <v>0</v>
      </c>
      <c r="J521" s="7">
        <v>0</v>
      </c>
      <c r="K521" s="3">
        <f t="shared" si="18"/>
        <v>0</v>
      </c>
      <c r="L521" s="3"/>
      <c r="M521" s="3">
        <f t="shared" si="20"/>
        <v>0</v>
      </c>
      <c r="O521" s="5"/>
      <c r="S521" s="6"/>
    </row>
    <row r="522" spans="1:22" customFormat="1" x14ac:dyDescent="0.45">
      <c r="A522">
        <v>163117</v>
      </c>
      <c r="B522" t="s">
        <v>17434</v>
      </c>
      <c r="C522" t="s">
        <v>17435</v>
      </c>
      <c r="D522">
        <v>0</v>
      </c>
      <c r="E522" t="s">
        <v>16561</v>
      </c>
      <c r="F522" s="124"/>
      <c r="G522" s="7">
        <v>0</v>
      </c>
      <c r="H522" s="7">
        <v>0</v>
      </c>
      <c r="I522" s="7">
        <v>0</v>
      </c>
      <c r="J522" s="7">
        <v>0</v>
      </c>
      <c r="K522" s="3">
        <f t="shared" si="18"/>
        <v>0</v>
      </c>
      <c r="L522" s="3"/>
      <c r="M522" s="3">
        <f t="shared" si="20"/>
        <v>0</v>
      </c>
      <c r="O522" s="5"/>
      <c r="S522" s="6"/>
    </row>
    <row r="523" spans="1:22" customFormat="1" x14ac:dyDescent="0.45">
      <c r="A523">
        <v>163119</v>
      </c>
      <c r="B523" t="s">
        <v>17436</v>
      </c>
      <c r="C523" t="s">
        <v>16331</v>
      </c>
      <c r="D523">
        <v>3</v>
      </c>
      <c r="E523" t="s">
        <v>16331</v>
      </c>
      <c r="F523" s="124"/>
      <c r="G523" s="7">
        <v>0</v>
      </c>
      <c r="H523" s="7">
        <v>0</v>
      </c>
      <c r="I523" s="7">
        <v>0</v>
      </c>
      <c r="J523" s="7">
        <v>0</v>
      </c>
      <c r="K523" s="3">
        <f t="shared" si="18"/>
        <v>0</v>
      </c>
      <c r="L523" s="3"/>
      <c r="M523" s="3">
        <f t="shared" si="20"/>
        <v>0</v>
      </c>
      <c r="N523" s="7"/>
      <c r="O523" s="5"/>
      <c r="S523" s="6"/>
    </row>
    <row r="524" spans="1:22" customFormat="1" x14ac:dyDescent="0.45">
      <c r="A524">
        <v>163133</v>
      </c>
      <c r="B524" t="s">
        <v>17437</v>
      </c>
      <c r="C524" t="s">
        <v>16331</v>
      </c>
      <c r="D524">
        <v>1</v>
      </c>
      <c r="E524" t="s">
        <v>16331</v>
      </c>
      <c r="F524" s="124"/>
      <c r="G524" s="7">
        <v>0</v>
      </c>
      <c r="H524" s="7">
        <v>0</v>
      </c>
      <c r="I524" s="7">
        <v>0</v>
      </c>
      <c r="J524" s="7">
        <v>0</v>
      </c>
      <c r="K524" s="3">
        <f t="shared" si="18"/>
        <v>0</v>
      </c>
      <c r="L524" s="3"/>
      <c r="M524" s="3">
        <f t="shared" si="20"/>
        <v>0</v>
      </c>
      <c r="O524" s="5"/>
      <c r="S524" s="6"/>
    </row>
    <row r="525" spans="1:22" x14ac:dyDescent="0.45">
      <c r="A525" s="124">
        <v>950976</v>
      </c>
      <c r="B525" s="124" t="s">
        <v>17438</v>
      </c>
      <c r="C525" s="124" t="s">
        <v>17439</v>
      </c>
      <c r="D525" s="124">
        <v>9</v>
      </c>
      <c r="E525" s="124" t="s">
        <v>16334</v>
      </c>
      <c r="F525" s="126">
        <v>1.6999999999999999E-3</v>
      </c>
      <c r="G525" s="126">
        <v>0.02</v>
      </c>
      <c r="H525" s="126">
        <v>8.5000000000000006E-3</v>
      </c>
      <c r="I525" s="127">
        <v>0</v>
      </c>
      <c r="J525" s="127">
        <v>0</v>
      </c>
      <c r="K525" s="126">
        <f t="shared" si="18"/>
        <v>2.8500000000000001E-2</v>
      </c>
      <c r="L525" s="3"/>
      <c r="M525" s="126">
        <f t="shared" si="20"/>
        <v>3.0200000000000001E-2</v>
      </c>
      <c r="O525" s="131" t="s">
        <v>17440</v>
      </c>
      <c r="P525" s="128" t="s">
        <v>26918</v>
      </c>
      <c r="Q525" s="130">
        <v>104187</v>
      </c>
      <c r="R525" s="124" t="s">
        <v>16348</v>
      </c>
      <c r="S525" s="132">
        <v>39691</v>
      </c>
      <c r="T525" s="129">
        <f>S525/Q525</f>
        <v>0.38095923675698501</v>
      </c>
      <c r="V525" s="125" t="s">
        <v>17441</v>
      </c>
    </row>
    <row r="526" spans="1:22" customFormat="1" x14ac:dyDescent="0.45">
      <c r="A526">
        <v>163450</v>
      </c>
      <c r="B526" t="s">
        <v>17442</v>
      </c>
      <c r="C526" t="s">
        <v>16331</v>
      </c>
      <c r="D526">
        <v>1</v>
      </c>
      <c r="E526" t="s">
        <v>16331</v>
      </c>
      <c r="F526" s="124"/>
      <c r="G526" s="3">
        <v>0</v>
      </c>
      <c r="H526" s="3">
        <v>0</v>
      </c>
      <c r="I526" s="3">
        <v>0</v>
      </c>
      <c r="J526" s="3">
        <v>0</v>
      </c>
      <c r="K526" s="3">
        <f t="shared" si="18"/>
        <v>0</v>
      </c>
      <c r="L526" s="3"/>
      <c r="M526" s="3">
        <f t="shared" si="20"/>
        <v>0</v>
      </c>
      <c r="O526" s="5"/>
      <c r="S526" s="6"/>
    </row>
    <row r="527" spans="1:22" customFormat="1" x14ac:dyDescent="0.45">
      <c r="A527">
        <v>163529</v>
      </c>
      <c r="B527" t="s">
        <v>17443</v>
      </c>
      <c r="C527" t="s">
        <v>17444</v>
      </c>
      <c r="D527">
        <v>1</v>
      </c>
      <c r="E527" t="s">
        <v>16561</v>
      </c>
      <c r="F527" s="124"/>
      <c r="G527" s="7">
        <v>0</v>
      </c>
      <c r="H527" s="7">
        <v>0</v>
      </c>
      <c r="I527" s="7">
        <v>0</v>
      </c>
      <c r="J527" s="7">
        <v>0</v>
      </c>
      <c r="K527" s="3">
        <f t="shared" si="18"/>
        <v>0</v>
      </c>
      <c r="L527" s="3"/>
      <c r="M527" s="3">
        <f t="shared" si="20"/>
        <v>0</v>
      </c>
      <c r="N527" s="7"/>
      <c r="O527" s="5"/>
      <c r="S527" s="6"/>
    </row>
    <row r="528" spans="1:22" customFormat="1" x14ac:dyDescent="0.45">
      <c r="A528">
        <v>163587</v>
      </c>
      <c r="B528" t="s">
        <v>17445</v>
      </c>
      <c r="C528" t="s">
        <v>17446</v>
      </c>
      <c r="D528">
        <v>0</v>
      </c>
      <c r="E528" t="s">
        <v>16561</v>
      </c>
      <c r="F528" s="124"/>
      <c r="G528" s="7">
        <v>0</v>
      </c>
      <c r="H528" s="7">
        <v>0</v>
      </c>
      <c r="I528" s="7">
        <v>0</v>
      </c>
      <c r="J528" s="7">
        <v>0</v>
      </c>
      <c r="K528" s="3">
        <f t="shared" si="18"/>
        <v>0</v>
      </c>
      <c r="L528" s="3"/>
      <c r="M528" s="3">
        <f t="shared" si="20"/>
        <v>0</v>
      </c>
      <c r="N528" s="7"/>
      <c r="O528" s="5"/>
      <c r="S528" s="6"/>
    </row>
    <row r="529" spans="1:22" customFormat="1" x14ac:dyDescent="0.45">
      <c r="A529">
        <v>164685</v>
      </c>
      <c r="B529" t="s">
        <v>17447</v>
      </c>
      <c r="C529" t="s">
        <v>16331</v>
      </c>
      <c r="D529">
        <v>1</v>
      </c>
      <c r="E529" t="s">
        <v>16331</v>
      </c>
      <c r="F529" s="124"/>
      <c r="G529" s="7">
        <v>0</v>
      </c>
      <c r="H529" s="7">
        <v>0</v>
      </c>
      <c r="I529" s="7">
        <v>0</v>
      </c>
      <c r="J529" s="7">
        <v>0</v>
      </c>
      <c r="K529" s="3">
        <f t="shared" si="18"/>
        <v>0</v>
      </c>
      <c r="L529" s="3"/>
      <c r="M529" s="3">
        <f t="shared" si="20"/>
        <v>0</v>
      </c>
      <c r="O529" s="5"/>
      <c r="S529" s="6"/>
    </row>
    <row r="530" spans="1:22" x14ac:dyDescent="0.45">
      <c r="A530" s="124">
        <v>133462</v>
      </c>
      <c r="B530" s="124" t="s">
        <v>17448</v>
      </c>
      <c r="C530" s="125" t="s">
        <v>17449</v>
      </c>
      <c r="D530" s="124">
        <v>3</v>
      </c>
      <c r="E530" s="124" t="s">
        <v>16334</v>
      </c>
      <c r="F530" s="126">
        <v>1.6999999999999999E-3</v>
      </c>
      <c r="G530" s="126">
        <v>2.76E-2</v>
      </c>
      <c r="H530" s="126">
        <v>0</v>
      </c>
      <c r="I530" s="127">
        <v>0</v>
      </c>
      <c r="J530" s="127">
        <v>0</v>
      </c>
      <c r="K530" s="126">
        <f t="shared" si="18"/>
        <v>2.76E-2</v>
      </c>
      <c r="L530" s="3"/>
      <c r="M530" s="126">
        <f t="shared" si="20"/>
        <v>2.93E-2</v>
      </c>
      <c r="N530" s="124" t="s">
        <v>17450</v>
      </c>
      <c r="O530" s="125" t="s">
        <v>17451</v>
      </c>
      <c r="P530" s="128" t="s">
        <v>26918</v>
      </c>
      <c r="Q530" s="130">
        <v>359102</v>
      </c>
      <c r="R530" s="124" t="s">
        <v>16348</v>
      </c>
      <c r="S530" s="130">
        <v>359102</v>
      </c>
      <c r="T530" s="129">
        <f>S530/Q530</f>
        <v>1</v>
      </c>
      <c r="V530" s="125" t="s">
        <v>17452</v>
      </c>
    </row>
    <row r="531" spans="1:22" customFormat="1" x14ac:dyDescent="0.45">
      <c r="A531">
        <v>164801</v>
      </c>
      <c r="B531" t="s">
        <v>17453</v>
      </c>
      <c r="C531" t="s">
        <v>17454</v>
      </c>
      <c r="D531">
        <v>1</v>
      </c>
      <c r="E531" t="s">
        <v>17455</v>
      </c>
      <c r="F531" s="124"/>
      <c r="G531" s="3">
        <v>0</v>
      </c>
      <c r="H531" s="3">
        <v>0</v>
      </c>
      <c r="I531" s="3">
        <v>0</v>
      </c>
      <c r="J531" s="3">
        <v>0</v>
      </c>
      <c r="K531" s="3">
        <f t="shared" si="18"/>
        <v>0</v>
      </c>
      <c r="L531" s="3"/>
      <c r="M531" s="3">
        <f t="shared" si="20"/>
        <v>0</v>
      </c>
      <c r="O531" s="5"/>
      <c r="S531" s="6"/>
    </row>
    <row r="532" spans="1:22" customFormat="1" x14ac:dyDescent="0.45">
      <c r="A532">
        <v>164912</v>
      </c>
      <c r="B532" t="s">
        <v>17456</v>
      </c>
      <c r="C532" t="s">
        <v>17457</v>
      </c>
      <c r="D532">
        <v>3</v>
      </c>
      <c r="F532" s="124"/>
      <c r="G532" s="7">
        <v>0</v>
      </c>
      <c r="H532" s="7">
        <v>0</v>
      </c>
      <c r="I532" s="7">
        <v>0</v>
      </c>
      <c r="J532" s="7">
        <v>0</v>
      </c>
      <c r="K532" s="3">
        <f t="shared" si="18"/>
        <v>0</v>
      </c>
      <c r="L532" s="3"/>
      <c r="M532" s="3">
        <f t="shared" si="20"/>
        <v>0</v>
      </c>
      <c r="O532" s="5"/>
      <c r="S532" s="6"/>
    </row>
    <row r="533" spans="1:22" x14ac:dyDescent="0.45">
      <c r="A533" s="124">
        <v>990743</v>
      </c>
      <c r="B533" s="124" t="s">
        <v>17458</v>
      </c>
      <c r="C533" s="124" t="s">
        <v>17459</v>
      </c>
      <c r="D533" s="124">
        <v>2</v>
      </c>
      <c r="E533" s="124" t="s">
        <v>16334</v>
      </c>
      <c r="F533" s="126">
        <v>1.6999999999999999E-3</v>
      </c>
      <c r="G533" s="126">
        <f>0.95%+1%</f>
        <v>1.95E-2</v>
      </c>
      <c r="H533" s="126">
        <v>5.4999999999999997E-3</v>
      </c>
      <c r="I533" s="127"/>
      <c r="J533" s="127"/>
      <c r="K533" s="126">
        <f t="shared" si="18"/>
        <v>2.5000000000000001E-2</v>
      </c>
      <c r="L533" s="3"/>
      <c r="M533" s="126">
        <f t="shared" si="20"/>
        <v>2.6700000000000002E-2</v>
      </c>
      <c r="O533" s="131" t="s">
        <v>17460</v>
      </c>
      <c r="P533" s="128" t="s">
        <v>26918</v>
      </c>
      <c r="Q533" s="124">
        <f>15380+139314</f>
        <v>154694</v>
      </c>
      <c r="R533" s="124" t="s">
        <v>16348</v>
      </c>
      <c r="S533" s="132">
        <v>9789</v>
      </c>
      <c r="T533" s="129">
        <f>S533/Q533</f>
        <v>6.3279765213906158E-2</v>
      </c>
      <c r="V533" s="125" t="s">
        <v>17461</v>
      </c>
    </row>
    <row r="534" spans="1:22" customFormat="1" x14ac:dyDescent="0.45">
      <c r="A534">
        <v>165172</v>
      </c>
      <c r="B534" t="s">
        <v>17462</v>
      </c>
      <c r="C534" t="s">
        <v>17463</v>
      </c>
      <c r="D534">
        <v>3</v>
      </c>
      <c r="F534" s="124"/>
      <c r="G534" s="7">
        <v>0</v>
      </c>
      <c r="H534" s="7">
        <v>0</v>
      </c>
      <c r="I534" s="7">
        <v>0</v>
      </c>
      <c r="J534" s="7">
        <v>0</v>
      </c>
      <c r="K534" s="3">
        <f t="shared" si="18"/>
        <v>0</v>
      </c>
      <c r="L534" s="3"/>
      <c r="M534" s="3">
        <f t="shared" si="20"/>
        <v>0</v>
      </c>
      <c r="O534" s="5"/>
      <c r="S534" s="6"/>
    </row>
    <row r="535" spans="1:22" customFormat="1" x14ac:dyDescent="0.45">
      <c r="A535">
        <v>165222</v>
      </c>
      <c r="B535" t="s">
        <v>17464</v>
      </c>
      <c r="C535" t="s">
        <v>17465</v>
      </c>
      <c r="D535">
        <v>4</v>
      </c>
      <c r="F535" s="124"/>
      <c r="G535" s="3">
        <v>0</v>
      </c>
      <c r="H535" s="3">
        <v>0</v>
      </c>
      <c r="I535" s="3">
        <v>0</v>
      </c>
      <c r="J535" s="3">
        <v>0</v>
      </c>
      <c r="K535" s="3">
        <f t="shared" si="18"/>
        <v>0</v>
      </c>
      <c r="L535" s="3"/>
      <c r="M535" s="3">
        <f t="shared" si="20"/>
        <v>0</v>
      </c>
      <c r="O535" s="5"/>
      <c r="S535" s="6"/>
    </row>
    <row r="536" spans="1:22" customFormat="1" x14ac:dyDescent="0.45">
      <c r="A536">
        <v>165226</v>
      </c>
      <c r="B536" t="s">
        <v>17466</v>
      </c>
      <c r="C536" t="s">
        <v>16331</v>
      </c>
      <c r="D536">
        <v>0</v>
      </c>
      <c r="E536" t="s">
        <v>16331</v>
      </c>
      <c r="F536" s="124"/>
      <c r="G536" s="7">
        <v>0</v>
      </c>
      <c r="H536" s="7">
        <v>0</v>
      </c>
      <c r="I536" s="7">
        <v>0</v>
      </c>
      <c r="J536" s="7">
        <v>0</v>
      </c>
      <c r="K536" s="3">
        <f t="shared" ref="K536:K599" si="21">SUM(G536:J536)</f>
        <v>0</v>
      </c>
      <c r="L536" s="3"/>
      <c r="M536" s="3">
        <f t="shared" si="20"/>
        <v>0</v>
      </c>
      <c r="N536" s="7"/>
      <c r="O536" s="5"/>
      <c r="S536" s="6"/>
    </row>
    <row r="537" spans="1:22" customFormat="1" x14ac:dyDescent="0.45">
      <c r="A537">
        <v>165237</v>
      </c>
      <c r="B537" t="s">
        <v>17467</v>
      </c>
      <c r="C537" t="s">
        <v>17468</v>
      </c>
      <c r="D537">
        <v>5</v>
      </c>
      <c r="F537" s="124"/>
      <c r="G537" s="7">
        <v>0</v>
      </c>
      <c r="H537" s="7">
        <v>0</v>
      </c>
      <c r="I537" s="7">
        <v>0</v>
      </c>
      <c r="J537" s="7">
        <v>0</v>
      </c>
      <c r="K537" s="3">
        <f t="shared" si="21"/>
        <v>0</v>
      </c>
      <c r="L537" s="3"/>
      <c r="M537" s="3">
        <f t="shared" si="20"/>
        <v>0</v>
      </c>
      <c r="O537" s="5"/>
      <c r="S537" s="6"/>
    </row>
    <row r="538" spans="1:22" customFormat="1" x14ac:dyDescent="0.45">
      <c r="A538">
        <v>165731</v>
      </c>
      <c r="B538" t="s">
        <v>17469</v>
      </c>
      <c r="C538" t="s">
        <v>16331</v>
      </c>
      <c r="D538">
        <v>1</v>
      </c>
      <c r="E538" t="s">
        <v>16331</v>
      </c>
      <c r="F538" s="124"/>
      <c r="G538" s="7">
        <v>0</v>
      </c>
      <c r="H538" s="7">
        <v>0</v>
      </c>
      <c r="I538" s="7">
        <v>0</v>
      </c>
      <c r="J538" s="7">
        <v>0</v>
      </c>
      <c r="K538" s="3">
        <f t="shared" si="21"/>
        <v>0</v>
      </c>
      <c r="L538" s="3"/>
      <c r="M538" s="3">
        <f t="shared" si="20"/>
        <v>0</v>
      </c>
      <c r="O538" s="5"/>
      <c r="S538" s="6"/>
    </row>
    <row r="539" spans="1:22" customFormat="1" x14ac:dyDescent="0.45">
      <c r="A539">
        <v>165935</v>
      </c>
      <c r="B539" t="s">
        <v>17470</v>
      </c>
      <c r="C539" t="s">
        <v>16331</v>
      </c>
      <c r="D539">
        <v>0</v>
      </c>
      <c r="E539" t="s">
        <v>16331</v>
      </c>
      <c r="F539" s="124"/>
      <c r="G539" s="7">
        <v>0</v>
      </c>
      <c r="H539" s="7">
        <v>0</v>
      </c>
      <c r="I539" s="7">
        <v>0</v>
      </c>
      <c r="J539" s="7">
        <v>0</v>
      </c>
      <c r="K539" s="3">
        <f t="shared" si="21"/>
        <v>0</v>
      </c>
      <c r="L539" s="3"/>
      <c r="M539" s="3">
        <f t="shared" si="20"/>
        <v>0</v>
      </c>
      <c r="N539" s="7"/>
      <c r="O539" s="5"/>
      <c r="S539" s="6"/>
    </row>
    <row r="540" spans="1:22" customFormat="1" x14ac:dyDescent="0.45">
      <c r="A540">
        <v>165999</v>
      </c>
      <c r="B540" t="s">
        <v>17471</v>
      </c>
      <c r="C540" t="s">
        <v>17472</v>
      </c>
      <c r="D540">
        <v>6</v>
      </c>
      <c r="E540" t="s">
        <v>16593</v>
      </c>
      <c r="F540" s="124"/>
      <c r="H540">
        <v>0</v>
      </c>
      <c r="K540" s="3">
        <f t="shared" si="21"/>
        <v>0</v>
      </c>
      <c r="L540" s="3"/>
      <c r="M540" s="3">
        <f t="shared" si="20"/>
        <v>0</v>
      </c>
      <c r="O540" s="5"/>
      <c r="P540" t="s">
        <v>17473</v>
      </c>
      <c r="S540" s="6"/>
    </row>
    <row r="541" spans="1:22" customFormat="1" x14ac:dyDescent="0.45">
      <c r="A541">
        <v>166062</v>
      </c>
      <c r="B541" t="s">
        <v>17474</v>
      </c>
      <c r="C541" t="s">
        <v>16331</v>
      </c>
      <c r="D541">
        <v>1</v>
      </c>
      <c r="E541" t="s">
        <v>16331</v>
      </c>
      <c r="F541" s="124"/>
      <c r="K541" s="3">
        <f t="shared" si="21"/>
        <v>0</v>
      </c>
      <c r="L541" s="3"/>
      <c r="M541" s="3">
        <f t="shared" si="20"/>
        <v>0</v>
      </c>
      <c r="O541" s="5"/>
      <c r="S541" s="6"/>
    </row>
    <row r="542" spans="1:22" x14ac:dyDescent="0.45">
      <c r="A542" s="124">
        <v>814001</v>
      </c>
      <c r="B542" s="124" t="s">
        <v>17475</v>
      </c>
      <c r="C542" s="124" t="s">
        <v>17476</v>
      </c>
      <c r="D542" s="124">
        <v>1</v>
      </c>
      <c r="E542" s="124" t="s">
        <v>16334</v>
      </c>
      <c r="F542" s="126">
        <v>1.6999999999999999E-3</v>
      </c>
      <c r="G542" s="126">
        <v>0.03</v>
      </c>
      <c r="H542" s="126">
        <v>5.0000000000000001E-3</v>
      </c>
      <c r="I542" s="127"/>
      <c r="J542" s="127"/>
      <c r="K542" s="126">
        <f t="shared" si="21"/>
        <v>3.4999999999999996E-2</v>
      </c>
      <c r="L542" s="3"/>
      <c r="M542" s="126">
        <f t="shared" si="20"/>
        <v>3.6699999999999997E-2</v>
      </c>
      <c r="O542" s="131" t="s">
        <v>17477</v>
      </c>
      <c r="P542" s="128" t="s">
        <v>26918</v>
      </c>
      <c r="Q542" s="124">
        <f>23074+15409</f>
        <v>38483</v>
      </c>
      <c r="R542" s="124" t="s">
        <v>16348</v>
      </c>
      <c r="S542" s="132">
        <v>21754</v>
      </c>
      <c r="T542" s="129">
        <f>S542/Q542</f>
        <v>0.56528856897850999</v>
      </c>
      <c r="V542" s="125" t="s">
        <v>17478</v>
      </c>
    </row>
    <row r="543" spans="1:22" customFormat="1" x14ac:dyDescent="0.45">
      <c r="A543">
        <v>169777</v>
      </c>
      <c r="B543" t="s">
        <v>17479</v>
      </c>
      <c r="C543" t="s">
        <v>17480</v>
      </c>
      <c r="D543">
        <v>8</v>
      </c>
      <c r="F543" s="124"/>
      <c r="K543" s="3">
        <f t="shared" si="21"/>
        <v>0</v>
      </c>
      <c r="L543" s="3"/>
      <c r="M543" s="3">
        <f t="shared" si="20"/>
        <v>0</v>
      </c>
      <c r="O543" s="5"/>
      <c r="S543" s="6"/>
    </row>
    <row r="544" spans="1:22" customFormat="1" x14ac:dyDescent="0.45">
      <c r="A544">
        <v>169843</v>
      </c>
      <c r="B544" t="s">
        <v>17481</v>
      </c>
      <c r="C544" s="38" t="s">
        <v>17482</v>
      </c>
      <c r="D544">
        <v>1</v>
      </c>
      <c r="F544" s="124"/>
      <c r="G544" s="7">
        <v>0</v>
      </c>
      <c r="H544" s="7">
        <v>0</v>
      </c>
      <c r="I544" s="7">
        <v>0</v>
      </c>
      <c r="J544" s="7">
        <v>0</v>
      </c>
      <c r="K544" s="3">
        <f t="shared" si="21"/>
        <v>0</v>
      </c>
      <c r="L544" s="3"/>
      <c r="M544" s="3">
        <f t="shared" si="20"/>
        <v>0</v>
      </c>
      <c r="N544" s="7"/>
      <c r="O544" s="5"/>
      <c r="S544" s="6"/>
    </row>
    <row r="545" spans="1:23" customFormat="1" x14ac:dyDescent="0.45">
      <c r="A545">
        <v>170068</v>
      </c>
      <c r="B545" t="s">
        <v>17483</v>
      </c>
      <c r="C545" t="s">
        <v>17484</v>
      </c>
      <c r="D545">
        <v>7</v>
      </c>
      <c r="F545" s="124"/>
      <c r="K545" s="3">
        <f t="shared" si="21"/>
        <v>0</v>
      </c>
      <c r="L545" s="3"/>
      <c r="M545" s="3">
        <f t="shared" si="20"/>
        <v>0</v>
      </c>
      <c r="O545" s="5"/>
      <c r="S545" s="6"/>
    </row>
    <row r="546" spans="1:23" customFormat="1" x14ac:dyDescent="0.45">
      <c r="A546">
        <v>170299</v>
      </c>
      <c r="B546" t="s">
        <v>17485</v>
      </c>
      <c r="C546" t="s">
        <v>16331</v>
      </c>
      <c r="D546">
        <v>1</v>
      </c>
      <c r="E546" t="s">
        <v>16331</v>
      </c>
      <c r="F546" s="124"/>
      <c r="K546" s="3">
        <f t="shared" si="21"/>
        <v>0</v>
      </c>
      <c r="L546" s="3"/>
      <c r="M546" s="3">
        <f t="shared" si="20"/>
        <v>0</v>
      </c>
      <c r="O546" s="5"/>
      <c r="S546" s="6"/>
    </row>
    <row r="547" spans="1:23" customFormat="1" x14ac:dyDescent="0.45">
      <c r="A547">
        <v>170637</v>
      </c>
      <c r="B547" t="s">
        <v>17486</v>
      </c>
      <c r="C547" t="s">
        <v>17487</v>
      </c>
      <c r="D547">
        <v>2</v>
      </c>
      <c r="E547" t="s">
        <v>16334</v>
      </c>
      <c r="F547" s="124"/>
      <c r="G547" s="7">
        <v>0</v>
      </c>
      <c r="H547" s="7">
        <v>0</v>
      </c>
      <c r="I547" s="7">
        <v>0</v>
      </c>
      <c r="J547" s="7">
        <v>0</v>
      </c>
      <c r="K547" s="3">
        <f t="shared" si="21"/>
        <v>0</v>
      </c>
      <c r="L547" s="3"/>
      <c r="M547" s="3">
        <f t="shared" si="20"/>
        <v>0</v>
      </c>
      <c r="N547" s="7"/>
      <c r="O547" s="5"/>
      <c r="S547" s="6"/>
    </row>
    <row r="548" spans="1:23" customFormat="1" x14ac:dyDescent="0.45">
      <c r="A548">
        <v>170734</v>
      </c>
      <c r="B548" t="s">
        <v>17488</v>
      </c>
      <c r="C548" t="s">
        <v>17489</v>
      </c>
      <c r="D548">
        <v>0</v>
      </c>
      <c r="E548" t="s">
        <v>16561</v>
      </c>
      <c r="F548" s="124"/>
      <c r="G548" s="7">
        <v>0</v>
      </c>
      <c r="H548" s="7">
        <v>0</v>
      </c>
      <c r="I548" s="7">
        <v>0</v>
      </c>
      <c r="J548" s="7">
        <v>0</v>
      </c>
      <c r="K548" s="3">
        <f t="shared" si="21"/>
        <v>0</v>
      </c>
      <c r="L548" s="3"/>
      <c r="M548" s="3">
        <f t="shared" si="20"/>
        <v>0</v>
      </c>
      <c r="N548" s="7"/>
      <c r="O548" s="5"/>
      <c r="S548" s="6"/>
    </row>
    <row r="549" spans="1:23" customFormat="1" x14ac:dyDescent="0.45">
      <c r="A549">
        <v>170910</v>
      </c>
      <c r="B549" t="s">
        <v>17490</v>
      </c>
      <c r="C549" t="s">
        <v>17491</v>
      </c>
      <c r="D549">
        <v>0</v>
      </c>
      <c r="E549" t="s">
        <v>16561</v>
      </c>
      <c r="F549" s="124"/>
      <c r="K549" s="3">
        <f t="shared" si="21"/>
        <v>0</v>
      </c>
      <c r="L549" s="3"/>
      <c r="M549" s="3">
        <f t="shared" si="20"/>
        <v>0</v>
      </c>
      <c r="O549" s="5"/>
      <c r="S549" s="6"/>
    </row>
    <row r="550" spans="1:23" x14ac:dyDescent="0.45">
      <c r="A550" s="124">
        <v>800111</v>
      </c>
      <c r="B550" s="124" t="s">
        <v>17492</v>
      </c>
      <c r="C550" s="124" t="s">
        <v>17493</v>
      </c>
      <c r="D550" s="124">
        <v>1</v>
      </c>
      <c r="E550" s="124" t="s">
        <v>16334</v>
      </c>
      <c r="F550" s="126">
        <v>1.6999999999999999E-3</v>
      </c>
      <c r="G550" s="126">
        <f>1.95%+3%</f>
        <v>4.9500000000000002E-2</v>
      </c>
      <c r="H550" s="126">
        <v>7.0000000000000001E-3</v>
      </c>
      <c r="I550" s="127"/>
      <c r="J550" s="127"/>
      <c r="K550" s="126">
        <f t="shared" si="21"/>
        <v>5.6500000000000002E-2</v>
      </c>
      <c r="L550" s="3"/>
      <c r="M550" s="126">
        <f t="shared" ref="M550:M613" si="22">K550+F550</f>
        <v>5.8200000000000002E-2</v>
      </c>
      <c r="N550" s="124" t="s">
        <v>17494</v>
      </c>
      <c r="O550" s="131" t="s">
        <v>17495</v>
      </c>
      <c r="P550" s="128" t="s">
        <v>26918</v>
      </c>
      <c r="Q550" s="130">
        <f>7625+31717</f>
        <v>39342</v>
      </c>
      <c r="R550" s="124" t="s">
        <v>16348</v>
      </c>
      <c r="S550" s="132">
        <v>4000</v>
      </c>
      <c r="T550" s="129">
        <f>S550/Q550</f>
        <v>0.10167251283615475</v>
      </c>
      <c r="V550" s="125" t="s">
        <v>17496</v>
      </c>
      <c r="W550" s="124" t="s">
        <v>17021</v>
      </c>
    </row>
    <row r="551" spans="1:23" x14ac:dyDescent="0.45">
      <c r="A551" s="124">
        <v>775721</v>
      </c>
      <c r="B551" s="124" t="s">
        <v>17497</v>
      </c>
      <c r="C551" s="124" t="s">
        <v>17498</v>
      </c>
      <c r="D551" s="124">
        <v>3</v>
      </c>
      <c r="E551" s="124" t="s">
        <v>16334</v>
      </c>
      <c r="F551" s="126">
        <v>1.6999999999999999E-3</v>
      </c>
      <c r="G551" s="126">
        <f>(0.995%+9.95%)/2</f>
        <v>5.4724999999999996E-2</v>
      </c>
      <c r="H551" s="126">
        <v>0.03</v>
      </c>
      <c r="I551" s="127"/>
      <c r="J551" s="127"/>
      <c r="K551" s="126">
        <f t="shared" si="21"/>
        <v>8.4724999999999995E-2</v>
      </c>
      <c r="L551" s="3"/>
      <c r="M551" s="126">
        <f t="shared" si="22"/>
        <v>8.6424999999999988E-2</v>
      </c>
      <c r="O551" s="131" t="s">
        <v>17499</v>
      </c>
      <c r="P551" s="128" t="s">
        <v>26918</v>
      </c>
      <c r="Q551" s="124">
        <f>342868+170487</f>
        <v>513355</v>
      </c>
      <c r="R551" s="124" t="s">
        <v>16348</v>
      </c>
      <c r="S551" s="132">
        <v>283745</v>
      </c>
      <c r="T551" s="129">
        <f>S551/Q551</f>
        <v>0.55272667062753844</v>
      </c>
      <c r="V551" s="125" t="s">
        <v>17500</v>
      </c>
      <c r="W551" s="124" t="s">
        <v>17021</v>
      </c>
    </row>
    <row r="552" spans="1:23" customFormat="1" x14ac:dyDescent="0.45">
      <c r="A552">
        <v>171137</v>
      </c>
      <c r="B552" t="s">
        <v>17501</v>
      </c>
      <c r="C552" t="s">
        <v>17502</v>
      </c>
      <c r="D552">
        <v>3</v>
      </c>
      <c r="F552" s="124"/>
      <c r="K552" s="3">
        <f t="shared" si="21"/>
        <v>0</v>
      </c>
      <c r="L552" s="3"/>
      <c r="M552" s="3">
        <f t="shared" si="22"/>
        <v>0</v>
      </c>
      <c r="O552" s="5"/>
      <c r="S552" s="6"/>
    </row>
    <row r="553" spans="1:23" customFormat="1" x14ac:dyDescent="0.45">
      <c r="A553">
        <v>171480</v>
      </c>
      <c r="B553" t="s">
        <v>17503</v>
      </c>
      <c r="C553" t="s">
        <v>16331</v>
      </c>
      <c r="D553">
        <v>0</v>
      </c>
      <c r="E553" t="s">
        <v>16331</v>
      </c>
      <c r="F553" s="124"/>
      <c r="G553" s="7">
        <v>0</v>
      </c>
      <c r="H553" s="7">
        <v>0</v>
      </c>
      <c r="I553" s="7">
        <v>0</v>
      </c>
      <c r="J553" s="7">
        <v>0</v>
      </c>
      <c r="K553" s="3">
        <f t="shared" si="21"/>
        <v>0</v>
      </c>
      <c r="L553" s="3"/>
      <c r="M553" s="3">
        <f t="shared" si="22"/>
        <v>0</v>
      </c>
      <c r="N553" s="7"/>
      <c r="O553" s="5"/>
      <c r="S553" s="6"/>
    </row>
    <row r="554" spans="1:23" customFormat="1" x14ac:dyDescent="0.45">
      <c r="A554">
        <v>171483</v>
      </c>
      <c r="B554" t="s">
        <v>17504</v>
      </c>
      <c r="C554" t="s">
        <v>17505</v>
      </c>
      <c r="D554">
        <v>0</v>
      </c>
      <c r="E554" t="s">
        <v>16561</v>
      </c>
      <c r="F554" s="124"/>
      <c r="K554" s="3">
        <f t="shared" si="21"/>
        <v>0</v>
      </c>
      <c r="L554" s="3"/>
      <c r="M554" s="3">
        <f t="shared" si="22"/>
        <v>0</v>
      </c>
      <c r="O554" s="5"/>
      <c r="S554" s="6"/>
    </row>
    <row r="555" spans="1:23" customFormat="1" x14ac:dyDescent="0.45">
      <c r="A555">
        <v>171487</v>
      </c>
      <c r="B555" t="s">
        <v>17506</v>
      </c>
      <c r="C555" t="s">
        <v>16331</v>
      </c>
      <c r="D555">
        <v>0</v>
      </c>
      <c r="E555" t="s">
        <v>16331</v>
      </c>
      <c r="F555" s="124"/>
      <c r="G555" s="7">
        <v>0</v>
      </c>
      <c r="H555" s="7">
        <v>0</v>
      </c>
      <c r="I555" s="7">
        <v>0</v>
      </c>
      <c r="J555" s="7">
        <v>0</v>
      </c>
      <c r="K555" s="3">
        <f t="shared" si="21"/>
        <v>0</v>
      </c>
      <c r="L555" s="3"/>
      <c r="M555" s="3">
        <f t="shared" si="22"/>
        <v>0</v>
      </c>
      <c r="N555" s="7"/>
      <c r="O555" s="5"/>
      <c r="S555" s="6"/>
    </row>
    <row r="556" spans="1:23" customFormat="1" x14ac:dyDescent="0.45">
      <c r="A556">
        <v>171805</v>
      </c>
      <c r="B556" t="s">
        <v>17507</v>
      </c>
      <c r="C556" t="s">
        <v>16331</v>
      </c>
      <c r="D556">
        <v>1</v>
      </c>
      <c r="E556" t="s">
        <v>16331</v>
      </c>
      <c r="F556" s="124"/>
      <c r="G556" s="7">
        <v>0</v>
      </c>
      <c r="H556" s="7">
        <v>0</v>
      </c>
      <c r="I556" s="7">
        <v>0</v>
      </c>
      <c r="J556" s="7">
        <v>0</v>
      </c>
      <c r="K556" s="3">
        <f t="shared" si="21"/>
        <v>0</v>
      </c>
      <c r="L556" s="3"/>
      <c r="M556" s="3">
        <f t="shared" si="22"/>
        <v>0</v>
      </c>
      <c r="O556" s="5"/>
      <c r="S556" s="6"/>
    </row>
    <row r="557" spans="1:23" customFormat="1" x14ac:dyDescent="0.45">
      <c r="A557">
        <v>171837</v>
      </c>
      <c r="B557" t="s">
        <v>17508</v>
      </c>
      <c r="C557" t="s">
        <v>16331</v>
      </c>
      <c r="D557">
        <v>1</v>
      </c>
      <c r="E557" t="s">
        <v>16331</v>
      </c>
      <c r="F557" s="124"/>
      <c r="G557" s="7">
        <v>0</v>
      </c>
      <c r="H557" s="7">
        <v>0</v>
      </c>
      <c r="I557" s="7">
        <v>0</v>
      </c>
      <c r="J557" s="7">
        <v>0</v>
      </c>
      <c r="K557" s="3">
        <f t="shared" si="21"/>
        <v>0</v>
      </c>
      <c r="L557" s="3"/>
      <c r="M557" s="3">
        <f t="shared" si="22"/>
        <v>0</v>
      </c>
      <c r="N557" s="7"/>
      <c r="O557" s="5"/>
      <c r="S557" s="6"/>
    </row>
    <row r="558" spans="1:23" customFormat="1" x14ac:dyDescent="0.45">
      <c r="A558">
        <v>172140</v>
      </c>
      <c r="B558" t="s">
        <v>17509</v>
      </c>
      <c r="C558" t="s">
        <v>17510</v>
      </c>
      <c r="D558">
        <v>15</v>
      </c>
      <c r="F558" s="124"/>
      <c r="G558" s="3"/>
      <c r="H558" s="3"/>
      <c r="I558" s="3"/>
      <c r="J558" s="3"/>
      <c r="K558" s="3">
        <f t="shared" si="21"/>
        <v>0</v>
      </c>
      <c r="L558" s="3"/>
      <c r="M558" s="3">
        <f t="shared" si="22"/>
        <v>0</v>
      </c>
      <c r="O558" s="5"/>
      <c r="S558" s="6"/>
    </row>
    <row r="559" spans="1:23" customFormat="1" x14ac:dyDescent="0.45">
      <c r="A559">
        <v>172189</v>
      </c>
      <c r="B559" t="s">
        <v>17511</v>
      </c>
      <c r="C559" t="s">
        <v>17512</v>
      </c>
      <c r="D559">
        <v>2</v>
      </c>
      <c r="F559" s="124"/>
      <c r="J559" s="3"/>
      <c r="K559" s="3">
        <f t="shared" si="21"/>
        <v>0</v>
      </c>
      <c r="L559" s="3"/>
      <c r="M559" s="3">
        <f t="shared" si="22"/>
        <v>0</v>
      </c>
      <c r="O559" s="5"/>
      <c r="S559" s="6"/>
    </row>
    <row r="560" spans="1:23" customFormat="1" x14ac:dyDescent="0.45">
      <c r="A560">
        <v>172274</v>
      </c>
      <c r="B560" t="s">
        <v>17513</v>
      </c>
      <c r="C560" t="s">
        <v>17514</v>
      </c>
      <c r="D560">
        <v>13</v>
      </c>
      <c r="F560" s="124"/>
      <c r="G560" s="3">
        <v>0</v>
      </c>
      <c r="H560" s="3">
        <v>0</v>
      </c>
      <c r="I560" s="3">
        <v>0</v>
      </c>
      <c r="J560" s="3">
        <v>0</v>
      </c>
      <c r="K560" s="3">
        <f t="shared" si="21"/>
        <v>0</v>
      </c>
      <c r="L560" s="3"/>
      <c r="M560" s="3">
        <f t="shared" si="22"/>
        <v>0</v>
      </c>
      <c r="O560" s="5"/>
      <c r="S560" s="6"/>
    </row>
    <row r="561" spans="1:22" customFormat="1" x14ac:dyDescent="0.45">
      <c r="A561">
        <v>172974</v>
      </c>
      <c r="B561" t="s">
        <v>17515</v>
      </c>
      <c r="C561" t="s">
        <v>16331</v>
      </c>
      <c r="D561">
        <v>0</v>
      </c>
      <c r="E561" t="s">
        <v>16331</v>
      </c>
      <c r="F561" s="124"/>
      <c r="G561" s="7">
        <v>0</v>
      </c>
      <c r="H561" s="7">
        <v>0</v>
      </c>
      <c r="I561" s="7">
        <v>0</v>
      </c>
      <c r="J561" s="7">
        <v>0</v>
      </c>
      <c r="K561" s="3">
        <f t="shared" si="21"/>
        <v>0</v>
      </c>
      <c r="L561" s="3"/>
      <c r="M561" s="3">
        <f t="shared" si="22"/>
        <v>0</v>
      </c>
      <c r="O561" s="5"/>
      <c r="S561" s="6"/>
    </row>
    <row r="562" spans="1:22" customFormat="1" x14ac:dyDescent="0.45">
      <c r="A562">
        <v>173050</v>
      </c>
      <c r="B562" t="s">
        <v>17516</v>
      </c>
      <c r="C562" t="s">
        <v>16331</v>
      </c>
      <c r="D562">
        <v>1</v>
      </c>
      <c r="E562" t="s">
        <v>16331</v>
      </c>
      <c r="F562" s="124"/>
      <c r="G562" s="7">
        <v>0</v>
      </c>
      <c r="H562" s="7">
        <v>0</v>
      </c>
      <c r="I562" s="7">
        <v>0</v>
      </c>
      <c r="J562" s="7">
        <v>0</v>
      </c>
      <c r="K562" s="3">
        <f t="shared" si="21"/>
        <v>0</v>
      </c>
      <c r="L562" s="3"/>
      <c r="M562" s="3">
        <f t="shared" si="22"/>
        <v>0</v>
      </c>
      <c r="O562" s="5"/>
      <c r="S562" s="6"/>
    </row>
    <row r="563" spans="1:22" customFormat="1" x14ac:dyDescent="0.45">
      <c r="A563">
        <v>173076</v>
      </c>
      <c r="B563" t="s">
        <v>17517</v>
      </c>
      <c r="C563" t="s">
        <v>16331</v>
      </c>
      <c r="D563">
        <v>2</v>
      </c>
      <c r="E563" t="s">
        <v>16331</v>
      </c>
      <c r="F563" s="124"/>
      <c r="G563" s="7">
        <v>0</v>
      </c>
      <c r="H563" s="7">
        <v>0</v>
      </c>
      <c r="I563" s="7">
        <v>0</v>
      </c>
      <c r="J563" s="7">
        <v>0</v>
      </c>
      <c r="K563" s="3">
        <f t="shared" si="21"/>
        <v>0</v>
      </c>
      <c r="L563" s="3"/>
      <c r="M563" s="3">
        <f t="shared" si="22"/>
        <v>0</v>
      </c>
      <c r="N563" s="7"/>
      <c r="O563" s="5"/>
      <c r="S563" s="6"/>
    </row>
    <row r="564" spans="1:22" customFormat="1" x14ac:dyDescent="0.45">
      <c r="A564">
        <v>173259</v>
      </c>
      <c r="B564" t="s">
        <v>17518</v>
      </c>
      <c r="C564" t="s">
        <v>17519</v>
      </c>
      <c r="D564">
        <v>2</v>
      </c>
      <c r="F564" s="124"/>
      <c r="G564" s="7">
        <v>0</v>
      </c>
      <c r="H564" s="7">
        <v>0</v>
      </c>
      <c r="I564" s="7">
        <v>0</v>
      </c>
      <c r="J564" s="7">
        <v>0</v>
      </c>
      <c r="K564" s="3">
        <f t="shared" si="21"/>
        <v>0</v>
      </c>
      <c r="L564" s="3"/>
      <c r="M564" s="3">
        <f t="shared" si="22"/>
        <v>0</v>
      </c>
      <c r="O564" s="5"/>
      <c r="S564" s="6"/>
    </row>
    <row r="565" spans="1:22" customFormat="1" x14ac:dyDescent="0.45">
      <c r="A565">
        <v>173304</v>
      </c>
      <c r="B565" t="s">
        <v>17520</v>
      </c>
      <c r="C565" t="s">
        <v>16331</v>
      </c>
      <c r="D565">
        <v>4</v>
      </c>
      <c r="E565" t="s">
        <v>16331</v>
      </c>
      <c r="F565" s="124"/>
      <c r="G565" s="7">
        <v>0</v>
      </c>
      <c r="H565" s="7">
        <v>0</v>
      </c>
      <c r="I565" s="7">
        <v>0</v>
      </c>
      <c r="J565" s="7">
        <v>0</v>
      </c>
      <c r="K565" s="3">
        <f t="shared" si="21"/>
        <v>0</v>
      </c>
      <c r="L565" s="3"/>
      <c r="M565" s="3">
        <f t="shared" si="22"/>
        <v>0</v>
      </c>
      <c r="N565" s="7"/>
      <c r="O565" s="5"/>
      <c r="S565" s="6"/>
    </row>
    <row r="566" spans="1:22" customFormat="1" x14ac:dyDescent="0.45">
      <c r="A566">
        <v>175451</v>
      </c>
      <c r="B566" t="s">
        <v>17521</v>
      </c>
      <c r="C566" t="s">
        <v>17522</v>
      </c>
      <c r="D566">
        <v>3</v>
      </c>
      <c r="E566" t="s">
        <v>16593</v>
      </c>
      <c r="F566" s="124"/>
      <c r="G566" s="7">
        <v>0</v>
      </c>
      <c r="H566" s="7">
        <v>0</v>
      </c>
      <c r="I566" s="7">
        <v>0</v>
      </c>
      <c r="J566" s="7">
        <v>0</v>
      </c>
      <c r="K566" s="3">
        <f t="shared" si="21"/>
        <v>0</v>
      </c>
      <c r="L566" s="3"/>
      <c r="M566" s="3">
        <f t="shared" si="22"/>
        <v>0</v>
      </c>
      <c r="N566" s="7"/>
      <c r="O566" s="5"/>
      <c r="S566" s="6"/>
    </row>
    <row r="567" spans="1:22" customFormat="1" x14ac:dyDescent="0.45">
      <c r="A567">
        <v>175853</v>
      </c>
      <c r="B567" t="s">
        <v>17523</v>
      </c>
      <c r="C567" t="s">
        <v>17524</v>
      </c>
      <c r="D567">
        <v>0</v>
      </c>
      <c r="E567" t="s">
        <v>16561</v>
      </c>
      <c r="F567" s="124"/>
      <c r="G567" s="7">
        <v>0</v>
      </c>
      <c r="H567" s="7">
        <v>0</v>
      </c>
      <c r="I567" s="7">
        <v>0</v>
      </c>
      <c r="J567" s="7">
        <v>0</v>
      </c>
      <c r="K567" s="3">
        <f t="shared" si="21"/>
        <v>0</v>
      </c>
      <c r="L567" s="3"/>
      <c r="M567" s="3">
        <f t="shared" si="22"/>
        <v>0</v>
      </c>
      <c r="N567" s="7"/>
      <c r="O567" s="5"/>
      <c r="S567" s="6"/>
    </row>
    <row r="568" spans="1:22" customFormat="1" x14ac:dyDescent="0.45">
      <c r="A568">
        <v>176016</v>
      </c>
      <c r="B568" t="s">
        <v>17525</v>
      </c>
      <c r="C568" t="s">
        <v>16331</v>
      </c>
      <c r="D568">
        <v>1</v>
      </c>
      <c r="E568" t="s">
        <v>16331</v>
      </c>
      <c r="F568" s="124"/>
      <c r="G568" s="7">
        <v>0</v>
      </c>
      <c r="H568" s="7">
        <v>0</v>
      </c>
      <c r="I568" s="7">
        <v>0</v>
      </c>
      <c r="J568" s="7">
        <v>0</v>
      </c>
      <c r="K568" s="3">
        <f t="shared" si="21"/>
        <v>0</v>
      </c>
      <c r="L568" s="3"/>
      <c r="M568" s="3">
        <f t="shared" si="22"/>
        <v>0</v>
      </c>
      <c r="O568" s="5"/>
      <c r="S568" s="6"/>
    </row>
    <row r="569" spans="1:22" x14ac:dyDescent="0.45">
      <c r="A569" s="124">
        <v>928401</v>
      </c>
      <c r="B569" s="124" t="s">
        <v>17526</v>
      </c>
      <c r="C569" s="124" t="s">
        <v>17527</v>
      </c>
      <c r="D569" s="124">
        <v>7</v>
      </c>
      <c r="E569" s="124" t="s">
        <v>16334</v>
      </c>
      <c r="F569" s="126">
        <v>1.6999999999999999E-3</v>
      </c>
      <c r="G569" s="126">
        <f>1.5%+2%</f>
        <v>3.5000000000000003E-2</v>
      </c>
      <c r="H569" s="126">
        <v>6.0000000000000001E-3</v>
      </c>
      <c r="I569" s="127"/>
      <c r="J569" s="127"/>
      <c r="K569" s="126">
        <f t="shared" si="21"/>
        <v>4.1000000000000002E-2</v>
      </c>
      <c r="L569" s="3"/>
      <c r="M569" s="126">
        <f t="shared" si="22"/>
        <v>4.2700000000000002E-2</v>
      </c>
      <c r="O569" s="131" t="s">
        <v>17528</v>
      </c>
      <c r="P569" s="128" t="s">
        <v>26918</v>
      </c>
      <c r="Q569" s="124">
        <f>616481+325276</f>
        <v>941757</v>
      </c>
      <c r="R569" s="124" t="s">
        <v>16348</v>
      </c>
      <c r="S569" s="132">
        <v>616481</v>
      </c>
      <c r="T569" s="129">
        <f>S569/Q569</f>
        <v>0.65460729253937056</v>
      </c>
      <c r="V569" s="125" t="s">
        <v>17529</v>
      </c>
    </row>
    <row r="570" spans="1:22" customFormat="1" x14ac:dyDescent="0.45">
      <c r="A570">
        <v>176478</v>
      </c>
      <c r="B570" t="s">
        <v>17530</v>
      </c>
      <c r="C570" t="s">
        <v>17531</v>
      </c>
      <c r="D570">
        <v>2</v>
      </c>
      <c r="F570" s="124"/>
      <c r="G570" s="7">
        <v>0</v>
      </c>
      <c r="H570" s="7">
        <v>0</v>
      </c>
      <c r="I570" s="7">
        <v>0</v>
      </c>
      <c r="J570" s="7">
        <v>0</v>
      </c>
      <c r="K570" s="3">
        <f t="shared" si="21"/>
        <v>0</v>
      </c>
      <c r="L570" s="3"/>
      <c r="M570" s="3">
        <f t="shared" si="22"/>
        <v>0</v>
      </c>
      <c r="O570" s="5"/>
      <c r="S570" s="6"/>
    </row>
    <row r="571" spans="1:22" customFormat="1" x14ac:dyDescent="0.45">
      <c r="A571">
        <v>176487</v>
      </c>
      <c r="B571" t="s">
        <v>17532</v>
      </c>
      <c r="C571" t="s">
        <v>17533</v>
      </c>
      <c r="D571">
        <v>2</v>
      </c>
      <c r="F571" s="124"/>
      <c r="G571" s="7">
        <v>0</v>
      </c>
      <c r="H571" s="7">
        <v>0</v>
      </c>
      <c r="I571" s="7">
        <v>0</v>
      </c>
      <c r="J571" s="7">
        <v>0</v>
      </c>
      <c r="K571" s="3">
        <f t="shared" si="21"/>
        <v>0</v>
      </c>
      <c r="L571" s="3"/>
      <c r="M571" s="3">
        <f t="shared" si="22"/>
        <v>0</v>
      </c>
      <c r="O571" s="5"/>
      <c r="S571" s="6"/>
    </row>
    <row r="572" spans="1:22" customFormat="1" x14ac:dyDescent="0.45">
      <c r="A572">
        <v>176498</v>
      </c>
      <c r="B572" t="s">
        <v>17534</v>
      </c>
      <c r="C572" t="s">
        <v>16331</v>
      </c>
      <c r="D572">
        <v>2</v>
      </c>
      <c r="E572" t="s">
        <v>16331</v>
      </c>
      <c r="F572" s="124"/>
      <c r="G572" s="7">
        <v>0</v>
      </c>
      <c r="H572" s="7">
        <v>0</v>
      </c>
      <c r="I572" s="7">
        <v>0</v>
      </c>
      <c r="J572" s="7">
        <v>0</v>
      </c>
      <c r="K572" s="3">
        <f t="shared" si="21"/>
        <v>0</v>
      </c>
      <c r="L572" s="3"/>
      <c r="M572" s="3">
        <f t="shared" si="22"/>
        <v>0</v>
      </c>
      <c r="O572" s="5"/>
      <c r="S572" s="6"/>
    </row>
    <row r="573" spans="1:22" customFormat="1" x14ac:dyDescent="0.45">
      <c r="A573">
        <v>176508</v>
      </c>
      <c r="B573" t="s">
        <v>17535</v>
      </c>
      <c r="C573" t="s">
        <v>17536</v>
      </c>
      <c r="D573">
        <v>0</v>
      </c>
      <c r="E573" t="s">
        <v>17537</v>
      </c>
      <c r="F573" s="124"/>
      <c r="G573" s="7">
        <v>0</v>
      </c>
      <c r="H573" s="7">
        <v>0</v>
      </c>
      <c r="I573" s="7">
        <v>0</v>
      </c>
      <c r="J573" s="7">
        <v>0</v>
      </c>
      <c r="K573" s="3">
        <f t="shared" si="21"/>
        <v>0</v>
      </c>
      <c r="L573" s="3"/>
      <c r="M573" s="3">
        <f t="shared" si="22"/>
        <v>0</v>
      </c>
      <c r="N573" s="7"/>
      <c r="O573" s="5"/>
      <c r="S573" s="6"/>
    </row>
    <row r="574" spans="1:22" customFormat="1" x14ac:dyDescent="0.45">
      <c r="A574">
        <v>176527</v>
      </c>
      <c r="B574" t="s">
        <v>17538</v>
      </c>
      <c r="C574" t="s">
        <v>16331</v>
      </c>
      <c r="D574">
        <v>3</v>
      </c>
      <c r="E574" t="s">
        <v>16331</v>
      </c>
      <c r="F574" s="124"/>
      <c r="G574" s="7">
        <v>0</v>
      </c>
      <c r="H574" s="7">
        <v>0</v>
      </c>
      <c r="I574" s="7">
        <v>0</v>
      </c>
      <c r="J574" s="7">
        <v>0</v>
      </c>
      <c r="K574" s="3">
        <f t="shared" si="21"/>
        <v>0</v>
      </c>
      <c r="L574" s="3"/>
      <c r="M574" s="3">
        <f t="shared" si="22"/>
        <v>0</v>
      </c>
      <c r="O574" s="5"/>
      <c r="S574" s="6"/>
    </row>
    <row r="575" spans="1:22" customFormat="1" x14ac:dyDescent="0.45">
      <c r="A575">
        <v>176557</v>
      </c>
      <c r="B575" t="s">
        <v>17539</v>
      </c>
      <c r="C575" t="s">
        <v>17540</v>
      </c>
      <c r="D575">
        <v>6</v>
      </c>
      <c r="F575" s="124"/>
      <c r="K575" s="3">
        <f t="shared" si="21"/>
        <v>0</v>
      </c>
      <c r="L575" s="3"/>
      <c r="M575" s="3">
        <f t="shared" si="22"/>
        <v>0</v>
      </c>
      <c r="O575" s="5"/>
      <c r="S575" s="6"/>
    </row>
    <row r="576" spans="1:22" x14ac:dyDescent="0.45">
      <c r="A576" s="124">
        <v>968529</v>
      </c>
      <c r="B576" s="124" t="s">
        <v>17541</v>
      </c>
      <c r="C576" s="124" t="s">
        <v>17542</v>
      </c>
      <c r="D576" s="124">
        <v>2</v>
      </c>
      <c r="E576" s="124" t="s">
        <v>16334</v>
      </c>
      <c r="F576" s="126">
        <v>1.6999999999999999E-3</v>
      </c>
      <c r="G576" s="126">
        <v>0.01</v>
      </c>
      <c r="H576" s="126">
        <v>1.8E-3</v>
      </c>
      <c r="I576" s="127"/>
      <c r="J576" s="127"/>
      <c r="K576" s="126">
        <f t="shared" si="21"/>
        <v>1.18E-2</v>
      </c>
      <c r="L576" s="3"/>
      <c r="M576" s="126">
        <f t="shared" si="22"/>
        <v>1.35E-2</v>
      </c>
      <c r="N576" s="124" t="s">
        <v>17543</v>
      </c>
      <c r="O576" s="131" t="s">
        <v>17544</v>
      </c>
      <c r="P576" s="128" t="s">
        <v>26918</v>
      </c>
      <c r="Q576" s="124">
        <f>73833+2445</f>
        <v>76278</v>
      </c>
      <c r="R576" s="124" t="s">
        <v>16348</v>
      </c>
      <c r="S576" s="132">
        <v>73833</v>
      </c>
      <c r="T576" s="129">
        <f>S576/Q576</f>
        <v>0.96794619680641858</v>
      </c>
      <c r="V576" s="125" t="s">
        <v>17545</v>
      </c>
    </row>
    <row r="577" spans="1:22" customFormat="1" x14ac:dyDescent="0.45">
      <c r="A577">
        <v>178499</v>
      </c>
      <c r="B577" t="s">
        <v>17546</v>
      </c>
      <c r="C577" t="s">
        <v>16331</v>
      </c>
      <c r="D577">
        <v>1</v>
      </c>
      <c r="E577" t="s">
        <v>16331</v>
      </c>
      <c r="F577" s="124"/>
      <c r="G577" s="3">
        <v>0</v>
      </c>
      <c r="H577" s="3">
        <v>0</v>
      </c>
      <c r="I577" s="3">
        <v>0</v>
      </c>
      <c r="J577" s="3">
        <v>0</v>
      </c>
      <c r="K577" s="3">
        <f t="shared" si="21"/>
        <v>0</v>
      </c>
      <c r="L577" s="3"/>
      <c r="M577" s="3">
        <f t="shared" si="22"/>
        <v>0</v>
      </c>
      <c r="O577" s="5"/>
      <c r="S577" s="6"/>
    </row>
    <row r="578" spans="1:22" customFormat="1" x14ac:dyDescent="0.45">
      <c r="A578">
        <v>178554</v>
      </c>
      <c r="B578" t="s">
        <v>17547</v>
      </c>
      <c r="C578" s="2" t="s">
        <v>17548</v>
      </c>
      <c r="D578">
        <v>5</v>
      </c>
      <c r="F578" s="125"/>
      <c r="G578" s="3">
        <v>0</v>
      </c>
      <c r="H578" s="3">
        <v>0</v>
      </c>
      <c r="I578" s="3">
        <v>0</v>
      </c>
      <c r="J578" s="3">
        <v>0</v>
      </c>
      <c r="K578" s="3">
        <f t="shared" si="21"/>
        <v>0</v>
      </c>
      <c r="L578" s="3"/>
      <c r="M578" s="3">
        <f t="shared" si="22"/>
        <v>0</v>
      </c>
      <c r="O578" s="5"/>
      <c r="S578" s="6"/>
    </row>
    <row r="579" spans="1:22" customFormat="1" x14ac:dyDescent="0.45">
      <c r="A579">
        <v>178690</v>
      </c>
      <c r="B579" t="s">
        <v>17549</v>
      </c>
      <c r="C579" t="s">
        <v>17550</v>
      </c>
      <c r="D579">
        <v>40</v>
      </c>
      <c r="F579" s="124"/>
      <c r="G579" s="3">
        <v>0</v>
      </c>
      <c r="H579" s="3">
        <v>0</v>
      </c>
      <c r="I579" s="3">
        <v>0</v>
      </c>
      <c r="J579" s="3">
        <v>0</v>
      </c>
      <c r="K579" s="3">
        <f t="shared" si="21"/>
        <v>0</v>
      </c>
      <c r="L579" s="3"/>
      <c r="M579" s="3">
        <f t="shared" si="22"/>
        <v>0</v>
      </c>
      <c r="N579" t="s">
        <v>17551</v>
      </c>
      <c r="O579" s="5"/>
      <c r="S579" s="6"/>
    </row>
    <row r="580" spans="1:22" customFormat="1" x14ac:dyDescent="0.45">
      <c r="A580">
        <v>178759</v>
      </c>
      <c r="B580" t="s">
        <v>17552</v>
      </c>
      <c r="C580" t="s">
        <v>16331</v>
      </c>
      <c r="D580">
        <v>1</v>
      </c>
      <c r="E580" t="s">
        <v>16331</v>
      </c>
      <c r="F580" s="124"/>
      <c r="G580" s="7">
        <v>0</v>
      </c>
      <c r="H580" s="7">
        <v>0</v>
      </c>
      <c r="I580" s="7">
        <v>0</v>
      </c>
      <c r="J580" s="7">
        <v>0</v>
      </c>
      <c r="K580" s="3">
        <f t="shared" si="21"/>
        <v>0</v>
      </c>
      <c r="L580" s="3"/>
      <c r="M580" s="3">
        <f t="shared" si="22"/>
        <v>0</v>
      </c>
      <c r="O580" s="5"/>
      <c r="S580" s="6"/>
    </row>
    <row r="581" spans="1:22" customFormat="1" x14ac:dyDescent="0.45">
      <c r="A581">
        <v>178798</v>
      </c>
      <c r="B581" t="s">
        <v>17553</v>
      </c>
      <c r="C581" t="s">
        <v>16331</v>
      </c>
      <c r="D581">
        <v>1</v>
      </c>
      <c r="E581" t="s">
        <v>16331</v>
      </c>
      <c r="F581" s="124"/>
      <c r="G581" s="7">
        <v>0</v>
      </c>
      <c r="H581" s="7">
        <v>0</v>
      </c>
      <c r="I581" s="7">
        <v>0</v>
      </c>
      <c r="J581" s="7">
        <v>0</v>
      </c>
      <c r="K581" s="3">
        <f t="shared" si="21"/>
        <v>0</v>
      </c>
      <c r="L581" s="3"/>
      <c r="M581" s="3">
        <f t="shared" si="22"/>
        <v>0</v>
      </c>
      <c r="O581" s="5"/>
      <c r="S581" s="6"/>
    </row>
    <row r="582" spans="1:22" customFormat="1" x14ac:dyDescent="0.45">
      <c r="A582">
        <v>179077</v>
      </c>
      <c r="B582" t="s">
        <v>17554</v>
      </c>
      <c r="C582" t="s">
        <v>16331</v>
      </c>
      <c r="D582">
        <v>1</v>
      </c>
      <c r="E582" t="s">
        <v>16331</v>
      </c>
      <c r="F582" s="124"/>
      <c r="G582" s="7">
        <v>0</v>
      </c>
      <c r="H582" s="7">
        <v>0</v>
      </c>
      <c r="I582" s="7">
        <v>0</v>
      </c>
      <c r="J582" s="7">
        <v>0</v>
      </c>
      <c r="K582" s="3">
        <f t="shared" si="21"/>
        <v>0</v>
      </c>
      <c r="L582" s="3"/>
      <c r="M582" s="3">
        <f t="shared" si="22"/>
        <v>0</v>
      </c>
      <c r="O582" s="5"/>
      <c r="S582" s="6"/>
    </row>
    <row r="583" spans="1:22" customFormat="1" x14ac:dyDescent="0.45">
      <c r="A583">
        <v>179387</v>
      </c>
      <c r="B583" t="s">
        <v>17555</v>
      </c>
      <c r="C583" s="39" t="s">
        <v>17556</v>
      </c>
      <c r="D583">
        <v>1</v>
      </c>
      <c r="E583" t="s">
        <v>17557</v>
      </c>
      <c r="F583" s="124"/>
      <c r="K583" s="3">
        <f t="shared" si="21"/>
        <v>0</v>
      </c>
      <c r="L583" s="3"/>
      <c r="M583" s="3">
        <f t="shared" si="22"/>
        <v>0</v>
      </c>
      <c r="O583" s="5"/>
      <c r="S583" s="6"/>
    </row>
    <row r="584" spans="1:22" customFormat="1" x14ac:dyDescent="0.45">
      <c r="A584">
        <v>179391</v>
      </c>
      <c r="B584" t="s">
        <v>17558</v>
      </c>
      <c r="C584" t="s">
        <v>17559</v>
      </c>
      <c r="D584">
        <v>0</v>
      </c>
      <c r="E584" t="s">
        <v>16593</v>
      </c>
      <c r="F584" s="124"/>
      <c r="G584" s="7">
        <v>0</v>
      </c>
      <c r="H584" s="7">
        <v>0</v>
      </c>
      <c r="I584" s="7">
        <v>0</v>
      </c>
      <c r="J584" s="7">
        <v>0</v>
      </c>
      <c r="K584" s="3">
        <f t="shared" si="21"/>
        <v>0</v>
      </c>
      <c r="L584" s="3"/>
      <c r="M584" s="3">
        <f t="shared" si="22"/>
        <v>0</v>
      </c>
      <c r="N584" s="7"/>
      <c r="O584" s="5"/>
      <c r="S584" s="6"/>
    </row>
    <row r="585" spans="1:22" customFormat="1" x14ac:dyDescent="0.45">
      <c r="A585">
        <v>179731</v>
      </c>
      <c r="B585" t="s">
        <v>17560</v>
      </c>
      <c r="C585" t="s">
        <v>17561</v>
      </c>
      <c r="D585">
        <v>13</v>
      </c>
      <c r="F585" s="124"/>
      <c r="G585" s="7">
        <v>0</v>
      </c>
      <c r="H585" s="7">
        <v>0</v>
      </c>
      <c r="I585" s="7">
        <v>0</v>
      </c>
      <c r="J585" s="7">
        <v>0</v>
      </c>
      <c r="K585" s="3">
        <f t="shared" si="21"/>
        <v>0</v>
      </c>
      <c r="L585" s="3"/>
      <c r="M585" s="3">
        <f t="shared" si="22"/>
        <v>0</v>
      </c>
      <c r="N585" s="7"/>
      <c r="O585" s="5"/>
      <c r="S585" s="6"/>
    </row>
    <row r="586" spans="1:22" customFormat="1" x14ac:dyDescent="0.45">
      <c r="A586">
        <v>179752</v>
      </c>
      <c r="B586" t="s">
        <v>17562</v>
      </c>
      <c r="C586" t="s">
        <v>17563</v>
      </c>
      <c r="D586">
        <v>5</v>
      </c>
      <c r="F586" s="124"/>
      <c r="G586" s="7"/>
      <c r="H586" s="7"/>
      <c r="I586" s="7"/>
      <c r="J586" s="7"/>
      <c r="K586" s="3">
        <f t="shared" si="21"/>
        <v>0</v>
      </c>
      <c r="L586" s="3"/>
      <c r="M586" s="3">
        <f t="shared" si="22"/>
        <v>0</v>
      </c>
      <c r="O586" s="5"/>
      <c r="S586" s="6"/>
    </row>
    <row r="587" spans="1:22" customFormat="1" x14ac:dyDescent="0.45">
      <c r="A587">
        <v>179810</v>
      </c>
      <c r="B587" t="s">
        <v>17564</v>
      </c>
      <c r="C587" s="2" t="s">
        <v>17565</v>
      </c>
      <c r="D587">
        <v>6</v>
      </c>
      <c r="F587" s="124"/>
      <c r="G587" s="7">
        <v>0</v>
      </c>
      <c r="H587" s="7">
        <v>0</v>
      </c>
      <c r="I587" s="7">
        <v>0</v>
      </c>
      <c r="J587" s="7">
        <v>0</v>
      </c>
      <c r="K587" s="3">
        <f t="shared" si="21"/>
        <v>0</v>
      </c>
      <c r="L587" s="3"/>
      <c r="M587" s="3">
        <f t="shared" si="22"/>
        <v>0</v>
      </c>
      <c r="O587" s="5"/>
      <c r="S587" s="6"/>
    </row>
    <row r="588" spans="1:22" customFormat="1" x14ac:dyDescent="0.45">
      <c r="A588">
        <v>179854</v>
      </c>
      <c r="B588" t="s">
        <v>17566</v>
      </c>
      <c r="C588" t="s">
        <v>17567</v>
      </c>
      <c r="D588">
        <v>20</v>
      </c>
      <c r="E588" t="s">
        <v>16334</v>
      </c>
      <c r="F588" s="124"/>
      <c r="G588" s="7">
        <v>0</v>
      </c>
      <c r="H588" s="7">
        <v>0</v>
      </c>
      <c r="I588" s="7">
        <v>0</v>
      </c>
      <c r="J588" s="7">
        <v>0</v>
      </c>
      <c r="K588" s="3">
        <f t="shared" si="21"/>
        <v>0</v>
      </c>
      <c r="L588" s="3"/>
      <c r="M588" s="3">
        <f t="shared" si="22"/>
        <v>0</v>
      </c>
      <c r="N588" s="7"/>
      <c r="O588" s="5"/>
      <c r="S588" s="6"/>
    </row>
    <row r="589" spans="1:22" customFormat="1" x14ac:dyDescent="0.45">
      <c r="A589">
        <v>180309</v>
      </c>
      <c r="B589" t="s">
        <v>17568</v>
      </c>
      <c r="C589" t="s">
        <v>17569</v>
      </c>
      <c r="D589">
        <v>6</v>
      </c>
      <c r="F589" s="124"/>
      <c r="G589" s="7">
        <v>0</v>
      </c>
      <c r="H589" s="7">
        <v>0</v>
      </c>
      <c r="I589" s="7">
        <v>0</v>
      </c>
      <c r="J589" s="7">
        <v>0</v>
      </c>
      <c r="K589" s="3">
        <f t="shared" si="21"/>
        <v>0</v>
      </c>
      <c r="L589" s="3"/>
      <c r="M589" s="3">
        <f t="shared" si="22"/>
        <v>0</v>
      </c>
      <c r="N589" s="7"/>
      <c r="O589" s="5"/>
      <c r="S589" s="6"/>
    </row>
    <row r="590" spans="1:22" customFormat="1" x14ac:dyDescent="0.45">
      <c r="A590">
        <v>180344</v>
      </c>
      <c r="B590" t="s">
        <v>17570</v>
      </c>
      <c r="C590" t="s">
        <v>16331</v>
      </c>
      <c r="D590">
        <v>1</v>
      </c>
      <c r="E590" t="s">
        <v>16331</v>
      </c>
      <c r="F590" s="124"/>
      <c r="G590" s="7">
        <v>0</v>
      </c>
      <c r="H590" s="7">
        <v>0</v>
      </c>
      <c r="I590" s="7">
        <v>0</v>
      </c>
      <c r="J590" s="7">
        <v>0</v>
      </c>
      <c r="K590" s="3">
        <f t="shared" si="21"/>
        <v>0</v>
      </c>
      <c r="L590" s="3"/>
      <c r="M590" s="3">
        <f t="shared" si="22"/>
        <v>0</v>
      </c>
      <c r="O590" s="5"/>
      <c r="S590" s="6"/>
    </row>
    <row r="591" spans="1:22" x14ac:dyDescent="0.45">
      <c r="A591" s="124">
        <v>678847</v>
      </c>
      <c r="B591" s="124" t="s">
        <v>17571</v>
      </c>
      <c r="C591" s="124" t="s">
        <v>17572</v>
      </c>
      <c r="D591" s="124">
        <v>2</v>
      </c>
      <c r="E591" s="124" t="s">
        <v>16334</v>
      </c>
      <c r="F591" s="126">
        <v>1.6999999999999999E-3</v>
      </c>
      <c r="G591" s="126">
        <v>1.4999999999999999E-2</v>
      </c>
      <c r="H591" s="126">
        <v>0.01</v>
      </c>
      <c r="I591" s="127"/>
      <c r="J591" s="127"/>
      <c r="K591" s="126">
        <f t="shared" si="21"/>
        <v>2.5000000000000001E-2</v>
      </c>
      <c r="L591" s="3"/>
      <c r="M591" s="126">
        <f t="shared" si="22"/>
        <v>2.6700000000000002E-2</v>
      </c>
      <c r="O591" s="131" t="s">
        <v>17573</v>
      </c>
      <c r="P591" s="128" t="s">
        <v>26918</v>
      </c>
      <c r="Q591" s="124">
        <f>828233+210503</f>
        <v>1038736</v>
      </c>
      <c r="R591" s="124" t="s">
        <v>16348</v>
      </c>
      <c r="S591" s="132">
        <v>827585</v>
      </c>
      <c r="T591" s="129">
        <f>S591/Q591</f>
        <v>0.7967231327305494</v>
      </c>
      <c r="V591" s="125" t="s">
        <v>17574</v>
      </c>
    </row>
    <row r="592" spans="1:22" customFormat="1" x14ac:dyDescent="0.45">
      <c r="A592">
        <v>180892</v>
      </c>
      <c r="B592" t="s">
        <v>17575</v>
      </c>
      <c r="C592" t="s">
        <v>17576</v>
      </c>
      <c r="D592">
        <v>0</v>
      </c>
      <c r="E592" t="s">
        <v>16593</v>
      </c>
      <c r="F592" s="124"/>
      <c r="G592" s="3">
        <v>0</v>
      </c>
      <c r="H592" s="3">
        <v>0</v>
      </c>
      <c r="I592" s="3">
        <v>0</v>
      </c>
      <c r="J592" s="3">
        <v>0</v>
      </c>
      <c r="K592" s="3">
        <f t="shared" si="21"/>
        <v>0</v>
      </c>
      <c r="L592" s="3"/>
      <c r="M592" s="3">
        <f t="shared" si="22"/>
        <v>0</v>
      </c>
      <c r="O592" s="5"/>
      <c r="S592" s="6"/>
    </row>
    <row r="593" spans="1:22" customFormat="1" x14ac:dyDescent="0.45">
      <c r="A593">
        <v>181055</v>
      </c>
      <c r="B593" t="s">
        <v>17577</v>
      </c>
      <c r="C593" t="s">
        <v>17578</v>
      </c>
      <c r="D593">
        <v>0</v>
      </c>
      <c r="E593" t="s">
        <v>16561</v>
      </c>
      <c r="F593" s="124"/>
      <c r="G593" s="7">
        <v>0</v>
      </c>
      <c r="H593" s="7">
        <v>0</v>
      </c>
      <c r="I593" s="7">
        <v>0</v>
      </c>
      <c r="J593" s="7">
        <v>0</v>
      </c>
      <c r="K593" s="3">
        <f t="shared" si="21"/>
        <v>0</v>
      </c>
      <c r="L593" s="3"/>
      <c r="M593" s="3">
        <f t="shared" si="22"/>
        <v>0</v>
      </c>
      <c r="O593" s="5"/>
      <c r="S593" s="6"/>
    </row>
    <row r="594" spans="1:22" customFormat="1" x14ac:dyDescent="0.45">
      <c r="A594">
        <v>181142</v>
      </c>
      <c r="B594" t="s">
        <v>17579</v>
      </c>
      <c r="C594" t="s">
        <v>16331</v>
      </c>
      <c r="D594">
        <v>1</v>
      </c>
      <c r="E594" t="s">
        <v>16331</v>
      </c>
      <c r="F594" s="124"/>
      <c r="G594" s="7">
        <v>0</v>
      </c>
      <c r="H594" s="7">
        <v>0</v>
      </c>
      <c r="I594" s="7">
        <v>0</v>
      </c>
      <c r="J594" s="7">
        <v>0</v>
      </c>
      <c r="K594" s="3">
        <f t="shared" si="21"/>
        <v>0</v>
      </c>
      <c r="L594" s="3"/>
      <c r="M594" s="3">
        <f t="shared" si="22"/>
        <v>0</v>
      </c>
      <c r="O594" s="5"/>
      <c r="S594" s="6"/>
    </row>
    <row r="595" spans="1:22" customFormat="1" x14ac:dyDescent="0.45">
      <c r="A595">
        <v>181163</v>
      </c>
      <c r="B595" t="s">
        <v>17580</v>
      </c>
      <c r="C595" t="s">
        <v>16331</v>
      </c>
      <c r="D595">
        <v>0</v>
      </c>
      <c r="E595" t="s">
        <v>16331</v>
      </c>
      <c r="F595" s="124"/>
      <c r="G595" s="7">
        <v>0</v>
      </c>
      <c r="H595" s="7">
        <v>0</v>
      </c>
      <c r="I595" s="7">
        <v>0</v>
      </c>
      <c r="J595" s="7">
        <v>0</v>
      </c>
      <c r="K595" s="3">
        <f t="shared" si="21"/>
        <v>0</v>
      </c>
      <c r="L595" s="3"/>
      <c r="M595" s="3">
        <f t="shared" si="22"/>
        <v>0</v>
      </c>
      <c r="N595" s="7"/>
      <c r="O595" s="5"/>
      <c r="S595" s="6"/>
    </row>
    <row r="596" spans="1:22" customFormat="1" x14ac:dyDescent="0.45">
      <c r="A596">
        <v>181192</v>
      </c>
      <c r="B596" t="s">
        <v>17581</v>
      </c>
      <c r="C596" t="s">
        <v>17582</v>
      </c>
      <c r="D596">
        <v>5</v>
      </c>
      <c r="F596" s="124"/>
      <c r="G596" s="7">
        <v>0</v>
      </c>
      <c r="H596" s="7">
        <v>0</v>
      </c>
      <c r="I596" s="7">
        <v>0</v>
      </c>
      <c r="J596" s="7">
        <v>0</v>
      </c>
      <c r="K596" s="3">
        <f t="shared" si="21"/>
        <v>0</v>
      </c>
      <c r="L596" s="3"/>
      <c r="M596" s="3">
        <f t="shared" si="22"/>
        <v>0</v>
      </c>
      <c r="N596" s="7"/>
      <c r="O596" s="5"/>
      <c r="S596" s="6"/>
    </row>
    <row r="597" spans="1:22" customFormat="1" x14ac:dyDescent="0.45">
      <c r="A597">
        <v>181199</v>
      </c>
      <c r="B597" t="s">
        <v>17583</v>
      </c>
      <c r="C597" t="s">
        <v>17584</v>
      </c>
      <c r="D597">
        <v>2</v>
      </c>
      <c r="F597" s="124"/>
      <c r="G597" s="7">
        <v>0</v>
      </c>
      <c r="H597" s="7">
        <v>0</v>
      </c>
      <c r="I597" s="7">
        <v>0</v>
      </c>
      <c r="J597" s="7">
        <v>0</v>
      </c>
      <c r="K597" s="3">
        <f t="shared" si="21"/>
        <v>0</v>
      </c>
      <c r="L597" s="3"/>
      <c r="M597" s="3">
        <f t="shared" si="22"/>
        <v>0</v>
      </c>
      <c r="O597" s="5"/>
      <c r="S597" s="6"/>
    </row>
    <row r="598" spans="1:22" customFormat="1" x14ac:dyDescent="0.45">
      <c r="A598">
        <v>181210</v>
      </c>
      <c r="B598" t="s">
        <v>17585</v>
      </c>
      <c r="C598" t="s">
        <v>17586</v>
      </c>
      <c r="D598">
        <v>3</v>
      </c>
      <c r="F598" s="124"/>
      <c r="G598" s="7">
        <v>0</v>
      </c>
      <c r="H598" s="7">
        <v>0</v>
      </c>
      <c r="I598" s="7">
        <v>0</v>
      </c>
      <c r="J598" s="7">
        <v>0</v>
      </c>
      <c r="K598" s="3">
        <f t="shared" si="21"/>
        <v>0</v>
      </c>
      <c r="L598" s="3"/>
      <c r="M598" s="3">
        <f t="shared" si="22"/>
        <v>0</v>
      </c>
      <c r="O598" s="5"/>
      <c r="S598" s="6"/>
    </row>
    <row r="599" spans="1:22" customFormat="1" x14ac:dyDescent="0.45">
      <c r="A599">
        <v>181655</v>
      </c>
      <c r="B599" t="s">
        <v>17587</v>
      </c>
      <c r="C599" t="s">
        <v>17588</v>
      </c>
      <c r="D599">
        <v>0</v>
      </c>
      <c r="E599" t="s">
        <v>16561</v>
      </c>
      <c r="F599" s="124"/>
      <c r="K599" s="3">
        <f t="shared" si="21"/>
        <v>0</v>
      </c>
      <c r="L599" s="3"/>
      <c r="M599" s="3">
        <f t="shared" si="22"/>
        <v>0</v>
      </c>
      <c r="O599" s="5"/>
      <c r="S599" s="6"/>
    </row>
    <row r="600" spans="1:22" customFormat="1" x14ac:dyDescent="0.45">
      <c r="A600">
        <v>181703</v>
      </c>
      <c r="B600" t="s">
        <v>17589</v>
      </c>
      <c r="C600" t="s">
        <v>16331</v>
      </c>
      <c r="D600">
        <v>1</v>
      </c>
      <c r="E600" t="s">
        <v>16331</v>
      </c>
      <c r="F600" s="124"/>
      <c r="G600" s="7">
        <v>0</v>
      </c>
      <c r="H600" s="7">
        <v>0</v>
      </c>
      <c r="I600" s="7">
        <v>0</v>
      </c>
      <c r="J600" s="7">
        <v>0</v>
      </c>
      <c r="K600" s="3">
        <f t="shared" ref="K600:K621" si="23">SUM(G600:J600)</f>
        <v>0</v>
      </c>
      <c r="L600" s="3"/>
      <c r="M600" s="3">
        <f t="shared" si="22"/>
        <v>0</v>
      </c>
      <c r="O600" s="5"/>
      <c r="S600" s="6"/>
    </row>
    <row r="601" spans="1:22" x14ac:dyDescent="0.45">
      <c r="A601" s="124">
        <v>169628</v>
      </c>
      <c r="B601" s="124" t="s">
        <v>17590</v>
      </c>
      <c r="C601" s="124" t="s">
        <v>17591</v>
      </c>
      <c r="D601" s="124">
        <v>328</v>
      </c>
      <c r="E601" s="124" t="s">
        <v>16417</v>
      </c>
      <c r="F601" s="126">
        <v>0.01</v>
      </c>
      <c r="G601" s="126">
        <v>1.7500000000000002E-2</v>
      </c>
      <c r="H601" s="126">
        <v>6.4999999999999997E-3</v>
      </c>
      <c r="I601" s="127">
        <v>0</v>
      </c>
      <c r="J601" s="127">
        <v>0</v>
      </c>
      <c r="K601" s="126">
        <f t="shared" si="23"/>
        <v>2.4E-2</v>
      </c>
      <c r="L601" s="3"/>
      <c r="M601" s="126">
        <f t="shared" si="22"/>
        <v>3.4000000000000002E-2</v>
      </c>
      <c r="N601" s="124" t="s">
        <v>17592</v>
      </c>
      <c r="O601" s="125" t="s">
        <v>17593</v>
      </c>
      <c r="Q601" s="130">
        <v>331084000000</v>
      </c>
      <c r="R601" s="130" t="s">
        <v>16</v>
      </c>
      <c r="S601" s="130">
        <v>16230000000</v>
      </c>
      <c r="T601" s="129">
        <f>S601/Q601</f>
        <v>4.9020792306484158E-2</v>
      </c>
      <c r="U601" s="130"/>
      <c r="V601" s="125" t="s">
        <v>17594</v>
      </c>
    </row>
    <row r="602" spans="1:22" customFormat="1" x14ac:dyDescent="0.45">
      <c r="A602">
        <v>181769</v>
      </c>
      <c r="B602" t="s">
        <v>17595</v>
      </c>
      <c r="C602" t="s">
        <v>16331</v>
      </c>
      <c r="D602">
        <v>1</v>
      </c>
      <c r="E602" t="s">
        <v>16331</v>
      </c>
      <c r="F602" s="124"/>
      <c r="G602" s="7">
        <v>0</v>
      </c>
      <c r="H602" s="7">
        <v>0</v>
      </c>
      <c r="I602" s="7">
        <v>0</v>
      </c>
      <c r="J602" s="7">
        <v>0</v>
      </c>
      <c r="K602" s="3">
        <f t="shared" si="23"/>
        <v>0</v>
      </c>
      <c r="L602" s="3"/>
      <c r="M602" s="3">
        <f t="shared" si="22"/>
        <v>0</v>
      </c>
      <c r="O602" s="5"/>
      <c r="S602" s="6"/>
    </row>
    <row r="603" spans="1:22" customFormat="1" x14ac:dyDescent="0.45">
      <c r="A603">
        <v>181905</v>
      </c>
      <c r="B603" t="s">
        <v>17596</v>
      </c>
      <c r="C603" t="s">
        <v>16331</v>
      </c>
      <c r="D603">
        <v>1</v>
      </c>
      <c r="E603" t="s">
        <v>16331</v>
      </c>
      <c r="F603" s="124"/>
      <c r="G603" s="7">
        <v>0</v>
      </c>
      <c r="H603" s="7">
        <v>0</v>
      </c>
      <c r="I603" s="7">
        <v>0</v>
      </c>
      <c r="J603" s="7">
        <v>0</v>
      </c>
      <c r="K603" s="3">
        <f t="shared" si="23"/>
        <v>0</v>
      </c>
      <c r="L603" s="3"/>
      <c r="M603" s="3">
        <f t="shared" si="22"/>
        <v>0</v>
      </c>
      <c r="N603" s="7"/>
      <c r="O603" s="5"/>
      <c r="S603" s="6"/>
    </row>
    <row r="604" spans="1:22" customFormat="1" x14ac:dyDescent="0.45">
      <c r="A604">
        <v>182023</v>
      </c>
      <c r="B604" t="s">
        <v>17597</v>
      </c>
      <c r="C604" t="s">
        <v>16331</v>
      </c>
      <c r="D604">
        <v>9</v>
      </c>
      <c r="E604" t="s">
        <v>16331</v>
      </c>
      <c r="F604" s="124"/>
      <c r="K604" s="3">
        <f t="shared" si="23"/>
        <v>0</v>
      </c>
      <c r="L604" s="3"/>
      <c r="M604" s="3">
        <f t="shared" si="22"/>
        <v>0</v>
      </c>
      <c r="O604" s="5"/>
      <c r="S604" s="6"/>
    </row>
    <row r="605" spans="1:22" customFormat="1" x14ac:dyDescent="0.45">
      <c r="A605">
        <v>182032</v>
      </c>
      <c r="B605" t="s">
        <v>17598</v>
      </c>
      <c r="C605" t="s">
        <v>17599</v>
      </c>
      <c r="D605">
        <v>7</v>
      </c>
      <c r="E605" t="s">
        <v>16334</v>
      </c>
      <c r="F605" s="124"/>
      <c r="G605" s="7">
        <v>0</v>
      </c>
      <c r="H605" s="7">
        <v>0</v>
      </c>
      <c r="I605" s="7">
        <v>0</v>
      </c>
      <c r="J605" s="7">
        <v>0</v>
      </c>
      <c r="K605" s="3">
        <f t="shared" si="23"/>
        <v>0</v>
      </c>
      <c r="L605" s="3"/>
      <c r="M605" s="3">
        <f t="shared" si="22"/>
        <v>0</v>
      </c>
      <c r="O605" s="5"/>
      <c r="S605" s="6"/>
    </row>
    <row r="606" spans="1:22" customFormat="1" x14ac:dyDescent="0.45">
      <c r="A606">
        <v>182082</v>
      </c>
      <c r="B606" t="s">
        <v>17600</v>
      </c>
      <c r="C606" t="s">
        <v>16331</v>
      </c>
      <c r="D606">
        <v>3</v>
      </c>
      <c r="E606" t="s">
        <v>16331</v>
      </c>
      <c r="F606" s="124"/>
      <c r="G606" s="7">
        <v>0</v>
      </c>
      <c r="H606" s="7">
        <v>0</v>
      </c>
      <c r="I606" s="7">
        <v>0</v>
      </c>
      <c r="J606" s="7">
        <v>0</v>
      </c>
      <c r="K606" s="3">
        <f t="shared" si="23"/>
        <v>0</v>
      </c>
      <c r="L606" s="3"/>
      <c r="M606" s="3">
        <f t="shared" si="22"/>
        <v>0</v>
      </c>
      <c r="O606" s="5"/>
      <c r="S606" s="6"/>
    </row>
    <row r="607" spans="1:22" customFormat="1" x14ac:dyDescent="0.45">
      <c r="A607">
        <v>182101</v>
      </c>
      <c r="B607" t="s">
        <v>17601</v>
      </c>
      <c r="C607" t="s">
        <v>16331</v>
      </c>
      <c r="D607">
        <v>0</v>
      </c>
      <c r="E607" t="s">
        <v>16331</v>
      </c>
      <c r="F607" s="124"/>
      <c r="G607" s="7">
        <v>0</v>
      </c>
      <c r="H607" s="7">
        <v>0</v>
      </c>
      <c r="I607" s="7">
        <v>0</v>
      </c>
      <c r="J607" s="7">
        <v>0</v>
      </c>
      <c r="K607" s="3">
        <f t="shared" si="23"/>
        <v>0</v>
      </c>
      <c r="L607" s="3"/>
      <c r="M607" s="3">
        <f t="shared" si="22"/>
        <v>0</v>
      </c>
      <c r="O607" s="5"/>
      <c r="S607" s="6"/>
    </row>
    <row r="608" spans="1:22" customFormat="1" x14ac:dyDescent="0.45">
      <c r="A608">
        <v>182142</v>
      </c>
      <c r="B608" t="s">
        <v>17602</v>
      </c>
      <c r="C608" t="s">
        <v>16331</v>
      </c>
      <c r="D608">
        <v>6</v>
      </c>
      <c r="E608" t="s">
        <v>16331</v>
      </c>
      <c r="F608" s="124"/>
      <c r="G608" s="7">
        <v>0</v>
      </c>
      <c r="H608" s="7">
        <v>0</v>
      </c>
      <c r="I608" s="7">
        <v>0</v>
      </c>
      <c r="J608" s="7">
        <v>0</v>
      </c>
      <c r="K608" s="3">
        <f t="shared" si="23"/>
        <v>0</v>
      </c>
      <c r="L608" s="3"/>
      <c r="M608" s="3">
        <f t="shared" si="22"/>
        <v>0</v>
      </c>
      <c r="O608" s="5"/>
      <c r="S608" s="6"/>
    </row>
    <row r="609" spans="1:23" customFormat="1" x14ac:dyDescent="0.45">
      <c r="A609">
        <v>182357</v>
      </c>
      <c r="B609" t="s">
        <v>17603</v>
      </c>
      <c r="C609" t="s">
        <v>17604</v>
      </c>
      <c r="D609">
        <v>3</v>
      </c>
      <c r="E609" t="s">
        <v>16334</v>
      </c>
      <c r="F609" s="124"/>
      <c r="G609" s="7">
        <v>0</v>
      </c>
      <c r="H609" s="7">
        <v>0</v>
      </c>
      <c r="I609" s="7">
        <v>0</v>
      </c>
      <c r="J609" s="7">
        <v>0</v>
      </c>
      <c r="K609" s="3">
        <f t="shared" si="23"/>
        <v>0</v>
      </c>
      <c r="L609" s="3"/>
      <c r="M609" s="3">
        <f t="shared" si="22"/>
        <v>0</v>
      </c>
      <c r="N609" s="7"/>
      <c r="O609" s="5"/>
      <c r="S609" s="6"/>
    </row>
    <row r="610" spans="1:23" customFormat="1" x14ac:dyDescent="0.45">
      <c r="A610">
        <v>182363</v>
      </c>
      <c r="B610" t="s">
        <v>17605</v>
      </c>
      <c r="C610" t="s">
        <v>17606</v>
      </c>
      <c r="D610">
        <v>3</v>
      </c>
      <c r="E610" t="s">
        <v>16334</v>
      </c>
      <c r="F610" s="124"/>
      <c r="G610" s="7">
        <v>0</v>
      </c>
      <c r="H610" s="7">
        <v>0</v>
      </c>
      <c r="I610" s="7">
        <v>0</v>
      </c>
      <c r="J610" s="7">
        <v>0</v>
      </c>
      <c r="K610" s="3">
        <f t="shared" si="23"/>
        <v>0</v>
      </c>
      <c r="L610" s="3"/>
      <c r="M610" s="3">
        <f t="shared" si="22"/>
        <v>0</v>
      </c>
      <c r="O610" s="5"/>
      <c r="S610" s="6"/>
    </row>
    <row r="611" spans="1:23" customFormat="1" x14ac:dyDescent="0.45">
      <c r="A611">
        <v>182554</v>
      </c>
      <c r="B611" t="s">
        <v>17607</v>
      </c>
      <c r="C611" t="s">
        <v>17608</v>
      </c>
      <c r="D611">
        <v>2</v>
      </c>
      <c r="E611" t="s">
        <v>16334</v>
      </c>
      <c r="F611" s="124"/>
      <c r="G611" s="3">
        <v>0</v>
      </c>
      <c r="H611" s="3">
        <v>0</v>
      </c>
      <c r="I611" s="3">
        <v>0</v>
      </c>
      <c r="J611" s="3">
        <v>0</v>
      </c>
      <c r="K611" s="3">
        <f t="shared" si="23"/>
        <v>0</v>
      </c>
      <c r="L611" s="3"/>
      <c r="M611" s="3">
        <f t="shared" si="22"/>
        <v>0</v>
      </c>
      <c r="O611" s="5"/>
      <c r="S611" s="6"/>
    </row>
    <row r="612" spans="1:23" customFormat="1" x14ac:dyDescent="0.45">
      <c r="A612">
        <v>182644</v>
      </c>
      <c r="B612" t="s">
        <v>17609</v>
      </c>
      <c r="C612" t="s">
        <v>17610</v>
      </c>
      <c r="D612">
        <v>33</v>
      </c>
      <c r="E612" t="s">
        <v>16334</v>
      </c>
      <c r="F612" s="124"/>
      <c r="G612" s="7">
        <v>0</v>
      </c>
      <c r="H612" s="7">
        <v>0</v>
      </c>
      <c r="I612" s="7">
        <v>0</v>
      </c>
      <c r="J612" s="7">
        <v>0</v>
      </c>
      <c r="K612" s="3">
        <f t="shared" si="23"/>
        <v>0</v>
      </c>
      <c r="L612" s="3"/>
      <c r="M612" s="3">
        <f t="shared" si="22"/>
        <v>0</v>
      </c>
      <c r="N612" s="7"/>
      <c r="O612" s="5"/>
      <c r="S612" s="6"/>
    </row>
    <row r="613" spans="1:23" customFormat="1" x14ac:dyDescent="0.45">
      <c r="A613">
        <v>182703</v>
      </c>
      <c r="B613" t="s">
        <v>17611</v>
      </c>
      <c r="C613" t="s">
        <v>17178</v>
      </c>
      <c r="D613">
        <v>8</v>
      </c>
      <c r="E613" t="s">
        <v>16334</v>
      </c>
      <c r="F613" s="124"/>
      <c r="G613" s="3">
        <v>0</v>
      </c>
      <c r="H613" s="3">
        <v>0</v>
      </c>
      <c r="I613" s="3">
        <v>0</v>
      </c>
      <c r="J613" s="3">
        <v>0</v>
      </c>
      <c r="K613" s="3">
        <f t="shared" si="23"/>
        <v>0</v>
      </c>
      <c r="L613" s="3"/>
      <c r="M613" s="3">
        <f t="shared" si="22"/>
        <v>0</v>
      </c>
      <c r="O613" s="5"/>
      <c r="S613" s="6"/>
    </row>
    <row r="614" spans="1:23" customFormat="1" x14ac:dyDescent="0.45">
      <c r="A614">
        <v>182762</v>
      </c>
      <c r="B614" t="s">
        <v>17612</v>
      </c>
      <c r="C614" t="s">
        <v>17613</v>
      </c>
      <c r="D614">
        <v>0</v>
      </c>
      <c r="E614" t="s">
        <v>16561</v>
      </c>
      <c r="F614" s="124"/>
      <c r="G614" s="7">
        <v>0</v>
      </c>
      <c r="H614" s="3">
        <v>0</v>
      </c>
      <c r="I614" s="3">
        <v>0</v>
      </c>
      <c r="J614">
        <v>0</v>
      </c>
      <c r="K614" s="3">
        <f t="shared" si="23"/>
        <v>0</v>
      </c>
      <c r="L614" s="3"/>
      <c r="M614" s="3">
        <f t="shared" ref="M614:M621" si="24">K614+F614</f>
        <v>0</v>
      </c>
      <c r="O614" s="5"/>
      <c r="S614" s="6"/>
    </row>
    <row r="615" spans="1:23" customFormat="1" x14ac:dyDescent="0.45">
      <c r="A615">
        <v>183041</v>
      </c>
      <c r="B615" t="s">
        <v>17614</v>
      </c>
      <c r="C615" t="s">
        <v>16331</v>
      </c>
      <c r="D615">
        <v>0</v>
      </c>
      <c r="E615" t="s">
        <v>16331</v>
      </c>
      <c r="F615" s="124"/>
      <c r="G615" s="7">
        <v>0</v>
      </c>
      <c r="H615" s="7">
        <v>0</v>
      </c>
      <c r="I615" s="7">
        <v>0</v>
      </c>
      <c r="J615" s="7">
        <v>0</v>
      </c>
      <c r="K615" s="3">
        <f t="shared" si="23"/>
        <v>0</v>
      </c>
      <c r="L615" s="3"/>
      <c r="M615" s="3">
        <f t="shared" si="24"/>
        <v>0</v>
      </c>
      <c r="O615" s="5"/>
      <c r="S615" s="6"/>
    </row>
    <row r="616" spans="1:23" customFormat="1" x14ac:dyDescent="0.45">
      <c r="A616">
        <v>183100</v>
      </c>
      <c r="B616" t="s">
        <v>17615</v>
      </c>
      <c r="C616" t="s">
        <v>16685</v>
      </c>
      <c r="D616">
        <v>0</v>
      </c>
      <c r="E616" t="s">
        <v>16561</v>
      </c>
      <c r="F616" s="124"/>
      <c r="G616" s="7">
        <v>0</v>
      </c>
      <c r="H616" s="7">
        <v>0</v>
      </c>
      <c r="I616" s="7">
        <v>0</v>
      </c>
      <c r="J616" s="7">
        <v>0</v>
      </c>
      <c r="K616" s="3">
        <f t="shared" si="23"/>
        <v>0</v>
      </c>
      <c r="L616" s="3"/>
      <c r="M616" s="3">
        <f t="shared" si="24"/>
        <v>0</v>
      </c>
      <c r="N616" s="7"/>
      <c r="O616" s="5"/>
      <c r="S616" s="6"/>
    </row>
    <row r="617" spans="1:23" customFormat="1" x14ac:dyDescent="0.45">
      <c r="A617">
        <v>183101</v>
      </c>
      <c r="B617" t="s">
        <v>17616</v>
      </c>
      <c r="C617" t="s">
        <v>16331</v>
      </c>
      <c r="D617">
        <v>1</v>
      </c>
      <c r="E617" t="s">
        <v>16331</v>
      </c>
      <c r="F617" s="124"/>
      <c r="G617" s="7">
        <v>0</v>
      </c>
      <c r="H617" s="7">
        <v>0</v>
      </c>
      <c r="I617" s="7">
        <v>0</v>
      </c>
      <c r="J617" s="7">
        <v>0</v>
      </c>
      <c r="K617" s="3">
        <f t="shared" si="23"/>
        <v>0</v>
      </c>
      <c r="L617" s="3"/>
      <c r="M617" s="3">
        <f t="shared" si="24"/>
        <v>0</v>
      </c>
      <c r="O617" s="5"/>
      <c r="S617" s="6"/>
    </row>
    <row r="618" spans="1:23" customFormat="1" x14ac:dyDescent="0.45">
      <c r="A618">
        <v>183210</v>
      </c>
      <c r="B618" t="s">
        <v>17617</v>
      </c>
      <c r="C618" t="s">
        <v>17618</v>
      </c>
      <c r="D618">
        <v>7</v>
      </c>
      <c r="F618" s="124"/>
      <c r="G618" s="7">
        <v>0</v>
      </c>
      <c r="H618" s="7">
        <v>0</v>
      </c>
      <c r="I618" s="7">
        <v>0</v>
      </c>
      <c r="J618" s="7">
        <v>0</v>
      </c>
      <c r="K618" s="3">
        <f t="shared" si="23"/>
        <v>0</v>
      </c>
      <c r="L618" s="3"/>
      <c r="M618" s="3">
        <f t="shared" si="24"/>
        <v>0</v>
      </c>
      <c r="O618" s="5"/>
      <c r="S618" s="6"/>
    </row>
    <row r="619" spans="1:23" customFormat="1" x14ac:dyDescent="0.45">
      <c r="A619">
        <v>183524</v>
      </c>
      <c r="B619" t="s">
        <v>17619</v>
      </c>
      <c r="C619" t="s">
        <v>17620</v>
      </c>
      <c r="D619">
        <v>3</v>
      </c>
      <c r="E619" t="s">
        <v>17621</v>
      </c>
      <c r="F619" s="124"/>
      <c r="G619" s="7">
        <v>0</v>
      </c>
      <c r="H619" s="7">
        <v>0</v>
      </c>
      <c r="I619" s="7">
        <v>0</v>
      </c>
      <c r="J619" s="7">
        <v>0</v>
      </c>
      <c r="K619" s="3">
        <f t="shared" si="23"/>
        <v>0</v>
      </c>
      <c r="L619" s="3"/>
      <c r="M619" s="3">
        <f t="shared" si="24"/>
        <v>0</v>
      </c>
      <c r="O619" s="2" t="s">
        <v>16501</v>
      </c>
      <c r="S619" s="6"/>
    </row>
    <row r="620" spans="1:23" x14ac:dyDescent="0.45">
      <c r="A620" s="124">
        <v>124444</v>
      </c>
      <c r="B620" s="124" t="s">
        <v>17622</v>
      </c>
      <c r="C620" s="125" t="s">
        <v>17623</v>
      </c>
      <c r="D620" s="124">
        <v>455</v>
      </c>
      <c r="E620" s="124" t="s">
        <v>16417</v>
      </c>
      <c r="F620" s="126">
        <v>3.0000000000000001E-3</v>
      </c>
      <c r="G620" s="126">
        <f>((((1.25*15000)+(1*85000))/100000)/100)+0.5%</f>
        <v>1.5375E-2</v>
      </c>
      <c r="H620" s="137">
        <v>0.01</v>
      </c>
      <c r="I620" s="127">
        <v>0</v>
      </c>
      <c r="J620" s="127">
        <v>0</v>
      </c>
      <c r="K620" s="126">
        <f t="shared" si="23"/>
        <v>2.5375000000000002E-2</v>
      </c>
      <c r="L620" s="3"/>
      <c r="M620" s="126">
        <f t="shared" si="24"/>
        <v>2.8375000000000001E-2</v>
      </c>
      <c r="N620" s="135"/>
      <c r="O620" s="125" t="s">
        <v>17624</v>
      </c>
      <c r="P620" s="125" t="s">
        <v>17625</v>
      </c>
      <c r="Q620" s="130">
        <v>600380000</v>
      </c>
      <c r="R620" s="124" t="s">
        <v>16</v>
      </c>
      <c r="S620" s="130">
        <v>290811000</v>
      </c>
      <c r="T620" s="129">
        <f>S620/Q620</f>
        <v>0.48437822712282219</v>
      </c>
      <c r="V620" s="125" t="s">
        <v>17626</v>
      </c>
    </row>
    <row r="621" spans="1:23" x14ac:dyDescent="0.45">
      <c r="A621" s="124">
        <v>124412</v>
      </c>
      <c r="B621" s="124" t="s">
        <v>17627</v>
      </c>
      <c r="C621" s="124" t="s">
        <v>17628</v>
      </c>
      <c r="D621" s="124">
        <v>217</v>
      </c>
      <c r="E621" s="124" t="s">
        <v>16417</v>
      </c>
      <c r="F621" s="126">
        <v>6.4999999999999997E-3</v>
      </c>
      <c r="G621" s="126">
        <v>2.6499999999999999E-2</v>
      </c>
      <c r="H621" s="126">
        <v>5.0000000000000001E-3</v>
      </c>
      <c r="I621" s="127">
        <v>0</v>
      </c>
      <c r="J621" s="127">
        <v>0</v>
      </c>
      <c r="K621" s="126">
        <f t="shared" si="23"/>
        <v>3.15E-2</v>
      </c>
      <c r="L621" s="3"/>
      <c r="M621" s="126">
        <f t="shared" si="24"/>
        <v>3.7999999999999999E-2</v>
      </c>
      <c r="N621" s="135"/>
      <c r="O621" s="125" t="s">
        <v>17629</v>
      </c>
      <c r="P621" s="125" t="s">
        <v>17630</v>
      </c>
      <c r="Q621" s="130">
        <v>300452000</v>
      </c>
      <c r="R621" s="124" t="s">
        <v>16348</v>
      </c>
      <c r="S621" s="130">
        <v>118925000</v>
      </c>
      <c r="T621" s="129">
        <f>S621/Q621</f>
        <v>0.39582029741855607</v>
      </c>
      <c r="V621" s="125" t="s">
        <v>17631</v>
      </c>
    </row>
    <row r="622" spans="1:23" customFormat="1" x14ac:dyDescent="0.45">
      <c r="A622">
        <v>184333</v>
      </c>
      <c r="B622" t="s">
        <v>17632</v>
      </c>
      <c r="C622" t="s">
        <v>17633</v>
      </c>
      <c r="D622">
        <v>0</v>
      </c>
      <c r="E622" t="s">
        <v>17634</v>
      </c>
      <c r="F622" s="126">
        <v>0</v>
      </c>
      <c r="I622" s="3">
        <v>0</v>
      </c>
      <c r="J622" s="4"/>
      <c r="K622" s="3">
        <v>0</v>
      </c>
      <c r="L622" s="3"/>
      <c r="M622" s="3">
        <v>0</v>
      </c>
      <c r="N622" t="s">
        <v>17635</v>
      </c>
      <c r="O622" s="5"/>
      <c r="S622" s="6"/>
    </row>
    <row r="623" spans="1:23" customFormat="1" x14ac:dyDescent="0.45">
      <c r="A623">
        <v>184451</v>
      </c>
      <c r="B623" t="s">
        <v>17636</v>
      </c>
      <c r="C623" t="s">
        <v>17637</v>
      </c>
      <c r="D623">
        <v>6</v>
      </c>
      <c r="F623" s="124"/>
      <c r="G623" s="7">
        <v>0</v>
      </c>
      <c r="H623" s="7">
        <v>0</v>
      </c>
      <c r="I623" s="7">
        <v>0</v>
      </c>
      <c r="J623" s="7">
        <v>0</v>
      </c>
      <c r="K623" s="3">
        <f t="shared" ref="K623:K686" si="25">SUM(G623:J623)</f>
        <v>0</v>
      </c>
      <c r="L623" s="3"/>
      <c r="M623" s="3">
        <f t="shared" ref="M623:M686" si="26">K623+F623</f>
        <v>0</v>
      </c>
      <c r="N623" s="7"/>
      <c r="O623" s="5"/>
      <c r="S623" s="6"/>
    </row>
    <row r="624" spans="1:23" x14ac:dyDescent="0.45">
      <c r="A624" s="124">
        <v>610181</v>
      </c>
      <c r="B624" s="124" t="s">
        <v>17638</v>
      </c>
      <c r="C624" s="124" t="s">
        <v>17639</v>
      </c>
      <c r="D624" s="124">
        <v>15</v>
      </c>
      <c r="E624" s="124" t="s">
        <v>16334</v>
      </c>
      <c r="F624" s="126">
        <v>1.6999999999999999E-3</v>
      </c>
      <c r="G624" s="126">
        <v>0.04</v>
      </c>
      <c r="H624" s="126">
        <v>3.4250000000000003E-2</v>
      </c>
      <c r="I624" s="127">
        <v>0</v>
      </c>
      <c r="J624" s="127">
        <v>0</v>
      </c>
      <c r="K624" s="126">
        <f t="shared" si="25"/>
        <v>7.425000000000001E-2</v>
      </c>
      <c r="L624" s="3"/>
      <c r="M624" s="126">
        <f t="shared" si="26"/>
        <v>7.5950000000000004E-2</v>
      </c>
      <c r="N624" s="124" t="s">
        <v>17640</v>
      </c>
      <c r="O624" s="131" t="s">
        <v>17641</v>
      </c>
      <c r="P624" s="128" t="s">
        <v>26918</v>
      </c>
      <c r="Q624" s="124">
        <f>279392+13050</f>
        <v>292442</v>
      </c>
      <c r="R624" s="124" t="s">
        <v>16348</v>
      </c>
      <c r="S624" s="132">
        <v>122045</v>
      </c>
      <c r="T624" s="129">
        <f>S624/Q624</f>
        <v>0.41733061598539195</v>
      </c>
      <c r="V624" s="125" t="s">
        <v>17642</v>
      </c>
      <c r="W624" s="124" t="s">
        <v>17021</v>
      </c>
    </row>
    <row r="625" spans="1:22" customFormat="1" x14ac:dyDescent="0.45">
      <c r="A625">
        <v>184595</v>
      </c>
      <c r="B625" t="s">
        <v>17643</v>
      </c>
      <c r="C625" t="s">
        <v>17644</v>
      </c>
      <c r="D625">
        <v>7</v>
      </c>
      <c r="F625" s="124"/>
      <c r="G625" s="7">
        <v>0</v>
      </c>
      <c r="H625" s="7">
        <v>0</v>
      </c>
      <c r="I625" s="7">
        <v>0</v>
      </c>
      <c r="J625" s="7">
        <v>0</v>
      </c>
      <c r="K625" s="3">
        <f t="shared" si="25"/>
        <v>0</v>
      </c>
      <c r="L625" s="3"/>
      <c r="M625" s="3">
        <f t="shared" si="26"/>
        <v>0</v>
      </c>
      <c r="O625" s="5"/>
      <c r="S625" s="6"/>
    </row>
    <row r="626" spans="1:22" customFormat="1" x14ac:dyDescent="0.45">
      <c r="A626">
        <v>184711</v>
      </c>
      <c r="B626" t="s">
        <v>17645</v>
      </c>
      <c r="C626" t="s">
        <v>17646</v>
      </c>
      <c r="D626">
        <v>4</v>
      </c>
      <c r="E626" t="s">
        <v>16561</v>
      </c>
      <c r="F626" s="124"/>
      <c r="K626" s="3">
        <f t="shared" si="25"/>
        <v>0</v>
      </c>
      <c r="L626" s="3"/>
      <c r="M626" s="3">
        <f t="shared" si="26"/>
        <v>0</v>
      </c>
      <c r="O626" s="5"/>
      <c r="S626" s="6"/>
    </row>
    <row r="627" spans="1:22" customFormat="1" x14ac:dyDescent="0.45">
      <c r="A627">
        <v>184753</v>
      </c>
      <c r="B627" t="s">
        <v>17647</v>
      </c>
      <c r="C627" t="s">
        <v>17648</v>
      </c>
      <c r="D627">
        <v>0</v>
      </c>
      <c r="E627" t="s">
        <v>16561</v>
      </c>
      <c r="F627" s="124"/>
      <c r="G627" s="3">
        <v>0</v>
      </c>
      <c r="H627" s="3">
        <v>0</v>
      </c>
      <c r="I627" s="3">
        <v>0</v>
      </c>
      <c r="J627" s="3">
        <v>0</v>
      </c>
      <c r="K627" s="3">
        <f t="shared" si="25"/>
        <v>0</v>
      </c>
      <c r="L627" s="3"/>
      <c r="M627" s="3">
        <f t="shared" si="26"/>
        <v>0</v>
      </c>
      <c r="O627" s="5"/>
      <c r="S627" s="6"/>
    </row>
    <row r="628" spans="1:22" customFormat="1" x14ac:dyDescent="0.45">
      <c r="A628">
        <v>184758</v>
      </c>
      <c r="B628" t="s">
        <v>17649</v>
      </c>
      <c r="C628" t="s">
        <v>17650</v>
      </c>
      <c r="D628">
        <v>1</v>
      </c>
      <c r="F628" s="124"/>
      <c r="G628" s="7">
        <v>0</v>
      </c>
      <c r="H628" s="7">
        <v>0</v>
      </c>
      <c r="I628" s="7">
        <v>0</v>
      </c>
      <c r="J628" s="7">
        <v>0</v>
      </c>
      <c r="K628" s="3">
        <f t="shared" si="25"/>
        <v>0</v>
      </c>
      <c r="L628" s="3"/>
      <c r="M628" s="3">
        <f t="shared" si="26"/>
        <v>0</v>
      </c>
      <c r="O628" s="5"/>
      <c r="S628" s="6"/>
    </row>
    <row r="629" spans="1:22" customFormat="1" x14ac:dyDescent="0.45">
      <c r="A629">
        <v>184918</v>
      </c>
      <c r="B629" t="s">
        <v>17651</v>
      </c>
      <c r="C629" t="s">
        <v>17652</v>
      </c>
      <c r="D629">
        <v>56</v>
      </c>
      <c r="E629" t="s">
        <v>16417</v>
      </c>
      <c r="F629" s="124"/>
      <c r="G629" s="7">
        <v>0</v>
      </c>
      <c r="H629" s="7">
        <v>0</v>
      </c>
      <c r="I629" s="7">
        <v>0</v>
      </c>
      <c r="J629" s="7">
        <v>0</v>
      </c>
      <c r="K629" s="3">
        <f t="shared" si="25"/>
        <v>0</v>
      </c>
      <c r="L629" s="3"/>
      <c r="M629" s="3">
        <f t="shared" si="26"/>
        <v>0</v>
      </c>
      <c r="N629" s="7"/>
      <c r="O629" s="5"/>
      <c r="S629" s="6"/>
    </row>
    <row r="630" spans="1:22" customFormat="1" x14ac:dyDescent="0.45">
      <c r="A630">
        <v>185193</v>
      </c>
      <c r="B630" t="s">
        <v>17653</v>
      </c>
      <c r="C630" t="s">
        <v>17654</v>
      </c>
      <c r="D630">
        <v>24</v>
      </c>
      <c r="F630" s="124"/>
      <c r="G630" s="3">
        <v>0</v>
      </c>
      <c r="H630" s="3">
        <v>0</v>
      </c>
      <c r="I630" s="3">
        <v>0</v>
      </c>
      <c r="J630" s="3">
        <v>0</v>
      </c>
      <c r="K630" s="3">
        <f t="shared" si="25"/>
        <v>0</v>
      </c>
      <c r="L630" s="3"/>
      <c r="M630" s="3">
        <f t="shared" si="26"/>
        <v>0</v>
      </c>
      <c r="O630" s="5"/>
      <c r="S630" s="6"/>
    </row>
    <row r="631" spans="1:22" customFormat="1" x14ac:dyDescent="0.45">
      <c r="A631">
        <v>185323</v>
      </c>
      <c r="B631" t="s">
        <v>17655</v>
      </c>
      <c r="C631" t="s">
        <v>17656</v>
      </c>
      <c r="D631">
        <v>11</v>
      </c>
      <c r="F631" s="124"/>
      <c r="G631" s="7">
        <v>0</v>
      </c>
      <c r="H631" s="7">
        <v>0</v>
      </c>
      <c r="I631" s="7">
        <v>0</v>
      </c>
      <c r="J631" s="7">
        <v>0</v>
      </c>
      <c r="K631" s="3">
        <f t="shared" si="25"/>
        <v>0</v>
      </c>
      <c r="L631" s="3"/>
      <c r="M631" s="3">
        <f t="shared" si="26"/>
        <v>0</v>
      </c>
      <c r="O631" s="5"/>
      <c r="S631" s="6"/>
    </row>
    <row r="632" spans="1:22" customFormat="1" x14ac:dyDescent="0.45">
      <c r="A632">
        <v>185468</v>
      </c>
      <c r="B632" t="s">
        <v>17657</v>
      </c>
      <c r="C632" t="s">
        <v>17658</v>
      </c>
      <c r="D632">
        <v>8</v>
      </c>
      <c r="F632" s="124"/>
      <c r="K632" s="3">
        <f t="shared" si="25"/>
        <v>0</v>
      </c>
      <c r="L632" s="3"/>
      <c r="M632" s="3">
        <f t="shared" si="26"/>
        <v>0</v>
      </c>
      <c r="O632" s="5"/>
      <c r="S632" s="6"/>
    </row>
    <row r="633" spans="1:22" customFormat="1" x14ac:dyDescent="0.45">
      <c r="A633">
        <v>185477</v>
      </c>
      <c r="B633" t="s">
        <v>17659</v>
      </c>
      <c r="C633" t="s">
        <v>16331</v>
      </c>
      <c r="D633">
        <v>6</v>
      </c>
      <c r="E633" t="s">
        <v>16331</v>
      </c>
      <c r="F633" s="124"/>
      <c r="G633" s="7">
        <v>0</v>
      </c>
      <c r="H633" s="7">
        <v>0</v>
      </c>
      <c r="I633" s="7">
        <v>0</v>
      </c>
      <c r="J633" s="7">
        <v>0</v>
      </c>
      <c r="K633" s="3">
        <f t="shared" si="25"/>
        <v>0</v>
      </c>
      <c r="L633" s="3"/>
      <c r="M633" s="3">
        <f t="shared" si="26"/>
        <v>0</v>
      </c>
      <c r="N633" s="7"/>
      <c r="O633" s="5"/>
      <c r="S633" s="6"/>
    </row>
    <row r="634" spans="1:22" customFormat="1" x14ac:dyDescent="0.45">
      <c r="A634">
        <v>185507</v>
      </c>
      <c r="B634" t="s">
        <v>17660</v>
      </c>
      <c r="C634" t="s">
        <v>17661</v>
      </c>
      <c r="D634">
        <v>5</v>
      </c>
      <c r="F634" s="124"/>
      <c r="G634" s="7">
        <v>0</v>
      </c>
      <c r="H634" s="7">
        <v>0</v>
      </c>
      <c r="I634" s="7">
        <v>0</v>
      </c>
      <c r="J634" s="7">
        <v>0</v>
      </c>
      <c r="K634" s="3">
        <f t="shared" si="25"/>
        <v>0</v>
      </c>
      <c r="L634" s="3"/>
      <c r="M634" s="3">
        <f t="shared" si="26"/>
        <v>0</v>
      </c>
      <c r="O634" s="5"/>
      <c r="S634" s="6"/>
    </row>
    <row r="635" spans="1:22" x14ac:dyDescent="0.45">
      <c r="A635" s="124">
        <v>977136</v>
      </c>
      <c r="B635" s="124" t="s">
        <v>17662</v>
      </c>
      <c r="C635" s="125" t="s">
        <v>17663</v>
      </c>
      <c r="D635" s="124">
        <v>1</v>
      </c>
      <c r="E635" s="124" t="s">
        <v>16334</v>
      </c>
      <c r="F635" s="126">
        <v>1.6999999999999999E-3</v>
      </c>
      <c r="G635" s="126">
        <v>0.03</v>
      </c>
      <c r="H635" s="126"/>
      <c r="I635" s="127">
        <v>0</v>
      </c>
      <c r="J635" s="127"/>
      <c r="K635" s="126">
        <f t="shared" si="25"/>
        <v>0.03</v>
      </c>
      <c r="L635" s="3"/>
      <c r="M635" s="126">
        <f t="shared" si="26"/>
        <v>3.1699999999999999E-2</v>
      </c>
      <c r="N635" s="124" t="s">
        <v>17664</v>
      </c>
      <c r="O635" s="131" t="s">
        <v>17665</v>
      </c>
      <c r="P635" s="128" t="s">
        <v>26918</v>
      </c>
      <c r="Q635" s="124">
        <f>41921+6293</f>
        <v>48214</v>
      </c>
      <c r="R635" s="124" t="s">
        <v>16348</v>
      </c>
      <c r="S635" s="132">
        <v>-77284</v>
      </c>
      <c r="T635" s="129">
        <f>S635/Q635</f>
        <v>-1.6029369062927781</v>
      </c>
      <c r="V635" s="125" t="s">
        <v>17666</v>
      </c>
    </row>
    <row r="636" spans="1:22" customFormat="1" x14ac:dyDescent="0.45">
      <c r="A636">
        <v>185530</v>
      </c>
      <c r="B636" t="s">
        <v>17667</v>
      </c>
      <c r="C636" t="s">
        <v>17668</v>
      </c>
      <c r="D636">
        <v>1</v>
      </c>
      <c r="F636" s="124"/>
      <c r="G636" s="7">
        <v>0</v>
      </c>
      <c r="H636" s="3">
        <v>0</v>
      </c>
      <c r="I636" s="3">
        <v>0</v>
      </c>
      <c r="J636">
        <v>0</v>
      </c>
      <c r="K636" s="3">
        <f t="shared" si="25"/>
        <v>0</v>
      </c>
      <c r="L636" s="3"/>
      <c r="M636" s="3">
        <f t="shared" si="26"/>
        <v>0</v>
      </c>
      <c r="O636" s="5"/>
      <c r="S636" s="6"/>
    </row>
    <row r="637" spans="1:22" customFormat="1" x14ac:dyDescent="0.45">
      <c r="A637">
        <v>185561</v>
      </c>
      <c r="B637" t="s">
        <v>17669</v>
      </c>
      <c r="C637" t="s">
        <v>17670</v>
      </c>
      <c r="D637">
        <v>11</v>
      </c>
      <c r="F637" s="124"/>
      <c r="G637" s="7">
        <v>0</v>
      </c>
      <c r="H637" s="7">
        <v>0</v>
      </c>
      <c r="I637" s="7">
        <v>0</v>
      </c>
      <c r="J637" s="7">
        <v>0</v>
      </c>
      <c r="K637" s="3">
        <f t="shared" si="25"/>
        <v>0</v>
      </c>
      <c r="L637" s="3"/>
      <c r="M637" s="3">
        <f t="shared" si="26"/>
        <v>0</v>
      </c>
      <c r="O637" s="5"/>
      <c r="S637" s="6"/>
    </row>
    <row r="638" spans="1:22" customFormat="1" x14ac:dyDescent="0.45">
      <c r="A638">
        <v>185606</v>
      </c>
      <c r="B638" t="s">
        <v>17671</v>
      </c>
      <c r="C638" t="s">
        <v>16331</v>
      </c>
      <c r="D638">
        <v>1</v>
      </c>
      <c r="E638" t="s">
        <v>16331</v>
      </c>
      <c r="F638" s="124"/>
      <c r="G638" s="7">
        <v>0</v>
      </c>
      <c r="H638" s="7">
        <v>0</v>
      </c>
      <c r="I638" s="7">
        <v>0</v>
      </c>
      <c r="J638" s="7">
        <v>0</v>
      </c>
      <c r="K638" s="3">
        <f t="shared" si="25"/>
        <v>0</v>
      </c>
      <c r="L638" s="3"/>
      <c r="M638" s="3">
        <f t="shared" si="26"/>
        <v>0</v>
      </c>
      <c r="O638" s="5"/>
      <c r="S638" s="6"/>
    </row>
    <row r="639" spans="1:22" customFormat="1" x14ac:dyDescent="0.45">
      <c r="A639">
        <v>185746</v>
      </c>
      <c r="B639" t="s">
        <v>17672</v>
      </c>
      <c r="C639" t="s">
        <v>17186</v>
      </c>
      <c r="D639">
        <v>0</v>
      </c>
      <c r="E639" t="s">
        <v>16561</v>
      </c>
      <c r="F639" s="124"/>
      <c r="G639" s="3">
        <v>0</v>
      </c>
      <c r="H639" s="3">
        <v>0</v>
      </c>
      <c r="I639" s="3">
        <v>0</v>
      </c>
      <c r="J639" s="3">
        <v>0</v>
      </c>
      <c r="K639" s="3">
        <f t="shared" si="25"/>
        <v>0</v>
      </c>
      <c r="L639" s="3"/>
      <c r="M639" s="3">
        <f t="shared" si="26"/>
        <v>0</v>
      </c>
      <c r="O639" s="5"/>
      <c r="S639" s="6"/>
    </row>
    <row r="640" spans="1:22" customFormat="1" x14ac:dyDescent="0.45">
      <c r="A640">
        <v>185748</v>
      </c>
      <c r="B640" t="s">
        <v>17673</v>
      </c>
      <c r="C640" t="s">
        <v>17674</v>
      </c>
      <c r="D640">
        <v>0</v>
      </c>
      <c r="E640" t="s">
        <v>16561</v>
      </c>
      <c r="F640" s="124"/>
      <c r="K640" s="3">
        <f t="shared" si="25"/>
        <v>0</v>
      </c>
      <c r="L640" s="3"/>
      <c r="M640" s="3">
        <f t="shared" si="26"/>
        <v>0</v>
      </c>
      <c r="O640" s="5"/>
      <c r="S640" s="6"/>
    </row>
    <row r="641" spans="1:22" x14ac:dyDescent="0.45">
      <c r="A641" s="124">
        <v>117664</v>
      </c>
      <c r="B641" s="124" t="s">
        <v>17675</v>
      </c>
      <c r="C641" s="125" t="s">
        <v>17676</v>
      </c>
      <c r="D641" s="125">
        <v>100</v>
      </c>
      <c r="E641" s="124" t="s">
        <v>16417</v>
      </c>
      <c r="F641" s="126">
        <v>0.01</v>
      </c>
      <c r="G641" s="126">
        <v>0</v>
      </c>
      <c r="H641" s="135">
        <v>0</v>
      </c>
      <c r="I641" s="137">
        <v>3.5000000000000003E-2</v>
      </c>
      <c r="J641" s="135">
        <v>0</v>
      </c>
      <c r="K641" s="126">
        <f t="shared" si="25"/>
        <v>3.5000000000000003E-2</v>
      </c>
      <c r="L641" s="3"/>
      <c r="M641" s="126">
        <f t="shared" si="26"/>
        <v>4.5000000000000005E-2</v>
      </c>
      <c r="N641" s="124" t="s">
        <v>17677</v>
      </c>
      <c r="O641" s="125" t="s">
        <v>17678</v>
      </c>
      <c r="P641" s="125" t="s">
        <v>17679</v>
      </c>
      <c r="Q641" s="130">
        <v>19978000000</v>
      </c>
      <c r="R641" s="130" t="s">
        <v>16348</v>
      </c>
      <c r="S641" s="130">
        <v>7422000000</v>
      </c>
      <c r="T641" s="130">
        <f>S641/Q641</f>
        <v>0.37150865952547801</v>
      </c>
      <c r="U641" s="130"/>
      <c r="V641" s="125" t="s">
        <v>17680</v>
      </c>
    </row>
    <row r="642" spans="1:22" customFormat="1" x14ac:dyDescent="0.45">
      <c r="A642">
        <v>186419</v>
      </c>
      <c r="B642" t="s">
        <v>17681</v>
      </c>
      <c r="C642" s="2" t="s">
        <v>17682</v>
      </c>
      <c r="D642">
        <v>75</v>
      </c>
      <c r="E642" t="s">
        <v>16334</v>
      </c>
      <c r="F642" s="124"/>
      <c r="G642" s="7">
        <v>0</v>
      </c>
      <c r="H642" s="7">
        <v>0</v>
      </c>
      <c r="I642" s="7">
        <v>0</v>
      </c>
      <c r="J642" s="7">
        <v>0</v>
      </c>
      <c r="K642" s="3">
        <f t="shared" si="25"/>
        <v>0</v>
      </c>
      <c r="L642" s="3"/>
      <c r="M642" s="3">
        <f t="shared" si="26"/>
        <v>0</v>
      </c>
      <c r="O642" s="5"/>
      <c r="S642" s="6"/>
    </row>
    <row r="643" spans="1:22" customFormat="1" x14ac:dyDescent="0.45">
      <c r="A643">
        <v>186440</v>
      </c>
      <c r="B643" t="s">
        <v>17683</v>
      </c>
      <c r="C643" t="s">
        <v>17684</v>
      </c>
      <c r="D643">
        <v>5</v>
      </c>
      <c r="F643" s="124"/>
      <c r="G643" s="7">
        <v>0</v>
      </c>
      <c r="H643" s="7">
        <v>0</v>
      </c>
      <c r="I643" s="7">
        <v>0</v>
      </c>
      <c r="J643" s="7">
        <v>0</v>
      </c>
      <c r="K643" s="3">
        <f t="shared" si="25"/>
        <v>0</v>
      </c>
      <c r="L643" s="3"/>
      <c r="M643" s="3">
        <f t="shared" si="26"/>
        <v>0</v>
      </c>
      <c r="O643" s="5"/>
      <c r="S643" s="6"/>
    </row>
    <row r="644" spans="1:22" customFormat="1" x14ac:dyDescent="0.45">
      <c r="A644">
        <v>186616</v>
      </c>
      <c r="B644" t="s">
        <v>17685</v>
      </c>
      <c r="C644" t="s">
        <v>17686</v>
      </c>
      <c r="D644">
        <v>24</v>
      </c>
      <c r="F644" s="124"/>
      <c r="G644" s="3">
        <v>0</v>
      </c>
      <c r="H644" s="3">
        <v>0</v>
      </c>
      <c r="I644" s="3">
        <v>0</v>
      </c>
      <c r="J644" s="3">
        <v>0</v>
      </c>
      <c r="K644" s="3">
        <f t="shared" si="25"/>
        <v>0</v>
      </c>
      <c r="L644" s="3"/>
      <c r="M644" s="3">
        <f t="shared" si="26"/>
        <v>0</v>
      </c>
      <c r="O644" s="5"/>
      <c r="S644" s="6"/>
    </row>
    <row r="645" spans="1:22" customFormat="1" x14ac:dyDescent="0.45">
      <c r="A645">
        <v>186675</v>
      </c>
      <c r="B645" t="s">
        <v>17687</v>
      </c>
      <c r="C645" t="s">
        <v>17688</v>
      </c>
      <c r="D645">
        <v>1</v>
      </c>
      <c r="F645" s="124"/>
      <c r="K645" s="3">
        <f t="shared" si="25"/>
        <v>0</v>
      </c>
      <c r="L645" s="3"/>
      <c r="M645" s="3">
        <f t="shared" si="26"/>
        <v>0</v>
      </c>
      <c r="O645" s="5"/>
      <c r="S645" s="6"/>
    </row>
    <row r="646" spans="1:22" customFormat="1" x14ac:dyDescent="0.45">
      <c r="A646">
        <v>186697</v>
      </c>
      <c r="B646" t="s">
        <v>17689</v>
      </c>
      <c r="C646" t="s">
        <v>16331</v>
      </c>
      <c r="D646">
        <v>4</v>
      </c>
      <c r="E646" t="s">
        <v>16331</v>
      </c>
      <c r="F646" s="124"/>
      <c r="G646" s="7">
        <v>0</v>
      </c>
      <c r="H646" s="7">
        <v>0</v>
      </c>
      <c r="I646" s="7">
        <v>0</v>
      </c>
      <c r="J646" s="7">
        <v>0</v>
      </c>
      <c r="K646" s="3">
        <f t="shared" si="25"/>
        <v>0</v>
      </c>
      <c r="L646" s="3"/>
      <c r="M646" s="3">
        <f t="shared" si="26"/>
        <v>0</v>
      </c>
      <c r="O646" s="5"/>
      <c r="S646" s="6"/>
    </row>
    <row r="647" spans="1:22" customFormat="1" x14ac:dyDescent="0.45">
      <c r="A647">
        <v>186705</v>
      </c>
      <c r="B647" t="s">
        <v>17690</v>
      </c>
      <c r="C647" t="s">
        <v>17691</v>
      </c>
      <c r="D647">
        <v>1</v>
      </c>
      <c r="F647" s="124"/>
      <c r="G647" s="3">
        <v>0</v>
      </c>
      <c r="H647" s="3">
        <v>0</v>
      </c>
      <c r="I647" s="3">
        <v>0</v>
      </c>
      <c r="J647" s="3">
        <v>0</v>
      </c>
      <c r="K647" s="3">
        <f t="shared" si="25"/>
        <v>0</v>
      </c>
      <c r="L647" s="3"/>
      <c r="M647" s="3">
        <f t="shared" si="26"/>
        <v>0</v>
      </c>
      <c r="O647" s="5"/>
      <c r="S647" s="6"/>
    </row>
    <row r="648" spans="1:22" customFormat="1" x14ac:dyDescent="0.45">
      <c r="A648">
        <v>186761</v>
      </c>
      <c r="B648" t="s">
        <v>17692</v>
      </c>
      <c r="C648" t="s">
        <v>17693</v>
      </c>
      <c r="D648">
        <v>8</v>
      </c>
      <c r="F648" s="124"/>
      <c r="G648" s="3">
        <v>0</v>
      </c>
      <c r="H648" s="3">
        <v>0</v>
      </c>
      <c r="I648" s="3">
        <v>0</v>
      </c>
      <c r="J648" s="3">
        <v>0</v>
      </c>
      <c r="K648" s="3">
        <f t="shared" si="25"/>
        <v>0</v>
      </c>
      <c r="L648" s="3"/>
      <c r="M648" s="3">
        <f t="shared" si="26"/>
        <v>0</v>
      </c>
      <c r="O648" s="5"/>
      <c r="S648" s="6"/>
    </row>
    <row r="649" spans="1:22" customFormat="1" x14ac:dyDescent="0.45">
      <c r="A649">
        <v>186820</v>
      </c>
      <c r="B649" t="s">
        <v>17694</v>
      </c>
      <c r="C649" t="s">
        <v>17695</v>
      </c>
      <c r="D649">
        <v>0</v>
      </c>
      <c r="E649" t="s">
        <v>16561</v>
      </c>
      <c r="F649" s="124"/>
      <c r="G649" s="7">
        <v>0</v>
      </c>
      <c r="H649" s="7">
        <v>0</v>
      </c>
      <c r="I649" s="7">
        <v>0</v>
      </c>
      <c r="J649" s="7">
        <v>0</v>
      </c>
      <c r="K649" s="3">
        <f t="shared" si="25"/>
        <v>0</v>
      </c>
      <c r="L649" s="3"/>
      <c r="M649" s="3">
        <f t="shared" si="26"/>
        <v>0</v>
      </c>
      <c r="N649" s="7"/>
      <c r="O649" s="5"/>
      <c r="S649" s="6"/>
    </row>
    <row r="650" spans="1:22" customFormat="1" x14ac:dyDescent="0.45">
      <c r="A650">
        <v>186855</v>
      </c>
      <c r="B650" t="s">
        <v>17696</v>
      </c>
      <c r="C650" t="s">
        <v>16331</v>
      </c>
      <c r="D650">
        <v>1</v>
      </c>
      <c r="E650" t="s">
        <v>16331</v>
      </c>
      <c r="F650" s="124"/>
      <c r="G650" s="7">
        <v>0</v>
      </c>
      <c r="H650" s="7">
        <v>0</v>
      </c>
      <c r="I650" s="7">
        <v>0</v>
      </c>
      <c r="J650" s="7">
        <v>0</v>
      </c>
      <c r="K650" s="3">
        <f t="shared" si="25"/>
        <v>0</v>
      </c>
      <c r="L650" s="3"/>
      <c r="M650" s="3">
        <f t="shared" si="26"/>
        <v>0</v>
      </c>
      <c r="O650" s="5"/>
      <c r="S650" s="6"/>
    </row>
    <row r="651" spans="1:22" customFormat="1" x14ac:dyDescent="0.45">
      <c r="A651">
        <v>186867</v>
      </c>
      <c r="B651" t="s">
        <v>17697</v>
      </c>
      <c r="C651" t="s">
        <v>16331</v>
      </c>
      <c r="D651">
        <v>1</v>
      </c>
      <c r="E651" t="s">
        <v>16331</v>
      </c>
      <c r="F651" s="124"/>
      <c r="G651" s="7">
        <v>0</v>
      </c>
      <c r="H651" s="7">
        <v>0</v>
      </c>
      <c r="I651" s="7">
        <v>0</v>
      </c>
      <c r="J651" s="7">
        <v>0</v>
      </c>
      <c r="K651" s="3">
        <f t="shared" si="25"/>
        <v>0</v>
      </c>
      <c r="L651" s="3"/>
      <c r="M651" s="3">
        <f t="shared" si="26"/>
        <v>0</v>
      </c>
      <c r="O651" s="5"/>
      <c r="S651" s="6"/>
    </row>
    <row r="652" spans="1:22" customFormat="1" x14ac:dyDescent="0.45">
      <c r="A652">
        <v>186890</v>
      </c>
      <c r="B652" t="s">
        <v>17698</v>
      </c>
      <c r="C652" t="s">
        <v>17699</v>
      </c>
      <c r="D652">
        <v>14</v>
      </c>
      <c r="F652" s="124"/>
      <c r="G652" s="7">
        <v>0</v>
      </c>
      <c r="H652" s="7">
        <v>0</v>
      </c>
      <c r="I652" s="7">
        <v>0</v>
      </c>
      <c r="J652" s="7">
        <v>0</v>
      </c>
      <c r="K652" s="3">
        <f t="shared" si="25"/>
        <v>0</v>
      </c>
      <c r="L652" s="3"/>
      <c r="M652" s="3">
        <f t="shared" si="26"/>
        <v>0</v>
      </c>
      <c r="O652" s="5"/>
      <c r="S652" s="6"/>
    </row>
    <row r="653" spans="1:22" customFormat="1" x14ac:dyDescent="0.45">
      <c r="A653">
        <v>186958</v>
      </c>
      <c r="B653" t="s">
        <v>17700</v>
      </c>
      <c r="C653" s="2" t="s">
        <v>17701</v>
      </c>
      <c r="D653">
        <v>165</v>
      </c>
      <c r="E653" t="s">
        <v>16417</v>
      </c>
      <c r="F653" s="124"/>
      <c r="G653" s="7">
        <v>0</v>
      </c>
      <c r="H653" s="7">
        <v>0</v>
      </c>
      <c r="I653" s="7">
        <v>0</v>
      </c>
      <c r="J653" s="7">
        <v>0</v>
      </c>
      <c r="K653" s="3">
        <f t="shared" si="25"/>
        <v>0</v>
      </c>
      <c r="L653" s="3"/>
      <c r="M653" s="3">
        <f t="shared" si="26"/>
        <v>0</v>
      </c>
      <c r="N653" s="7"/>
      <c r="O653" s="5"/>
      <c r="S653" s="6"/>
    </row>
    <row r="654" spans="1:22" x14ac:dyDescent="0.45">
      <c r="A654" s="124">
        <v>154309</v>
      </c>
      <c r="B654" s="124" t="s">
        <v>17702</v>
      </c>
      <c r="C654" s="124" t="s">
        <v>17703</v>
      </c>
      <c r="D654" s="124">
        <v>1</v>
      </c>
      <c r="E654" s="124" t="s">
        <v>16334</v>
      </c>
      <c r="F654" s="126">
        <v>1.6999999999999999E-3</v>
      </c>
      <c r="G654" s="135">
        <v>0.02</v>
      </c>
      <c r="H654" s="126">
        <v>7.4999999999999997E-3</v>
      </c>
      <c r="I654" s="127"/>
      <c r="J654" s="127"/>
      <c r="K654" s="126">
        <f t="shared" si="25"/>
        <v>2.75E-2</v>
      </c>
      <c r="L654" s="3"/>
      <c r="M654" s="126">
        <f t="shared" si="26"/>
        <v>2.92E-2</v>
      </c>
      <c r="O654" s="125" t="s">
        <v>17704</v>
      </c>
      <c r="P654" s="128" t="s">
        <v>26918</v>
      </c>
      <c r="Q654" s="130">
        <f>78324+18351</f>
        <v>96675</v>
      </c>
      <c r="R654" s="124" t="s">
        <v>16348</v>
      </c>
      <c r="S654" s="130">
        <v>74130</v>
      </c>
      <c r="T654" s="129">
        <f>S654/Q654</f>
        <v>0.76679596586501164</v>
      </c>
      <c r="V654" s="125" t="s">
        <v>17705</v>
      </c>
    </row>
    <row r="655" spans="1:22" customFormat="1" x14ac:dyDescent="0.45">
      <c r="A655">
        <v>187607</v>
      </c>
      <c r="B655" t="s">
        <v>17706</v>
      </c>
      <c r="C655" s="2" t="s">
        <v>17707</v>
      </c>
      <c r="D655">
        <v>4</v>
      </c>
      <c r="F655" s="125"/>
      <c r="G655" s="3">
        <v>0</v>
      </c>
      <c r="H655" s="3">
        <v>0</v>
      </c>
      <c r="I655" s="3">
        <v>0</v>
      </c>
      <c r="J655" s="3">
        <v>0</v>
      </c>
      <c r="K655" s="3">
        <f t="shared" si="25"/>
        <v>0</v>
      </c>
      <c r="L655" s="3"/>
      <c r="M655" s="3">
        <f t="shared" si="26"/>
        <v>0</v>
      </c>
      <c r="O655" s="5"/>
      <c r="S655" s="6"/>
    </row>
    <row r="656" spans="1:22" customFormat="1" x14ac:dyDescent="0.45">
      <c r="A656">
        <v>187799</v>
      </c>
      <c r="B656" t="s">
        <v>17708</v>
      </c>
      <c r="C656" t="s">
        <v>17709</v>
      </c>
      <c r="D656">
        <v>18</v>
      </c>
      <c r="F656" s="124"/>
      <c r="G656" s="3">
        <v>0</v>
      </c>
      <c r="H656" s="3">
        <v>0</v>
      </c>
      <c r="I656" s="3">
        <v>0</v>
      </c>
      <c r="J656" s="3">
        <v>0</v>
      </c>
      <c r="K656" s="3">
        <f t="shared" si="25"/>
        <v>0</v>
      </c>
      <c r="L656" s="3"/>
      <c r="M656" s="3">
        <f t="shared" si="26"/>
        <v>0</v>
      </c>
      <c r="O656" s="5"/>
      <c r="S656" s="6"/>
    </row>
    <row r="657" spans="1:22" customFormat="1" x14ac:dyDescent="0.45">
      <c r="A657">
        <v>187835</v>
      </c>
      <c r="B657" t="s">
        <v>17710</v>
      </c>
      <c r="C657" t="s">
        <v>17711</v>
      </c>
      <c r="D657">
        <v>3</v>
      </c>
      <c r="F657" s="124"/>
      <c r="K657" s="3">
        <f t="shared" si="25"/>
        <v>0</v>
      </c>
      <c r="L657" s="3"/>
      <c r="M657" s="3">
        <f t="shared" si="26"/>
        <v>0</v>
      </c>
      <c r="O657" s="5"/>
      <c r="S657" s="6"/>
    </row>
    <row r="658" spans="1:22" customFormat="1" x14ac:dyDescent="0.45">
      <c r="A658">
        <v>187991</v>
      </c>
      <c r="B658" t="s">
        <v>17712</v>
      </c>
      <c r="C658" t="s">
        <v>16331</v>
      </c>
      <c r="D658">
        <v>1</v>
      </c>
      <c r="E658" t="s">
        <v>16331</v>
      </c>
      <c r="F658" s="124"/>
      <c r="G658" s="7">
        <v>0</v>
      </c>
      <c r="H658" s="7">
        <v>0</v>
      </c>
      <c r="I658" s="7">
        <v>0</v>
      </c>
      <c r="J658" s="7">
        <v>0</v>
      </c>
      <c r="K658" s="3">
        <f t="shared" si="25"/>
        <v>0</v>
      </c>
      <c r="L658" s="3"/>
      <c r="M658" s="3">
        <f t="shared" si="26"/>
        <v>0</v>
      </c>
      <c r="O658" s="5"/>
      <c r="S658" s="6"/>
    </row>
    <row r="659" spans="1:22" customFormat="1" x14ac:dyDescent="0.45">
      <c r="A659">
        <v>188023</v>
      </c>
      <c r="B659" t="s">
        <v>17713</v>
      </c>
      <c r="C659" t="s">
        <v>17714</v>
      </c>
      <c r="D659">
        <v>20</v>
      </c>
      <c r="F659" s="124"/>
      <c r="G659" s="3">
        <v>0</v>
      </c>
      <c r="H659" s="3">
        <v>0</v>
      </c>
      <c r="I659" s="3">
        <v>0</v>
      </c>
      <c r="J659" s="3">
        <v>0</v>
      </c>
      <c r="K659" s="3">
        <f t="shared" si="25"/>
        <v>0</v>
      </c>
      <c r="L659" s="3"/>
      <c r="M659" s="3">
        <f t="shared" si="26"/>
        <v>0</v>
      </c>
      <c r="O659" s="5"/>
      <c r="S659" s="6"/>
    </row>
    <row r="660" spans="1:22" customFormat="1" x14ac:dyDescent="0.45">
      <c r="A660">
        <v>188309</v>
      </c>
      <c r="B660" t="s">
        <v>17715</v>
      </c>
      <c r="C660" t="s">
        <v>16331</v>
      </c>
      <c r="D660">
        <v>2</v>
      </c>
      <c r="E660" t="s">
        <v>16331</v>
      </c>
      <c r="F660" s="124"/>
      <c r="G660" s="7">
        <v>0</v>
      </c>
      <c r="H660" s="7">
        <v>0</v>
      </c>
      <c r="I660" s="7">
        <v>0</v>
      </c>
      <c r="J660" s="7">
        <v>0</v>
      </c>
      <c r="K660" s="3">
        <f t="shared" si="25"/>
        <v>0</v>
      </c>
      <c r="L660" s="3"/>
      <c r="M660" s="3">
        <f t="shared" si="26"/>
        <v>0</v>
      </c>
      <c r="O660" s="5"/>
      <c r="S660" s="6"/>
    </row>
    <row r="661" spans="1:22" customFormat="1" x14ac:dyDescent="0.45">
      <c r="A661">
        <v>188365</v>
      </c>
      <c r="B661" t="s">
        <v>17716</v>
      </c>
      <c r="C661" t="s">
        <v>16331</v>
      </c>
      <c r="D661">
        <v>1</v>
      </c>
      <c r="E661" t="s">
        <v>16331</v>
      </c>
      <c r="F661" s="124"/>
      <c r="G661" s="7">
        <v>0</v>
      </c>
      <c r="H661" s="3">
        <v>0</v>
      </c>
      <c r="I661" s="3">
        <v>0</v>
      </c>
      <c r="J661">
        <v>0</v>
      </c>
      <c r="K661" s="3">
        <f t="shared" si="25"/>
        <v>0</v>
      </c>
      <c r="L661" s="3"/>
      <c r="M661" s="3">
        <f t="shared" si="26"/>
        <v>0</v>
      </c>
      <c r="O661" s="5"/>
      <c r="S661" s="6"/>
    </row>
    <row r="662" spans="1:22" customFormat="1" x14ac:dyDescent="0.45">
      <c r="A662">
        <v>188523</v>
      </c>
      <c r="B662" t="s">
        <v>17717</v>
      </c>
      <c r="C662" t="s">
        <v>16609</v>
      </c>
      <c r="D662">
        <v>0</v>
      </c>
      <c r="E662" t="s">
        <v>16561</v>
      </c>
      <c r="F662" s="124"/>
      <c r="G662" s="7">
        <v>0</v>
      </c>
      <c r="H662" s="7">
        <v>0</v>
      </c>
      <c r="I662" s="7">
        <v>0</v>
      </c>
      <c r="J662" s="7">
        <v>0</v>
      </c>
      <c r="K662" s="3">
        <f t="shared" si="25"/>
        <v>0</v>
      </c>
      <c r="L662" s="3"/>
      <c r="M662" s="3">
        <f t="shared" si="26"/>
        <v>0</v>
      </c>
      <c r="N662" s="7"/>
      <c r="O662" s="5"/>
      <c r="S662" s="6"/>
    </row>
    <row r="663" spans="1:22" customFormat="1" x14ac:dyDescent="0.45">
      <c r="A663">
        <v>188581</v>
      </c>
      <c r="B663" t="s">
        <v>17718</v>
      </c>
      <c r="C663" t="s">
        <v>16331</v>
      </c>
      <c r="D663">
        <v>1</v>
      </c>
      <c r="E663" t="s">
        <v>16331</v>
      </c>
      <c r="F663" s="124"/>
      <c r="G663" s="7">
        <v>0</v>
      </c>
      <c r="H663" s="7">
        <v>0</v>
      </c>
      <c r="I663" s="7">
        <v>0</v>
      </c>
      <c r="J663" s="7">
        <v>0</v>
      </c>
      <c r="K663" s="3">
        <f t="shared" si="25"/>
        <v>0</v>
      </c>
      <c r="L663" s="3"/>
      <c r="M663" s="3">
        <f t="shared" si="26"/>
        <v>0</v>
      </c>
      <c r="O663" s="5"/>
      <c r="S663" s="6"/>
    </row>
    <row r="664" spans="1:22" customFormat="1" x14ac:dyDescent="0.45">
      <c r="A664">
        <v>188585</v>
      </c>
      <c r="B664" t="s">
        <v>17719</v>
      </c>
      <c r="C664" t="s">
        <v>17720</v>
      </c>
      <c r="D664">
        <v>2</v>
      </c>
      <c r="E664" t="s">
        <v>17721</v>
      </c>
      <c r="F664" s="124"/>
      <c r="G664" s="7">
        <v>0</v>
      </c>
      <c r="H664" s="7">
        <v>0</v>
      </c>
      <c r="I664" s="7">
        <v>0</v>
      </c>
      <c r="J664" s="7">
        <v>0</v>
      </c>
      <c r="K664" s="3">
        <f t="shared" si="25"/>
        <v>0</v>
      </c>
      <c r="L664" s="3"/>
      <c r="M664" s="3">
        <f t="shared" si="26"/>
        <v>0</v>
      </c>
      <c r="N664" s="7"/>
      <c r="O664" s="5"/>
      <c r="S664" s="6"/>
    </row>
    <row r="665" spans="1:22" customFormat="1" x14ac:dyDescent="0.45">
      <c r="A665">
        <v>188586</v>
      </c>
      <c r="B665" t="s">
        <v>17722</v>
      </c>
      <c r="C665" t="s">
        <v>17723</v>
      </c>
      <c r="D665">
        <v>1</v>
      </c>
      <c r="F665" s="124"/>
      <c r="G665" s="7">
        <v>0</v>
      </c>
      <c r="H665" s="7">
        <v>0</v>
      </c>
      <c r="I665" s="7">
        <v>0</v>
      </c>
      <c r="J665" s="7">
        <v>0</v>
      </c>
      <c r="K665" s="3">
        <f t="shared" si="25"/>
        <v>0</v>
      </c>
      <c r="L665" s="3"/>
      <c r="M665" s="3">
        <f t="shared" si="26"/>
        <v>0</v>
      </c>
      <c r="O665" s="5"/>
      <c r="S665" s="6"/>
    </row>
    <row r="666" spans="1:22" customFormat="1" x14ac:dyDescent="0.45">
      <c r="A666">
        <v>188592</v>
      </c>
      <c r="B666" t="s">
        <v>17724</v>
      </c>
      <c r="C666" t="s">
        <v>17725</v>
      </c>
      <c r="D666">
        <v>3</v>
      </c>
      <c r="F666" s="124"/>
      <c r="G666" s="3">
        <v>0</v>
      </c>
      <c r="H666" s="3">
        <v>0</v>
      </c>
      <c r="I666" s="3">
        <v>0</v>
      </c>
      <c r="J666" s="3">
        <v>0</v>
      </c>
      <c r="K666" s="3">
        <f t="shared" si="25"/>
        <v>0</v>
      </c>
      <c r="L666" s="3"/>
      <c r="M666" s="3">
        <f t="shared" si="26"/>
        <v>0</v>
      </c>
      <c r="O666" s="5"/>
      <c r="S666" s="6"/>
    </row>
    <row r="667" spans="1:22" x14ac:dyDescent="0.45">
      <c r="A667" s="124">
        <v>186996</v>
      </c>
      <c r="B667" s="124" t="s">
        <v>17726</v>
      </c>
      <c r="C667" s="124" t="s">
        <v>17727</v>
      </c>
      <c r="D667" s="124">
        <v>4</v>
      </c>
      <c r="E667" s="124" t="s">
        <v>16334</v>
      </c>
      <c r="F667" s="126">
        <v>1.6999999999999999E-3</v>
      </c>
      <c r="G667" s="135">
        <v>0</v>
      </c>
      <c r="H667" s="135">
        <v>0</v>
      </c>
      <c r="I667" s="127">
        <v>1.4999999999999999E-2</v>
      </c>
      <c r="J667" s="127">
        <v>7.4999999999999997E-3</v>
      </c>
      <c r="K667" s="126">
        <f t="shared" si="25"/>
        <v>2.2499999999999999E-2</v>
      </c>
      <c r="L667" s="3"/>
      <c r="M667" s="126">
        <f t="shared" si="26"/>
        <v>2.4199999999999999E-2</v>
      </c>
      <c r="O667" s="125" t="s">
        <v>17728</v>
      </c>
      <c r="P667" s="128" t="s">
        <v>26918</v>
      </c>
      <c r="Q667" s="130">
        <f>281684+150032</f>
        <v>431716</v>
      </c>
      <c r="R667" s="124" t="s">
        <v>16348</v>
      </c>
      <c r="S667" s="130">
        <v>22641</v>
      </c>
      <c r="T667" s="129">
        <f>S667/Q667</f>
        <v>5.2444199427401347E-2</v>
      </c>
      <c r="V667" s="125" t="s">
        <v>17729</v>
      </c>
    </row>
    <row r="668" spans="1:22" customFormat="1" x14ac:dyDescent="0.45">
      <c r="A668">
        <v>188611</v>
      </c>
      <c r="B668" t="s">
        <v>17730</v>
      </c>
      <c r="C668" t="s">
        <v>17731</v>
      </c>
      <c r="D668">
        <v>30</v>
      </c>
      <c r="E668" t="s">
        <v>16334</v>
      </c>
      <c r="F668" s="124"/>
      <c r="K668" s="3">
        <f t="shared" si="25"/>
        <v>0</v>
      </c>
      <c r="L668" s="3"/>
      <c r="M668" s="3">
        <f t="shared" si="26"/>
        <v>0</v>
      </c>
      <c r="O668" s="5"/>
      <c r="S668" s="6"/>
    </row>
    <row r="669" spans="1:22" customFormat="1" x14ac:dyDescent="0.45">
      <c r="A669">
        <v>188615</v>
      </c>
      <c r="B669" t="s">
        <v>17732</v>
      </c>
      <c r="C669" t="s">
        <v>17733</v>
      </c>
      <c r="D669">
        <v>31</v>
      </c>
      <c r="E669" t="s">
        <v>16334</v>
      </c>
      <c r="F669" s="124"/>
      <c r="G669" s="7">
        <v>0</v>
      </c>
      <c r="H669" s="7">
        <v>0</v>
      </c>
      <c r="I669" s="7">
        <v>0</v>
      </c>
      <c r="J669" s="7">
        <v>0</v>
      </c>
      <c r="K669" s="3">
        <f t="shared" si="25"/>
        <v>0</v>
      </c>
      <c r="L669" s="3"/>
      <c r="M669" s="3">
        <f t="shared" si="26"/>
        <v>0</v>
      </c>
      <c r="O669" s="5"/>
      <c r="S669" s="6"/>
    </row>
    <row r="670" spans="1:22" customFormat="1" x14ac:dyDescent="0.45">
      <c r="A670">
        <v>188619</v>
      </c>
      <c r="B670" t="s">
        <v>17734</v>
      </c>
      <c r="C670" t="s">
        <v>16549</v>
      </c>
      <c r="D670">
        <v>0</v>
      </c>
      <c r="E670" t="s">
        <v>16417</v>
      </c>
      <c r="F670" s="124"/>
      <c r="G670" s="3">
        <v>0</v>
      </c>
      <c r="H670" s="3">
        <v>0</v>
      </c>
      <c r="I670" s="3">
        <v>0</v>
      </c>
      <c r="J670" s="3">
        <v>0</v>
      </c>
      <c r="K670" s="3">
        <f t="shared" si="25"/>
        <v>0</v>
      </c>
      <c r="L670" s="3"/>
      <c r="M670" s="3">
        <f t="shared" si="26"/>
        <v>0</v>
      </c>
      <c r="O670" s="5"/>
      <c r="S670" s="6"/>
    </row>
    <row r="671" spans="1:22" customFormat="1" x14ac:dyDescent="0.45">
      <c r="A671">
        <v>188635</v>
      </c>
      <c r="B671" t="s">
        <v>17735</v>
      </c>
      <c r="C671" t="s">
        <v>16331</v>
      </c>
      <c r="D671">
        <v>1</v>
      </c>
      <c r="E671" t="s">
        <v>16331</v>
      </c>
      <c r="F671" s="124"/>
      <c r="G671" s="7">
        <v>0</v>
      </c>
      <c r="H671" s="7">
        <v>0</v>
      </c>
      <c r="I671" s="7">
        <v>0</v>
      </c>
      <c r="J671" s="7">
        <v>0</v>
      </c>
      <c r="K671" s="3">
        <f t="shared" si="25"/>
        <v>0</v>
      </c>
      <c r="L671" s="3"/>
      <c r="M671" s="3">
        <f t="shared" si="26"/>
        <v>0</v>
      </c>
      <c r="O671" s="5"/>
      <c r="S671" s="6"/>
    </row>
    <row r="672" spans="1:22" x14ac:dyDescent="0.45">
      <c r="A672" s="124">
        <v>189146</v>
      </c>
      <c r="B672" s="124" t="s">
        <v>17736</v>
      </c>
      <c r="C672" s="124" t="s">
        <v>17737</v>
      </c>
      <c r="D672" s="124">
        <v>7</v>
      </c>
      <c r="E672" s="124" t="s">
        <v>16334</v>
      </c>
      <c r="F672" s="126">
        <v>1.6999999999999999E-3</v>
      </c>
      <c r="G672" s="135">
        <v>0.04</v>
      </c>
      <c r="H672" s="135">
        <v>0.01</v>
      </c>
      <c r="I672" s="127">
        <v>0</v>
      </c>
      <c r="J672" s="127">
        <v>0</v>
      </c>
      <c r="K672" s="126">
        <f t="shared" si="25"/>
        <v>0.05</v>
      </c>
      <c r="L672" s="3"/>
      <c r="M672" s="126">
        <f t="shared" si="26"/>
        <v>5.1700000000000003E-2</v>
      </c>
      <c r="O672" s="125" t="s">
        <v>17738</v>
      </c>
      <c r="P672" s="128" t="s">
        <v>26918</v>
      </c>
      <c r="Q672" s="130">
        <f>525392+273972</f>
        <v>799364</v>
      </c>
      <c r="R672" s="124" t="s">
        <v>16348</v>
      </c>
      <c r="S672" s="130">
        <v>276764</v>
      </c>
      <c r="T672" s="129">
        <f>S672/Q672</f>
        <v>0.34623025305117566</v>
      </c>
      <c r="V672" s="125" t="s">
        <v>17739</v>
      </c>
    </row>
    <row r="673" spans="1:24" customFormat="1" x14ac:dyDescent="0.45">
      <c r="A673">
        <v>188645</v>
      </c>
      <c r="B673" t="s">
        <v>17740</v>
      </c>
      <c r="C673" t="s">
        <v>16331</v>
      </c>
      <c r="D673">
        <v>1</v>
      </c>
      <c r="E673" t="s">
        <v>16331</v>
      </c>
      <c r="F673" s="124"/>
      <c r="G673" s="7">
        <v>0</v>
      </c>
      <c r="H673" s="7">
        <v>0</v>
      </c>
      <c r="I673" s="7">
        <v>0</v>
      </c>
      <c r="J673" s="7">
        <v>0</v>
      </c>
      <c r="K673" s="3">
        <f t="shared" si="25"/>
        <v>0</v>
      </c>
      <c r="L673" s="3"/>
      <c r="M673" s="3">
        <f t="shared" si="26"/>
        <v>0</v>
      </c>
      <c r="O673" s="5"/>
      <c r="S673" s="6"/>
    </row>
    <row r="674" spans="1:24" customFormat="1" x14ac:dyDescent="0.45">
      <c r="A674">
        <v>188757</v>
      </c>
      <c r="B674" t="s">
        <v>17741</v>
      </c>
      <c r="C674" t="s">
        <v>17742</v>
      </c>
      <c r="D674">
        <v>2</v>
      </c>
      <c r="E674" t="s">
        <v>16334</v>
      </c>
      <c r="F674" s="124"/>
      <c r="G674" s="7">
        <v>0</v>
      </c>
      <c r="H674" s="7">
        <v>0</v>
      </c>
      <c r="I674" s="7">
        <v>0</v>
      </c>
      <c r="J674" s="7">
        <v>0</v>
      </c>
      <c r="K674" s="3">
        <f t="shared" si="25"/>
        <v>0</v>
      </c>
      <c r="L674" s="3"/>
      <c r="M674" s="3">
        <f t="shared" si="26"/>
        <v>0</v>
      </c>
      <c r="N674" s="7"/>
      <c r="O674" s="5"/>
      <c r="S674" s="6"/>
    </row>
    <row r="675" spans="1:24" customFormat="1" x14ac:dyDescent="0.45">
      <c r="A675">
        <v>188812</v>
      </c>
      <c r="B675" t="s">
        <v>17743</v>
      </c>
      <c r="C675" t="s">
        <v>16331</v>
      </c>
      <c r="D675">
        <v>1</v>
      </c>
      <c r="E675" t="s">
        <v>16331</v>
      </c>
      <c r="F675" s="124"/>
      <c r="G675" s="7">
        <v>0</v>
      </c>
      <c r="H675" s="7">
        <v>0</v>
      </c>
      <c r="I675" s="7">
        <v>0</v>
      </c>
      <c r="J675" s="7">
        <v>0</v>
      </c>
      <c r="K675" s="3">
        <f t="shared" si="25"/>
        <v>0</v>
      </c>
      <c r="L675" s="3"/>
      <c r="M675" s="3">
        <f t="shared" si="26"/>
        <v>0</v>
      </c>
      <c r="O675" s="5"/>
      <c r="S675" s="6"/>
    </row>
    <row r="676" spans="1:24" customFormat="1" x14ac:dyDescent="0.45">
      <c r="A676">
        <v>188860</v>
      </c>
      <c r="B676" t="s">
        <v>17744</v>
      </c>
      <c r="C676" t="s">
        <v>17745</v>
      </c>
      <c r="D676">
        <v>7</v>
      </c>
      <c r="E676" t="s">
        <v>16334</v>
      </c>
      <c r="F676" s="124"/>
      <c r="K676" s="3">
        <f t="shared" si="25"/>
        <v>0</v>
      </c>
      <c r="L676" s="3"/>
      <c r="M676" s="3">
        <f t="shared" si="26"/>
        <v>0</v>
      </c>
      <c r="O676" s="5"/>
      <c r="S676" s="6"/>
    </row>
    <row r="677" spans="1:24" customFormat="1" x14ac:dyDescent="0.45">
      <c r="A677">
        <v>188992</v>
      </c>
      <c r="B677" t="s">
        <v>17746</v>
      </c>
      <c r="C677" t="s">
        <v>17747</v>
      </c>
      <c r="D677">
        <v>7</v>
      </c>
      <c r="E677" t="s">
        <v>16334</v>
      </c>
      <c r="F677" s="124"/>
      <c r="G677" s="7">
        <v>0</v>
      </c>
      <c r="H677" s="7">
        <v>0</v>
      </c>
      <c r="I677" s="7">
        <v>0</v>
      </c>
      <c r="J677" s="7">
        <v>0</v>
      </c>
      <c r="K677" s="3">
        <f t="shared" si="25"/>
        <v>0</v>
      </c>
      <c r="L677" s="3"/>
      <c r="M677" s="3">
        <f t="shared" si="26"/>
        <v>0</v>
      </c>
      <c r="O677" s="5"/>
      <c r="S677" s="6"/>
    </row>
    <row r="678" spans="1:24" customFormat="1" x14ac:dyDescent="0.45">
      <c r="A678">
        <v>188993</v>
      </c>
      <c r="B678" t="s">
        <v>17748</v>
      </c>
      <c r="C678" t="s">
        <v>17749</v>
      </c>
      <c r="D678">
        <v>0</v>
      </c>
      <c r="E678" t="s">
        <v>16334</v>
      </c>
      <c r="F678" s="124"/>
      <c r="G678" s="3">
        <v>0</v>
      </c>
      <c r="H678" s="3">
        <v>0</v>
      </c>
      <c r="I678" s="3">
        <v>0</v>
      </c>
      <c r="J678" s="3">
        <v>0</v>
      </c>
      <c r="K678" s="3">
        <f t="shared" si="25"/>
        <v>0</v>
      </c>
      <c r="L678" s="3"/>
      <c r="M678" s="3">
        <f t="shared" si="26"/>
        <v>0</v>
      </c>
      <c r="O678" s="5"/>
      <c r="S678" s="6"/>
    </row>
    <row r="679" spans="1:24" customFormat="1" x14ac:dyDescent="0.45">
      <c r="A679">
        <v>189000</v>
      </c>
      <c r="B679" t="s">
        <v>17750</v>
      </c>
      <c r="C679" t="s">
        <v>16331</v>
      </c>
      <c r="D679">
        <v>2</v>
      </c>
      <c r="E679" t="s">
        <v>16331</v>
      </c>
      <c r="F679" s="124"/>
      <c r="K679" s="3">
        <f t="shared" si="25"/>
        <v>0</v>
      </c>
      <c r="L679" s="3"/>
      <c r="M679" s="3">
        <f t="shared" si="26"/>
        <v>0</v>
      </c>
      <c r="O679" s="5"/>
      <c r="S679" s="6"/>
    </row>
    <row r="680" spans="1:24" customFormat="1" x14ac:dyDescent="0.45">
      <c r="A680">
        <v>189117</v>
      </c>
      <c r="B680" t="s">
        <v>17751</v>
      </c>
      <c r="C680" t="s">
        <v>17752</v>
      </c>
      <c r="D680">
        <v>6</v>
      </c>
      <c r="E680" t="s">
        <v>16334</v>
      </c>
      <c r="F680" s="124"/>
      <c r="G680" s="3">
        <v>0</v>
      </c>
      <c r="H680" s="3">
        <v>0</v>
      </c>
      <c r="I680" s="3">
        <v>0</v>
      </c>
      <c r="J680" s="3">
        <v>0</v>
      </c>
      <c r="K680" s="3">
        <f t="shared" si="25"/>
        <v>0</v>
      </c>
      <c r="L680" s="3"/>
      <c r="M680" s="3">
        <f t="shared" si="26"/>
        <v>0</v>
      </c>
      <c r="O680" s="5"/>
      <c r="S680" s="6"/>
    </row>
    <row r="681" spans="1:24" x14ac:dyDescent="0.45">
      <c r="A681" s="124">
        <v>454766</v>
      </c>
      <c r="B681" s="124" t="s">
        <v>17753</v>
      </c>
      <c r="C681" s="125" t="s">
        <v>17754</v>
      </c>
      <c r="D681" s="124">
        <v>8</v>
      </c>
      <c r="E681" s="124" t="s">
        <v>16334</v>
      </c>
      <c r="F681" s="126">
        <v>1.6999999999999999E-3</v>
      </c>
      <c r="G681" s="126"/>
      <c r="H681" s="126">
        <v>8.9999999999999993E-3</v>
      </c>
      <c r="I681" s="127"/>
      <c r="J681" s="127"/>
      <c r="K681" s="126">
        <f t="shared" si="25"/>
        <v>8.9999999999999993E-3</v>
      </c>
      <c r="L681" s="3"/>
      <c r="M681" s="126">
        <f t="shared" si="26"/>
        <v>1.0699999999999999E-2</v>
      </c>
      <c r="N681" s="124" t="s">
        <v>17755</v>
      </c>
      <c r="O681" s="125" t="s">
        <v>17756</v>
      </c>
      <c r="P681" s="128" t="s">
        <v>26918</v>
      </c>
      <c r="Q681" s="132">
        <f>216186+173499</f>
        <v>389685</v>
      </c>
      <c r="R681" s="124" t="s">
        <v>16348</v>
      </c>
      <c r="S681" s="132">
        <v>269868</v>
      </c>
      <c r="T681" s="129">
        <f>S681/Q681</f>
        <v>0.69252858077678126</v>
      </c>
      <c r="V681" s="125" t="s">
        <v>17757</v>
      </c>
      <c r="X681" s="124" t="s">
        <v>17758</v>
      </c>
    </row>
    <row r="682" spans="1:24" customFormat="1" x14ac:dyDescent="0.45">
      <c r="A682">
        <v>189166</v>
      </c>
      <c r="B682" t="s">
        <v>17759</v>
      </c>
      <c r="C682" t="s">
        <v>16331</v>
      </c>
      <c r="D682">
        <v>6</v>
      </c>
      <c r="E682" t="s">
        <v>16331</v>
      </c>
      <c r="F682" s="124"/>
      <c r="G682" s="7">
        <v>0</v>
      </c>
      <c r="H682" s="7">
        <v>0</v>
      </c>
      <c r="I682" s="7">
        <v>0</v>
      </c>
      <c r="J682" s="7">
        <v>0</v>
      </c>
      <c r="K682" s="3">
        <f t="shared" si="25"/>
        <v>0</v>
      </c>
      <c r="L682" s="3"/>
      <c r="M682" s="3">
        <f t="shared" si="26"/>
        <v>0</v>
      </c>
      <c r="O682" s="5"/>
      <c r="S682" s="6"/>
    </row>
    <row r="683" spans="1:24" customFormat="1" x14ac:dyDescent="0.45">
      <c r="A683">
        <v>189170</v>
      </c>
      <c r="B683" t="s">
        <v>17760</v>
      </c>
      <c r="C683" t="s">
        <v>17761</v>
      </c>
      <c r="D683">
        <v>5</v>
      </c>
      <c r="E683" t="s">
        <v>17557</v>
      </c>
      <c r="F683" s="124"/>
      <c r="G683" s="7">
        <v>0</v>
      </c>
      <c r="H683" s="7">
        <v>0</v>
      </c>
      <c r="I683" s="7">
        <v>0</v>
      </c>
      <c r="J683" s="7">
        <v>0</v>
      </c>
      <c r="K683" s="3">
        <f t="shared" si="25"/>
        <v>0</v>
      </c>
      <c r="L683" s="3"/>
      <c r="M683" s="3">
        <f t="shared" si="26"/>
        <v>0</v>
      </c>
      <c r="N683" s="7"/>
      <c r="O683" s="5"/>
      <c r="S683" s="6"/>
    </row>
    <row r="684" spans="1:24" customFormat="1" x14ac:dyDescent="0.45">
      <c r="A684">
        <v>189213</v>
      </c>
      <c r="B684" t="s">
        <v>17762</v>
      </c>
      <c r="C684" t="s">
        <v>17763</v>
      </c>
      <c r="D684">
        <v>8</v>
      </c>
      <c r="E684" t="s">
        <v>16334</v>
      </c>
      <c r="F684" s="124"/>
      <c r="G684" s="7">
        <v>0</v>
      </c>
      <c r="H684" s="3">
        <v>0</v>
      </c>
      <c r="I684" s="3">
        <v>0</v>
      </c>
      <c r="J684">
        <v>0</v>
      </c>
      <c r="K684" s="3">
        <f t="shared" si="25"/>
        <v>0</v>
      </c>
      <c r="L684" s="3"/>
      <c r="M684" s="3">
        <f t="shared" si="26"/>
        <v>0</v>
      </c>
      <c r="O684" s="5"/>
      <c r="S684" s="6"/>
    </row>
    <row r="685" spans="1:24" customFormat="1" x14ac:dyDescent="0.45">
      <c r="A685">
        <v>189368</v>
      </c>
      <c r="B685" t="s">
        <v>17764</v>
      </c>
      <c r="C685" t="s">
        <v>17765</v>
      </c>
      <c r="D685">
        <v>1</v>
      </c>
      <c r="E685" t="s">
        <v>16334</v>
      </c>
      <c r="F685" s="124"/>
      <c r="G685" s="7">
        <v>0</v>
      </c>
      <c r="H685" s="7">
        <v>0</v>
      </c>
      <c r="I685" s="7">
        <v>0</v>
      </c>
      <c r="J685" s="7">
        <v>0</v>
      </c>
      <c r="K685" s="3">
        <f t="shared" si="25"/>
        <v>0</v>
      </c>
      <c r="L685" s="3"/>
      <c r="M685" s="3">
        <f t="shared" si="26"/>
        <v>0</v>
      </c>
      <c r="O685" s="5"/>
      <c r="S685" s="6"/>
    </row>
    <row r="686" spans="1:24" customFormat="1" x14ac:dyDescent="0.45">
      <c r="A686">
        <v>189446</v>
      </c>
      <c r="B686" t="s">
        <v>17766</v>
      </c>
      <c r="C686" t="s">
        <v>16331</v>
      </c>
      <c r="D686">
        <v>2</v>
      </c>
      <c r="E686" t="s">
        <v>16331</v>
      </c>
      <c r="F686" s="124"/>
      <c r="G686" s="7">
        <v>0</v>
      </c>
      <c r="H686" s="7">
        <v>0</v>
      </c>
      <c r="I686" s="7">
        <v>0</v>
      </c>
      <c r="J686" s="7">
        <v>0</v>
      </c>
      <c r="K686" s="3">
        <f t="shared" si="25"/>
        <v>0</v>
      </c>
      <c r="L686" s="3"/>
      <c r="M686" s="3">
        <f t="shared" si="26"/>
        <v>0</v>
      </c>
      <c r="O686" s="5"/>
      <c r="S686" s="6"/>
    </row>
    <row r="687" spans="1:24" x14ac:dyDescent="0.45">
      <c r="A687" s="124">
        <v>958869</v>
      </c>
      <c r="B687" s="124" t="s">
        <v>17767</v>
      </c>
      <c r="C687" s="124" t="s">
        <v>17768</v>
      </c>
      <c r="D687" s="124">
        <v>1</v>
      </c>
      <c r="E687" s="124" t="s">
        <v>16334</v>
      </c>
      <c r="F687" s="126">
        <v>1.6999999999999999E-3</v>
      </c>
      <c r="G687" s="126">
        <f>(3.5%/2)+1%</f>
        <v>2.7500000000000004E-2</v>
      </c>
      <c r="H687" s="126">
        <v>0.01</v>
      </c>
      <c r="I687" s="127"/>
      <c r="J687" s="127"/>
      <c r="K687" s="126">
        <f t="shared" ref="K687:K750" si="27">SUM(G687:J687)</f>
        <v>3.7500000000000006E-2</v>
      </c>
      <c r="L687" s="3"/>
      <c r="M687" s="126">
        <f t="shared" ref="M687:M750" si="28">K687+F687</f>
        <v>3.9200000000000006E-2</v>
      </c>
      <c r="O687" s="131" t="s">
        <v>17769</v>
      </c>
      <c r="P687" s="128" t="s">
        <v>26918</v>
      </c>
      <c r="Q687" s="124">
        <f>21561 +14159</f>
        <v>35720</v>
      </c>
      <c r="R687" s="124" t="s">
        <v>16348</v>
      </c>
      <c r="S687" s="132">
        <v>5237</v>
      </c>
      <c r="T687" s="129">
        <f>S687/Q687</f>
        <v>0.14661254199328108</v>
      </c>
      <c r="V687" s="125" t="s">
        <v>17770</v>
      </c>
    </row>
    <row r="688" spans="1:24" customFormat="1" x14ac:dyDescent="0.45">
      <c r="A688">
        <v>189495</v>
      </c>
      <c r="B688" t="s">
        <v>17771</v>
      </c>
      <c r="C688" t="s">
        <v>17772</v>
      </c>
      <c r="D688">
        <v>0</v>
      </c>
      <c r="E688" t="s">
        <v>16561</v>
      </c>
      <c r="F688" s="124"/>
      <c r="G688" s="7">
        <v>0</v>
      </c>
      <c r="H688" s="7">
        <v>0</v>
      </c>
      <c r="I688" s="7">
        <v>0</v>
      </c>
      <c r="J688" s="7">
        <v>0</v>
      </c>
      <c r="K688" s="3">
        <f t="shared" si="27"/>
        <v>0</v>
      </c>
      <c r="L688" s="3"/>
      <c r="M688" s="3">
        <f t="shared" si="28"/>
        <v>0</v>
      </c>
      <c r="N688" s="7"/>
      <c r="O688" s="5"/>
      <c r="S688" s="6"/>
    </row>
    <row r="689" spans="1:24" customFormat="1" x14ac:dyDescent="0.45">
      <c r="A689">
        <v>189602</v>
      </c>
      <c r="B689" t="s">
        <v>17773</v>
      </c>
      <c r="C689" t="s">
        <v>17774</v>
      </c>
      <c r="D689">
        <v>4</v>
      </c>
      <c r="E689" t="s">
        <v>16334</v>
      </c>
      <c r="F689" s="124"/>
      <c r="G689" s="7">
        <v>0</v>
      </c>
      <c r="H689" s="7">
        <v>0</v>
      </c>
      <c r="I689" s="7">
        <v>0</v>
      </c>
      <c r="J689" s="7">
        <v>0</v>
      </c>
      <c r="K689" s="3">
        <f t="shared" si="27"/>
        <v>0</v>
      </c>
      <c r="L689" s="3"/>
      <c r="M689" s="3">
        <f t="shared" si="28"/>
        <v>0</v>
      </c>
      <c r="O689" s="5"/>
      <c r="S689" s="6"/>
    </row>
    <row r="690" spans="1:24" ht="19.5" customHeight="1" x14ac:dyDescent="0.45">
      <c r="A690" s="124">
        <v>509016</v>
      </c>
      <c r="B690" s="124" t="s">
        <v>17775</v>
      </c>
      <c r="C690" s="124" t="s">
        <v>17776</v>
      </c>
      <c r="D690" s="124">
        <v>10</v>
      </c>
      <c r="E690" s="124" t="s">
        <v>16334</v>
      </c>
      <c r="F690" s="126">
        <v>1.6999999999999999E-3</v>
      </c>
      <c r="G690" s="126">
        <v>0.03</v>
      </c>
      <c r="H690" s="126">
        <v>0.01</v>
      </c>
      <c r="I690" s="127"/>
      <c r="J690" s="127"/>
      <c r="K690" s="126">
        <f t="shared" si="27"/>
        <v>0.04</v>
      </c>
      <c r="L690" s="3"/>
      <c r="M690" s="126">
        <f t="shared" si="28"/>
        <v>4.1700000000000001E-2</v>
      </c>
      <c r="O690" s="131" t="s">
        <v>17777</v>
      </c>
      <c r="P690" s="128" t="s">
        <v>26918</v>
      </c>
      <c r="Q690" s="130">
        <f>342110+407508</f>
        <v>749618</v>
      </c>
      <c r="R690" s="124" t="s">
        <v>16348</v>
      </c>
      <c r="S690" s="132">
        <v>287206</v>
      </c>
      <c r="T690" s="129">
        <f>S690/Q690</f>
        <v>0.38313647751254637</v>
      </c>
      <c r="V690" s="125" t="s">
        <v>17778</v>
      </c>
    </row>
    <row r="691" spans="1:24" x14ac:dyDescent="0.45">
      <c r="A691" s="124">
        <v>519670</v>
      </c>
      <c r="B691" s="124" t="s">
        <v>17779</v>
      </c>
      <c r="C691" s="124" t="s">
        <v>17780</v>
      </c>
      <c r="D691" s="124">
        <v>2</v>
      </c>
      <c r="E691" s="124" t="s">
        <v>16334</v>
      </c>
      <c r="F691" s="126">
        <v>1.6999999999999999E-3</v>
      </c>
      <c r="G691" s="126">
        <v>0.02</v>
      </c>
      <c r="H691" s="126">
        <v>7.4999999999999997E-3</v>
      </c>
      <c r="I691" s="127">
        <v>0</v>
      </c>
      <c r="J691" s="127">
        <v>0</v>
      </c>
      <c r="K691" s="126">
        <f t="shared" si="27"/>
        <v>2.75E-2</v>
      </c>
      <c r="L691" s="3"/>
      <c r="M691" s="126">
        <f t="shared" si="28"/>
        <v>2.92E-2</v>
      </c>
      <c r="O691" s="131" t="s">
        <v>17781</v>
      </c>
      <c r="P691" s="128" t="s">
        <v>26918</v>
      </c>
      <c r="Q691" s="130">
        <v>90128</v>
      </c>
      <c r="R691" s="124" t="s">
        <v>16348</v>
      </c>
      <c r="S691" s="132">
        <v>71181</v>
      </c>
      <c r="T691" s="129">
        <f>S691/Q691</f>
        <v>0.78977676193857627</v>
      </c>
      <c r="V691" s="125" t="s">
        <v>17782</v>
      </c>
    </row>
    <row r="692" spans="1:24" customFormat="1" x14ac:dyDescent="0.45">
      <c r="A692">
        <v>189740</v>
      </c>
      <c r="B692" t="s">
        <v>17783</v>
      </c>
      <c r="C692" t="s">
        <v>17784</v>
      </c>
      <c r="D692">
        <v>3</v>
      </c>
      <c r="E692" t="s">
        <v>16334</v>
      </c>
      <c r="F692" s="124"/>
      <c r="G692" s="7">
        <v>0</v>
      </c>
      <c r="H692" s="7">
        <v>0</v>
      </c>
      <c r="I692" s="7">
        <v>0</v>
      </c>
      <c r="J692" s="7">
        <v>0</v>
      </c>
      <c r="K692" s="3">
        <f t="shared" si="27"/>
        <v>0</v>
      </c>
      <c r="L692" s="3"/>
      <c r="M692" s="3">
        <f t="shared" si="28"/>
        <v>0</v>
      </c>
      <c r="O692" s="5"/>
      <c r="S692" s="6"/>
    </row>
    <row r="693" spans="1:24" x14ac:dyDescent="0.45">
      <c r="A693" s="124">
        <v>568257</v>
      </c>
      <c r="B693" s="124" t="s">
        <v>17785</v>
      </c>
      <c r="C693" s="124" t="s">
        <v>17786</v>
      </c>
      <c r="D693" s="124">
        <v>3</v>
      </c>
      <c r="E693" s="124" t="s">
        <v>16334</v>
      </c>
      <c r="F693" s="126">
        <v>1.6999999999999999E-3</v>
      </c>
      <c r="G693" s="126"/>
      <c r="H693" s="126">
        <v>0.01</v>
      </c>
      <c r="I693" s="127"/>
      <c r="J693" s="127"/>
      <c r="K693" s="126">
        <f t="shared" si="27"/>
        <v>0.01</v>
      </c>
      <c r="L693" s="3"/>
      <c r="M693" s="126">
        <f t="shared" si="28"/>
        <v>1.17E-2</v>
      </c>
      <c r="N693" s="124" t="s">
        <v>17787</v>
      </c>
      <c r="O693" s="125" t="s">
        <v>17788</v>
      </c>
      <c r="P693" s="128" t="s">
        <v>26918</v>
      </c>
      <c r="Q693" s="130">
        <f>394927+49475</f>
        <v>444402</v>
      </c>
      <c r="R693" s="124" t="s">
        <v>16348</v>
      </c>
      <c r="S693" s="132">
        <v>259990</v>
      </c>
      <c r="T693" s="129">
        <f>S693/Q693</f>
        <v>0.58503337068690064</v>
      </c>
      <c r="V693" s="125" t="s">
        <v>17789</v>
      </c>
      <c r="X693" s="124" t="s">
        <v>17790</v>
      </c>
    </row>
    <row r="694" spans="1:24" customFormat="1" x14ac:dyDescent="0.45">
      <c r="A694">
        <v>189846</v>
      </c>
      <c r="B694" t="s">
        <v>17791</v>
      </c>
      <c r="C694" t="s">
        <v>17792</v>
      </c>
      <c r="D694">
        <v>1</v>
      </c>
      <c r="E694" t="s">
        <v>16334</v>
      </c>
      <c r="F694" s="124"/>
      <c r="G694" s="7">
        <v>0</v>
      </c>
      <c r="H694" s="7">
        <v>0</v>
      </c>
      <c r="I694" s="7">
        <v>0</v>
      </c>
      <c r="J694" s="7">
        <v>0</v>
      </c>
      <c r="K694" s="3">
        <f t="shared" si="27"/>
        <v>0</v>
      </c>
      <c r="L694" s="3"/>
      <c r="M694" s="3">
        <f t="shared" si="28"/>
        <v>0</v>
      </c>
      <c r="O694" s="5"/>
      <c r="S694" s="6"/>
    </row>
    <row r="695" spans="1:24" customFormat="1" x14ac:dyDescent="0.45">
      <c r="A695">
        <v>189921</v>
      </c>
      <c r="B695" t="s">
        <v>17793</v>
      </c>
      <c r="C695" t="s">
        <v>16331</v>
      </c>
      <c r="D695">
        <v>9</v>
      </c>
      <c r="E695" t="s">
        <v>16331</v>
      </c>
      <c r="F695" s="124"/>
      <c r="G695" s="7">
        <v>0</v>
      </c>
      <c r="H695" s="7">
        <v>0</v>
      </c>
      <c r="I695" s="7">
        <v>0</v>
      </c>
      <c r="J695" s="7">
        <v>0</v>
      </c>
      <c r="K695" s="3">
        <f t="shared" si="27"/>
        <v>0</v>
      </c>
      <c r="L695" s="3"/>
      <c r="M695" s="3">
        <f t="shared" si="28"/>
        <v>0</v>
      </c>
      <c r="O695" s="5"/>
      <c r="S695" s="6"/>
    </row>
    <row r="696" spans="1:24" customFormat="1" x14ac:dyDescent="0.45">
      <c r="A696">
        <v>189974</v>
      </c>
      <c r="B696" t="s">
        <v>17794</v>
      </c>
      <c r="C696" t="s">
        <v>16331</v>
      </c>
      <c r="D696">
        <v>6</v>
      </c>
      <c r="E696" t="s">
        <v>16331</v>
      </c>
      <c r="F696" s="124"/>
      <c r="G696" s="7">
        <v>0</v>
      </c>
      <c r="H696" s="7">
        <v>0</v>
      </c>
      <c r="I696" s="7">
        <v>0</v>
      </c>
      <c r="J696" s="7">
        <v>0</v>
      </c>
      <c r="K696" s="3">
        <f t="shared" si="27"/>
        <v>0</v>
      </c>
      <c r="L696" s="3"/>
      <c r="M696" s="3">
        <f t="shared" si="28"/>
        <v>0</v>
      </c>
      <c r="O696" s="5"/>
      <c r="S696" s="6"/>
    </row>
    <row r="697" spans="1:24" customFormat="1" x14ac:dyDescent="0.45">
      <c r="A697">
        <v>190002</v>
      </c>
      <c r="B697" t="s">
        <v>17795</v>
      </c>
      <c r="C697" t="s">
        <v>16331</v>
      </c>
      <c r="D697">
        <v>1</v>
      </c>
      <c r="E697" t="s">
        <v>16331</v>
      </c>
      <c r="F697" s="124"/>
      <c r="G697" s="3">
        <v>0</v>
      </c>
      <c r="H697" s="3">
        <v>0</v>
      </c>
      <c r="I697" s="3">
        <v>0</v>
      </c>
      <c r="J697" s="3">
        <v>0</v>
      </c>
      <c r="K697" s="3">
        <f t="shared" si="27"/>
        <v>0</v>
      </c>
      <c r="L697" s="3"/>
      <c r="M697" s="3">
        <f t="shared" si="28"/>
        <v>0</v>
      </c>
      <c r="O697" s="5"/>
      <c r="S697" s="6"/>
    </row>
    <row r="698" spans="1:24" customFormat="1" x14ac:dyDescent="0.45">
      <c r="A698">
        <v>190062</v>
      </c>
      <c r="B698" t="s">
        <v>17796</v>
      </c>
      <c r="C698" t="s">
        <v>17797</v>
      </c>
      <c r="D698">
        <v>2</v>
      </c>
      <c r="E698" t="s">
        <v>16334</v>
      </c>
      <c r="F698" s="124"/>
      <c r="K698" s="3">
        <f t="shared" si="27"/>
        <v>0</v>
      </c>
      <c r="L698" s="3"/>
      <c r="M698" s="3">
        <f t="shared" si="28"/>
        <v>0</v>
      </c>
      <c r="O698" s="5"/>
      <c r="S698" s="6"/>
    </row>
    <row r="699" spans="1:24" customFormat="1" x14ac:dyDescent="0.45">
      <c r="A699">
        <v>190077</v>
      </c>
      <c r="B699" t="s">
        <v>17798</v>
      </c>
      <c r="C699" t="s">
        <v>16331</v>
      </c>
      <c r="D699">
        <v>1</v>
      </c>
      <c r="E699" t="s">
        <v>16331</v>
      </c>
      <c r="F699" s="124"/>
      <c r="G699" s="7">
        <v>0</v>
      </c>
      <c r="H699" s="7">
        <v>0</v>
      </c>
      <c r="I699" s="7">
        <v>0</v>
      </c>
      <c r="J699" s="7">
        <v>0</v>
      </c>
      <c r="K699" s="3">
        <f t="shared" si="27"/>
        <v>0</v>
      </c>
      <c r="L699" s="3"/>
      <c r="M699" s="3">
        <f t="shared" si="28"/>
        <v>0</v>
      </c>
      <c r="O699" s="5"/>
      <c r="S699" s="6"/>
    </row>
    <row r="700" spans="1:24" customFormat="1" x14ac:dyDescent="0.45">
      <c r="A700">
        <v>190079</v>
      </c>
      <c r="B700" t="s">
        <v>17799</v>
      </c>
      <c r="C700" t="s">
        <v>17800</v>
      </c>
      <c r="D700">
        <v>9</v>
      </c>
      <c r="E700" t="s">
        <v>16334</v>
      </c>
      <c r="F700" s="124"/>
      <c r="G700" s="3">
        <v>0</v>
      </c>
      <c r="H700" s="3">
        <v>0</v>
      </c>
      <c r="I700" s="3">
        <v>0</v>
      </c>
      <c r="J700" s="3">
        <v>0</v>
      </c>
      <c r="K700" s="3">
        <f t="shared" si="27"/>
        <v>0</v>
      </c>
      <c r="L700" s="3"/>
      <c r="M700" s="3">
        <f t="shared" si="28"/>
        <v>0</v>
      </c>
      <c r="O700" s="5"/>
      <c r="S700" s="6"/>
    </row>
    <row r="701" spans="1:24" customFormat="1" x14ac:dyDescent="0.45">
      <c r="A701">
        <v>190181</v>
      </c>
      <c r="B701" t="s">
        <v>17801</v>
      </c>
      <c r="C701" t="s">
        <v>16331</v>
      </c>
      <c r="D701">
        <v>9</v>
      </c>
      <c r="E701" t="s">
        <v>16331</v>
      </c>
      <c r="F701" s="124"/>
      <c r="G701" s="7">
        <v>0</v>
      </c>
      <c r="H701" s="7">
        <v>0</v>
      </c>
      <c r="I701" s="7">
        <v>0</v>
      </c>
      <c r="J701" s="7">
        <v>0</v>
      </c>
      <c r="K701" s="3">
        <f t="shared" si="27"/>
        <v>0</v>
      </c>
      <c r="L701" s="3"/>
      <c r="M701" s="3">
        <f t="shared" si="28"/>
        <v>0</v>
      </c>
      <c r="O701" s="5"/>
      <c r="S701" s="6"/>
    </row>
    <row r="702" spans="1:24" customFormat="1" x14ac:dyDescent="0.45">
      <c r="A702">
        <v>190203</v>
      </c>
      <c r="B702" t="s">
        <v>17802</v>
      </c>
      <c r="C702" t="s">
        <v>17803</v>
      </c>
      <c r="D702">
        <v>7</v>
      </c>
      <c r="E702" t="s">
        <v>16334</v>
      </c>
      <c r="F702" s="124"/>
      <c r="G702" s="7">
        <v>0</v>
      </c>
      <c r="H702" s="7">
        <v>0</v>
      </c>
      <c r="I702" s="7">
        <v>0</v>
      </c>
      <c r="J702" s="7">
        <v>0</v>
      </c>
      <c r="K702" s="3">
        <f t="shared" si="27"/>
        <v>0</v>
      </c>
      <c r="L702" s="3"/>
      <c r="M702" s="3">
        <f t="shared" si="28"/>
        <v>0</v>
      </c>
      <c r="O702" s="5"/>
      <c r="S702" s="6"/>
    </row>
    <row r="703" spans="1:24" customFormat="1" x14ac:dyDescent="0.45">
      <c r="A703">
        <v>190252</v>
      </c>
      <c r="B703" t="s">
        <v>17804</v>
      </c>
      <c r="C703" t="s">
        <v>17805</v>
      </c>
      <c r="D703">
        <v>2</v>
      </c>
      <c r="E703" t="s">
        <v>16334</v>
      </c>
      <c r="F703" s="124"/>
      <c r="G703" s="7">
        <v>0</v>
      </c>
      <c r="H703" s="7">
        <v>0</v>
      </c>
      <c r="I703" s="7">
        <v>0</v>
      </c>
      <c r="J703" s="7">
        <v>0</v>
      </c>
      <c r="K703" s="3">
        <f t="shared" si="27"/>
        <v>0</v>
      </c>
      <c r="L703" s="3"/>
      <c r="M703" s="3">
        <f t="shared" si="28"/>
        <v>0</v>
      </c>
      <c r="O703" s="5"/>
      <c r="S703" s="6"/>
    </row>
    <row r="704" spans="1:24" customFormat="1" x14ac:dyDescent="0.45">
      <c r="A704">
        <v>190270</v>
      </c>
      <c r="B704" t="s">
        <v>17806</v>
      </c>
      <c r="C704" t="s">
        <v>17807</v>
      </c>
      <c r="D704">
        <v>0</v>
      </c>
      <c r="E704" t="s">
        <v>17808</v>
      </c>
      <c r="F704" s="124"/>
      <c r="G704" s="7">
        <v>0</v>
      </c>
      <c r="H704" s="7">
        <v>0</v>
      </c>
      <c r="I704" s="7">
        <v>0</v>
      </c>
      <c r="J704" s="7">
        <v>0</v>
      </c>
      <c r="K704" s="3">
        <f t="shared" si="27"/>
        <v>0</v>
      </c>
      <c r="L704" s="3"/>
      <c r="M704" s="3">
        <f t="shared" si="28"/>
        <v>0</v>
      </c>
      <c r="N704" s="7"/>
      <c r="O704" s="5"/>
      <c r="S704" s="6"/>
    </row>
    <row r="705" spans="1:23" customFormat="1" x14ac:dyDescent="0.45">
      <c r="A705">
        <v>190353</v>
      </c>
      <c r="B705" t="s">
        <v>17809</v>
      </c>
      <c r="C705" t="s">
        <v>17810</v>
      </c>
      <c r="D705">
        <v>2</v>
      </c>
      <c r="E705" t="s">
        <v>16334</v>
      </c>
      <c r="F705" s="124"/>
      <c r="G705" s="7">
        <v>0</v>
      </c>
      <c r="H705" s="7">
        <v>0</v>
      </c>
      <c r="I705" s="7">
        <v>0</v>
      </c>
      <c r="J705" s="7">
        <v>0</v>
      </c>
      <c r="K705" s="3">
        <f t="shared" si="27"/>
        <v>0</v>
      </c>
      <c r="L705" s="3"/>
      <c r="M705" s="3">
        <f t="shared" si="28"/>
        <v>0</v>
      </c>
      <c r="O705" s="5"/>
      <c r="S705" s="6"/>
    </row>
    <row r="706" spans="1:23" customFormat="1" x14ac:dyDescent="0.45">
      <c r="A706">
        <v>190358</v>
      </c>
      <c r="B706" t="s">
        <v>17811</v>
      </c>
      <c r="C706" t="s">
        <v>16331</v>
      </c>
      <c r="D706">
        <v>1</v>
      </c>
      <c r="E706" t="s">
        <v>16331</v>
      </c>
      <c r="F706" s="124"/>
      <c r="G706" s="7">
        <v>0</v>
      </c>
      <c r="H706" s="7">
        <v>0</v>
      </c>
      <c r="I706" s="7">
        <v>0</v>
      </c>
      <c r="J706" s="7">
        <v>0</v>
      </c>
      <c r="K706" s="3">
        <f t="shared" si="27"/>
        <v>0</v>
      </c>
      <c r="L706" s="3"/>
      <c r="M706" s="3">
        <f t="shared" si="28"/>
        <v>0</v>
      </c>
      <c r="N706" s="7"/>
      <c r="O706" s="5"/>
      <c r="S706" s="6"/>
    </row>
    <row r="707" spans="1:23" customFormat="1" x14ac:dyDescent="0.45">
      <c r="A707">
        <v>190539</v>
      </c>
      <c r="B707" t="s">
        <v>17812</v>
      </c>
      <c r="C707" t="s">
        <v>17813</v>
      </c>
      <c r="D707">
        <v>4</v>
      </c>
      <c r="E707" t="s">
        <v>16334</v>
      </c>
      <c r="F707" s="124"/>
      <c r="K707" s="3">
        <f t="shared" si="27"/>
        <v>0</v>
      </c>
      <c r="L707" s="3"/>
      <c r="M707" s="3">
        <f t="shared" si="28"/>
        <v>0</v>
      </c>
      <c r="O707" s="5"/>
      <c r="S707" s="6"/>
    </row>
    <row r="708" spans="1:23" customFormat="1" x14ac:dyDescent="0.45">
      <c r="A708">
        <v>190546</v>
      </c>
      <c r="B708" t="s">
        <v>17814</v>
      </c>
      <c r="C708" t="s">
        <v>16331</v>
      </c>
      <c r="D708">
        <v>5</v>
      </c>
      <c r="E708" t="s">
        <v>16331</v>
      </c>
      <c r="F708" s="124"/>
      <c r="G708" s="7">
        <v>0</v>
      </c>
      <c r="H708" s="7">
        <v>0</v>
      </c>
      <c r="I708" s="7">
        <v>0</v>
      </c>
      <c r="J708" s="7">
        <v>0</v>
      </c>
      <c r="K708" s="3">
        <f t="shared" si="27"/>
        <v>0</v>
      </c>
      <c r="L708" s="3"/>
      <c r="M708" s="3">
        <f t="shared" si="28"/>
        <v>0</v>
      </c>
      <c r="O708" s="5"/>
      <c r="S708" s="6"/>
    </row>
    <row r="709" spans="1:23" customFormat="1" x14ac:dyDescent="0.45">
      <c r="A709">
        <v>190548</v>
      </c>
      <c r="B709" t="s">
        <v>17815</v>
      </c>
      <c r="C709" t="s">
        <v>17816</v>
      </c>
      <c r="D709">
        <v>11</v>
      </c>
      <c r="E709" t="s">
        <v>16417</v>
      </c>
      <c r="F709" s="124"/>
      <c r="G709" s="7">
        <v>0</v>
      </c>
      <c r="H709" s="7">
        <v>0</v>
      </c>
      <c r="I709" s="7">
        <v>0</v>
      </c>
      <c r="J709" s="7">
        <v>0</v>
      </c>
      <c r="K709" s="3">
        <f t="shared" si="27"/>
        <v>0</v>
      </c>
      <c r="L709" s="3"/>
      <c r="M709" s="3">
        <f t="shared" si="28"/>
        <v>0</v>
      </c>
      <c r="O709" s="5"/>
      <c r="S709" s="6"/>
    </row>
    <row r="710" spans="1:23" customFormat="1" x14ac:dyDescent="0.45">
      <c r="A710">
        <v>190597</v>
      </c>
      <c r="B710" t="s">
        <v>17817</v>
      </c>
      <c r="C710" t="s">
        <v>17818</v>
      </c>
      <c r="D710">
        <v>2</v>
      </c>
      <c r="E710" t="s">
        <v>16334</v>
      </c>
      <c r="F710" s="124"/>
      <c r="G710" s="3">
        <v>0</v>
      </c>
      <c r="H710" s="3">
        <v>0</v>
      </c>
      <c r="I710" s="3">
        <v>0</v>
      </c>
      <c r="J710" s="3">
        <v>0</v>
      </c>
      <c r="K710" s="3">
        <f t="shared" si="27"/>
        <v>0</v>
      </c>
      <c r="L710" s="3"/>
      <c r="M710" s="3">
        <f t="shared" si="28"/>
        <v>0</v>
      </c>
      <c r="O710" s="5"/>
      <c r="S710" s="6"/>
    </row>
    <row r="711" spans="1:23" x14ac:dyDescent="0.45">
      <c r="A711" s="124">
        <v>977366</v>
      </c>
      <c r="B711" s="124" t="s">
        <v>17819</v>
      </c>
      <c r="C711" s="124" t="s">
        <v>17820</v>
      </c>
      <c r="D711" s="124">
        <v>1</v>
      </c>
      <c r="E711" s="124" t="s">
        <v>16334</v>
      </c>
      <c r="F711" s="126">
        <v>1.6999999999999999E-3</v>
      </c>
      <c r="G711" s="126">
        <v>5.2499999999999998E-2</v>
      </c>
      <c r="H711" s="126">
        <v>0.03</v>
      </c>
      <c r="I711" s="127"/>
      <c r="J711" s="127"/>
      <c r="K711" s="126">
        <f t="shared" si="27"/>
        <v>8.249999999999999E-2</v>
      </c>
      <c r="L711" s="3"/>
      <c r="M711" s="126">
        <f t="shared" si="28"/>
        <v>8.4199999999999983E-2</v>
      </c>
      <c r="N711" s="124" t="s">
        <v>17821</v>
      </c>
      <c r="O711" s="131" t="s">
        <v>17822</v>
      </c>
      <c r="P711" s="128" t="s">
        <v>26918</v>
      </c>
      <c r="Q711" s="124">
        <f>32773+1198</f>
        <v>33971</v>
      </c>
      <c r="R711" s="124" t="s">
        <v>16348</v>
      </c>
      <c r="S711" s="132">
        <v>1991</v>
      </c>
      <c r="T711" s="129">
        <f>S711/Q711</f>
        <v>5.8608813399664422E-2</v>
      </c>
      <c r="V711" s="125" t="s">
        <v>17823</v>
      </c>
      <c r="W711" s="124" t="s">
        <v>17021</v>
      </c>
    </row>
    <row r="712" spans="1:23" customFormat="1" x14ac:dyDescent="0.45">
      <c r="A712">
        <v>190780</v>
      </c>
      <c r="B712" t="s">
        <v>17824</v>
      </c>
      <c r="C712" t="s">
        <v>16331</v>
      </c>
      <c r="D712">
        <v>0</v>
      </c>
      <c r="E712" t="s">
        <v>16331</v>
      </c>
      <c r="F712" s="124"/>
      <c r="G712" s="7">
        <v>0</v>
      </c>
      <c r="H712" s="7">
        <v>0</v>
      </c>
      <c r="I712" s="7">
        <v>0</v>
      </c>
      <c r="J712" s="7">
        <v>0</v>
      </c>
      <c r="K712" s="3">
        <f t="shared" si="27"/>
        <v>0</v>
      </c>
      <c r="L712" s="3"/>
      <c r="M712" s="3">
        <f t="shared" si="28"/>
        <v>0</v>
      </c>
      <c r="O712" s="5"/>
      <c r="S712" s="6"/>
    </row>
    <row r="713" spans="1:23" customFormat="1" x14ac:dyDescent="0.45">
      <c r="A713">
        <v>190859</v>
      </c>
      <c r="B713" t="s">
        <v>17825</v>
      </c>
      <c r="C713" t="s">
        <v>17826</v>
      </c>
      <c r="D713">
        <v>51</v>
      </c>
      <c r="F713" s="124"/>
      <c r="G713" s="7">
        <v>0</v>
      </c>
      <c r="H713" s="7">
        <v>0</v>
      </c>
      <c r="I713" s="7">
        <v>0</v>
      </c>
      <c r="J713" s="7">
        <v>0</v>
      </c>
      <c r="K713" s="3">
        <f t="shared" si="27"/>
        <v>0</v>
      </c>
      <c r="L713" s="3"/>
      <c r="M713" s="3">
        <f t="shared" si="28"/>
        <v>0</v>
      </c>
      <c r="N713" t="s">
        <v>17827</v>
      </c>
      <c r="O713" s="5"/>
      <c r="S713" s="6"/>
    </row>
    <row r="714" spans="1:23" x14ac:dyDescent="0.45">
      <c r="A714" s="124">
        <v>599254</v>
      </c>
      <c r="B714" s="124" t="s">
        <v>17828</v>
      </c>
      <c r="C714" s="124" t="s">
        <v>17829</v>
      </c>
      <c r="D714" s="124">
        <v>1</v>
      </c>
      <c r="E714" s="124" t="s">
        <v>16334</v>
      </c>
      <c r="F714" s="126">
        <v>1.6999999999999999E-3</v>
      </c>
      <c r="G714" s="126">
        <v>0.03</v>
      </c>
      <c r="H714" s="126">
        <v>0.01</v>
      </c>
      <c r="I714" s="127">
        <v>0</v>
      </c>
      <c r="J714" s="127">
        <v>0</v>
      </c>
      <c r="K714" s="126">
        <f t="shared" si="27"/>
        <v>0.04</v>
      </c>
      <c r="L714" s="3"/>
      <c r="M714" s="126">
        <f t="shared" si="28"/>
        <v>4.1700000000000001E-2</v>
      </c>
      <c r="O714" s="131" t="s">
        <v>17830</v>
      </c>
      <c r="P714" s="128" t="s">
        <v>26918</v>
      </c>
      <c r="Q714" s="130">
        <f>220001+41753</f>
        <v>261754</v>
      </c>
      <c r="R714" s="124" t="s">
        <v>16348</v>
      </c>
      <c r="S714" s="132">
        <v>137162</v>
      </c>
      <c r="T714" s="129">
        <f>S714/Q714</f>
        <v>0.5240110943863322</v>
      </c>
      <c r="V714" s="125" t="s">
        <v>17831</v>
      </c>
    </row>
    <row r="715" spans="1:23" customFormat="1" x14ac:dyDescent="0.45">
      <c r="A715">
        <v>191022</v>
      </c>
      <c r="B715" t="s">
        <v>17832</v>
      </c>
      <c r="C715" t="s">
        <v>17833</v>
      </c>
      <c r="D715">
        <v>13</v>
      </c>
      <c r="E715" t="s">
        <v>16334</v>
      </c>
      <c r="F715" s="124"/>
      <c r="G715" s="7">
        <v>0</v>
      </c>
      <c r="H715" s="7">
        <v>0</v>
      </c>
      <c r="I715" s="7">
        <v>0</v>
      </c>
      <c r="J715" s="7">
        <v>0</v>
      </c>
      <c r="K715" s="3">
        <f t="shared" si="27"/>
        <v>0</v>
      </c>
      <c r="L715" s="3"/>
      <c r="M715" s="3">
        <f t="shared" si="28"/>
        <v>0</v>
      </c>
      <c r="O715" s="5"/>
      <c r="S715" s="6"/>
    </row>
    <row r="716" spans="1:23" customFormat="1" x14ac:dyDescent="0.45">
      <c r="A716">
        <v>191209</v>
      </c>
      <c r="B716" t="s">
        <v>17834</v>
      </c>
      <c r="C716" t="s">
        <v>17835</v>
      </c>
      <c r="D716">
        <v>2</v>
      </c>
      <c r="E716" t="s">
        <v>16334</v>
      </c>
      <c r="F716" s="124"/>
      <c r="G716" s="7">
        <v>0</v>
      </c>
      <c r="H716" s="3">
        <v>0</v>
      </c>
      <c r="I716" s="3">
        <v>0</v>
      </c>
      <c r="J716">
        <v>0</v>
      </c>
      <c r="K716" s="3">
        <f t="shared" si="27"/>
        <v>0</v>
      </c>
      <c r="L716" s="3"/>
      <c r="M716" s="3">
        <f t="shared" si="28"/>
        <v>0</v>
      </c>
      <c r="O716" s="5"/>
      <c r="S716" s="6"/>
    </row>
    <row r="717" spans="1:23" customFormat="1" x14ac:dyDescent="0.45">
      <c r="A717">
        <v>191240</v>
      </c>
      <c r="B717" t="s">
        <v>17836</v>
      </c>
      <c r="C717" t="s">
        <v>17837</v>
      </c>
      <c r="D717">
        <v>0</v>
      </c>
      <c r="E717" t="s">
        <v>17838</v>
      </c>
      <c r="F717" s="124"/>
      <c r="G717" s="7">
        <v>0</v>
      </c>
      <c r="H717" s="7">
        <v>0</v>
      </c>
      <c r="I717" s="7">
        <v>0</v>
      </c>
      <c r="J717" s="7">
        <v>0</v>
      </c>
      <c r="K717" s="3">
        <f t="shared" si="27"/>
        <v>0</v>
      </c>
      <c r="L717" s="3"/>
      <c r="M717" s="3">
        <f t="shared" si="28"/>
        <v>0</v>
      </c>
      <c r="N717" s="7"/>
      <c r="O717" s="5"/>
      <c r="S717" s="6"/>
    </row>
    <row r="718" spans="1:23" customFormat="1" x14ac:dyDescent="0.45">
      <c r="A718">
        <v>191246</v>
      </c>
      <c r="B718" t="s">
        <v>17839</v>
      </c>
      <c r="C718" t="s">
        <v>16331</v>
      </c>
      <c r="D718">
        <v>1</v>
      </c>
      <c r="E718" t="s">
        <v>16331</v>
      </c>
      <c r="F718" s="124"/>
      <c r="G718" s="7">
        <v>0</v>
      </c>
      <c r="H718" s="7">
        <v>0</v>
      </c>
      <c r="I718" s="7">
        <v>0</v>
      </c>
      <c r="J718" s="7">
        <v>0</v>
      </c>
      <c r="K718" s="3">
        <f t="shared" si="27"/>
        <v>0</v>
      </c>
      <c r="L718" s="3"/>
      <c r="M718" s="3">
        <f t="shared" si="28"/>
        <v>0</v>
      </c>
      <c r="O718" s="5"/>
      <c r="S718" s="6"/>
    </row>
    <row r="719" spans="1:23" customFormat="1" x14ac:dyDescent="0.45">
      <c r="A719">
        <v>191334</v>
      </c>
      <c r="B719" t="s">
        <v>17840</v>
      </c>
      <c r="C719" t="s">
        <v>16331</v>
      </c>
      <c r="D719">
        <v>1</v>
      </c>
      <c r="E719" t="s">
        <v>16331</v>
      </c>
      <c r="F719" s="124"/>
      <c r="G719" s="7">
        <v>0</v>
      </c>
      <c r="H719" s="7">
        <v>0</v>
      </c>
      <c r="I719" s="7">
        <v>0</v>
      </c>
      <c r="J719" s="7">
        <v>0</v>
      </c>
      <c r="K719" s="3">
        <f t="shared" si="27"/>
        <v>0</v>
      </c>
      <c r="L719" s="3"/>
      <c r="M719" s="3">
        <f t="shared" si="28"/>
        <v>0</v>
      </c>
      <c r="O719" s="5"/>
      <c r="S719" s="6"/>
    </row>
    <row r="720" spans="1:23" customFormat="1" x14ac:dyDescent="0.45">
      <c r="A720">
        <v>191336</v>
      </c>
      <c r="B720" t="s">
        <v>17841</v>
      </c>
      <c r="C720" s="2" t="s">
        <v>17842</v>
      </c>
      <c r="D720">
        <v>9</v>
      </c>
      <c r="E720" t="s">
        <v>16334</v>
      </c>
      <c r="F720" s="125"/>
      <c r="G720" s="3">
        <v>0</v>
      </c>
      <c r="H720" s="3">
        <v>0</v>
      </c>
      <c r="I720" s="3">
        <v>0</v>
      </c>
      <c r="J720" s="3">
        <v>0</v>
      </c>
      <c r="K720" s="3">
        <f t="shared" si="27"/>
        <v>0</v>
      </c>
      <c r="L720" s="3"/>
      <c r="M720" s="3">
        <f t="shared" si="28"/>
        <v>0</v>
      </c>
      <c r="O720" s="5"/>
      <c r="S720" s="6"/>
    </row>
    <row r="721" spans="1:22" customFormat="1" x14ac:dyDescent="0.45">
      <c r="A721">
        <v>191340</v>
      </c>
      <c r="B721" t="s">
        <v>17843</v>
      </c>
      <c r="C721" t="s">
        <v>16331</v>
      </c>
      <c r="D721">
        <v>1</v>
      </c>
      <c r="E721" t="s">
        <v>16331</v>
      </c>
      <c r="F721" s="124"/>
      <c r="G721" s="7">
        <v>0</v>
      </c>
      <c r="H721" s="7">
        <v>0</v>
      </c>
      <c r="I721" s="7">
        <v>0</v>
      </c>
      <c r="J721" s="7">
        <v>0</v>
      </c>
      <c r="K721" s="3">
        <f t="shared" si="27"/>
        <v>0</v>
      </c>
      <c r="L721" s="3"/>
      <c r="M721" s="3">
        <f t="shared" si="28"/>
        <v>0</v>
      </c>
      <c r="O721" s="5"/>
      <c r="S721" s="6"/>
    </row>
    <row r="722" spans="1:22" customFormat="1" x14ac:dyDescent="0.45">
      <c r="A722">
        <v>191350</v>
      </c>
      <c r="B722" t="s">
        <v>17844</v>
      </c>
      <c r="C722" t="s">
        <v>16331</v>
      </c>
      <c r="D722">
        <v>1</v>
      </c>
      <c r="E722" t="s">
        <v>16331</v>
      </c>
      <c r="F722" s="124"/>
      <c r="K722" s="3">
        <f t="shared" si="27"/>
        <v>0</v>
      </c>
      <c r="L722" s="3"/>
      <c r="M722" s="3">
        <f t="shared" si="28"/>
        <v>0</v>
      </c>
      <c r="O722" s="5"/>
      <c r="S722" s="6"/>
    </row>
    <row r="723" spans="1:22" customFormat="1" x14ac:dyDescent="0.45">
      <c r="A723">
        <v>191436</v>
      </c>
      <c r="B723" t="s">
        <v>17845</v>
      </c>
      <c r="C723" t="s">
        <v>16331</v>
      </c>
      <c r="D723">
        <v>1</v>
      </c>
      <c r="E723" t="s">
        <v>16331</v>
      </c>
      <c r="F723" s="124"/>
      <c r="G723" s="7">
        <v>0</v>
      </c>
      <c r="H723" s="7">
        <v>0</v>
      </c>
      <c r="I723" s="7">
        <v>0</v>
      </c>
      <c r="J723" s="7">
        <v>0</v>
      </c>
      <c r="K723" s="3">
        <f t="shared" si="27"/>
        <v>0</v>
      </c>
      <c r="L723" s="3"/>
      <c r="M723" s="3">
        <f t="shared" si="28"/>
        <v>0</v>
      </c>
      <c r="O723" s="5"/>
      <c r="S723" s="6"/>
    </row>
    <row r="724" spans="1:22" customFormat="1" x14ac:dyDescent="0.45">
      <c r="A724">
        <v>191440</v>
      </c>
      <c r="B724" t="s">
        <v>17846</v>
      </c>
      <c r="C724" t="s">
        <v>16331</v>
      </c>
      <c r="D724">
        <v>3</v>
      </c>
      <c r="E724" t="s">
        <v>16331</v>
      </c>
      <c r="F724" s="124"/>
      <c r="G724" s="7">
        <v>0</v>
      </c>
      <c r="H724" s="7">
        <v>0</v>
      </c>
      <c r="I724" s="7">
        <v>0</v>
      </c>
      <c r="J724" s="7">
        <v>0</v>
      </c>
      <c r="K724" s="3">
        <f t="shared" si="27"/>
        <v>0</v>
      </c>
      <c r="L724" s="3"/>
      <c r="M724" s="3">
        <f t="shared" si="28"/>
        <v>0</v>
      </c>
      <c r="O724" s="5"/>
      <c r="S724" s="6"/>
    </row>
    <row r="725" spans="1:22" customFormat="1" x14ac:dyDescent="0.45">
      <c r="A725">
        <v>191531</v>
      </c>
      <c r="B725" t="s">
        <v>17847</v>
      </c>
      <c r="C725" t="s">
        <v>17848</v>
      </c>
      <c r="D725">
        <v>7</v>
      </c>
      <c r="E725" t="s">
        <v>16334</v>
      </c>
      <c r="F725" s="124"/>
      <c r="G725" s="7">
        <v>0</v>
      </c>
      <c r="H725" s="7">
        <v>0</v>
      </c>
      <c r="I725" s="7">
        <v>0</v>
      </c>
      <c r="J725" s="7">
        <v>0</v>
      </c>
      <c r="K725" s="3">
        <f t="shared" si="27"/>
        <v>0</v>
      </c>
      <c r="L725" s="3"/>
      <c r="M725" s="3">
        <f t="shared" si="28"/>
        <v>0</v>
      </c>
      <c r="O725" s="5"/>
      <c r="S725" s="6"/>
    </row>
    <row r="726" spans="1:22" customFormat="1" x14ac:dyDescent="0.45">
      <c r="A726">
        <v>191568</v>
      </c>
      <c r="B726" t="s">
        <v>17849</v>
      </c>
      <c r="C726" t="s">
        <v>17850</v>
      </c>
      <c r="D726">
        <v>1</v>
      </c>
      <c r="E726" t="s">
        <v>16334</v>
      </c>
      <c r="F726" s="124"/>
      <c r="G726" s="7">
        <v>0</v>
      </c>
      <c r="H726" s="7">
        <v>0</v>
      </c>
      <c r="I726" s="7">
        <v>0</v>
      </c>
      <c r="J726" s="7">
        <v>0</v>
      </c>
      <c r="K726" s="3">
        <f t="shared" si="27"/>
        <v>0</v>
      </c>
      <c r="L726" s="3"/>
      <c r="M726" s="3">
        <f t="shared" si="28"/>
        <v>0</v>
      </c>
      <c r="O726" s="5"/>
      <c r="S726" s="6"/>
    </row>
    <row r="727" spans="1:22" customFormat="1" x14ac:dyDescent="0.45">
      <c r="A727">
        <v>191609</v>
      </c>
      <c r="B727" t="s">
        <v>17851</v>
      </c>
      <c r="C727" t="s">
        <v>17852</v>
      </c>
      <c r="D727">
        <v>66</v>
      </c>
      <c r="E727" t="s">
        <v>16417</v>
      </c>
      <c r="F727" s="124"/>
      <c r="K727" s="3">
        <f t="shared" si="27"/>
        <v>0</v>
      </c>
      <c r="L727" s="3"/>
      <c r="M727" s="3">
        <f t="shared" si="28"/>
        <v>0</v>
      </c>
      <c r="O727" s="5"/>
      <c r="S727" s="6"/>
    </row>
    <row r="728" spans="1:22" customFormat="1" x14ac:dyDescent="0.45">
      <c r="A728">
        <v>191617</v>
      </c>
      <c r="B728" t="s">
        <v>17853</v>
      </c>
      <c r="C728" t="s">
        <v>16331</v>
      </c>
      <c r="D728">
        <v>1</v>
      </c>
      <c r="E728" t="s">
        <v>16331</v>
      </c>
      <c r="F728" s="124"/>
      <c r="G728" s="7">
        <v>0</v>
      </c>
      <c r="H728" s="7">
        <v>0</v>
      </c>
      <c r="I728" s="7">
        <v>0</v>
      </c>
      <c r="J728" s="7">
        <v>0</v>
      </c>
      <c r="K728" s="3">
        <f t="shared" si="27"/>
        <v>0</v>
      </c>
      <c r="L728" s="3"/>
      <c r="M728" s="3">
        <f t="shared" si="28"/>
        <v>0</v>
      </c>
      <c r="O728" s="5"/>
      <c r="S728" s="6"/>
    </row>
    <row r="729" spans="1:22" x14ac:dyDescent="0.45">
      <c r="A729" s="124">
        <v>555523</v>
      </c>
      <c r="B729" s="124" t="s">
        <v>17854</v>
      </c>
      <c r="C729" s="124" t="s">
        <v>17855</v>
      </c>
      <c r="D729" s="124">
        <v>1</v>
      </c>
      <c r="E729" s="124" t="s">
        <v>16334</v>
      </c>
      <c r="F729" s="126">
        <v>1.6999999999999999E-3</v>
      </c>
      <c r="G729" s="135">
        <v>0.03</v>
      </c>
      <c r="H729" s="135">
        <v>0.01</v>
      </c>
      <c r="I729" s="127"/>
      <c r="J729" s="127"/>
      <c r="K729" s="126">
        <f t="shared" si="27"/>
        <v>0.04</v>
      </c>
      <c r="L729" s="3"/>
      <c r="M729" s="126">
        <f t="shared" si="28"/>
        <v>4.1700000000000001E-2</v>
      </c>
      <c r="O729" s="131" t="s">
        <v>17856</v>
      </c>
      <c r="P729" s="128" t="s">
        <v>26918</v>
      </c>
      <c r="Q729" s="130">
        <v>30699</v>
      </c>
      <c r="R729" s="124" t="s">
        <v>16348</v>
      </c>
      <c r="S729" s="132">
        <v>15897</v>
      </c>
      <c r="T729" s="129">
        <f>S729/Q729</f>
        <v>0.51783445714844134</v>
      </c>
      <c r="V729" s="125" t="s">
        <v>17857</v>
      </c>
    </row>
    <row r="730" spans="1:22" customFormat="1" x14ac:dyDescent="0.45">
      <c r="A730">
        <v>191772</v>
      </c>
      <c r="B730" t="s">
        <v>17858</v>
      </c>
      <c r="C730" t="s">
        <v>16331</v>
      </c>
      <c r="D730">
        <v>1</v>
      </c>
      <c r="E730" t="s">
        <v>16331</v>
      </c>
      <c r="F730" s="124"/>
      <c r="G730" s="7">
        <v>0</v>
      </c>
      <c r="H730" s="7">
        <v>0</v>
      </c>
      <c r="I730" s="7">
        <v>0</v>
      </c>
      <c r="J730" s="7">
        <v>0</v>
      </c>
      <c r="K730" s="3">
        <f t="shared" si="27"/>
        <v>0</v>
      </c>
      <c r="L730" s="3"/>
      <c r="M730" s="3">
        <f t="shared" si="28"/>
        <v>0</v>
      </c>
      <c r="O730" s="5"/>
      <c r="S730" s="6"/>
    </row>
    <row r="731" spans="1:22" customFormat="1" x14ac:dyDescent="0.45">
      <c r="A731">
        <v>191786</v>
      </c>
      <c r="B731" t="s">
        <v>17859</v>
      </c>
      <c r="C731" t="s">
        <v>16331</v>
      </c>
      <c r="D731">
        <v>4</v>
      </c>
      <c r="E731" t="s">
        <v>16331</v>
      </c>
      <c r="F731" s="124"/>
      <c r="G731" s="7">
        <v>0</v>
      </c>
      <c r="H731" s="7">
        <v>0</v>
      </c>
      <c r="I731" s="7">
        <v>0</v>
      </c>
      <c r="J731" s="7">
        <v>0</v>
      </c>
      <c r="K731" s="3">
        <f t="shared" si="27"/>
        <v>0</v>
      </c>
      <c r="L731" s="3"/>
      <c r="M731" s="3">
        <f t="shared" si="28"/>
        <v>0</v>
      </c>
      <c r="O731" s="5"/>
      <c r="S731" s="6"/>
    </row>
    <row r="732" spans="1:22" customFormat="1" x14ac:dyDescent="0.45">
      <c r="A732">
        <v>191811</v>
      </c>
      <c r="B732" t="s">
        <v>17860</v>
      </c>
      <c r="C732" t="s">
        <v>16331</v>
      </c>
      <c r="D732">
        <v>1</v>
      </c>
      <c r="E732" t="s">
        <v>16331</v>
      </c>
      <c r="F732" s="124"/>
      <c r="G732" s="7">
        <v>0</v>
      </c>
      <c r="H732" s="7">
        <v>0</v>
      </c>
      <c r="I732" s="7">
        <v>0</v>
      </c>
      <c r="J732" s="7">
        <v>0</v>
      </c>
      <c r="K732" s="3">
        <f t="shared" si="27"/>
        <v>0</v>
      </c>
      <c r="L732" s="3"/>
      <c r="M732" s="3">
        <f t="shared" si="28"/>
        <v>0</v>
      </c>
      <c r="O732" s="5"/>
      <c r="S732" s="6"/>
    </row>
    <row r="733" spans="1:22" customFormat="1" x14ac:dyDescent="0.45">
      <c r="A733">
        <v>191874</v>
      </c>
      <c r="B733" t="s">
        <v>17861</v>
      </c>
      <c r="C733" t="s">
        <v>17862</v>
      </c>
      <c r="D733">
        <v>2</v>
      </c>
      <c r="E733" t="s">
        <v>16334</v>
      </c>
      <c r="F733" s="124"/>
      <c r="G733" s="3">
        <v>0</v>
      </c>
      <c r="H733" s="3">
        <v>0</v>
      </c>
      <c r="I733" s="3">
        <v>0</v>
      </c>
      <c r="J733" s="3">
        <v>0</v>
      </c>
      <c r="K733" s="3">
        <f t="shared" si="27"/>
        <v>0</v>
      </c>
      <c r="L733" s="3"/>
      <c r="M733" s="3">
        <f t="shared" si="28"/>
        <v>0</v>
      </c>
      <c r="O733" s="5"/>
      <c r="S733" s="6"/>
    </row>
    <row r="734" spans="1:22" customFormat="1" x14ac:dyDescent="0.45">
      <c r="A734">
        <v>191962</v>
      </c>
      <c r="B734" t="s">
        <v>17863</v>
      </c>
      <c r="C734" t="s">
        <v>16331</v>
      </c>
      <c r="D734">
        <v>1</v>
      </c>
      <c r="E734" t="s">
        <v>16331</v>
      </c>
      <c r="F734" s="124"/>
      <c r="G734" s="7">
        <v>0</v>
      </c>
      <c r="H734" s="7">
        <v>0</v>
      </c>
      <c r="I734" s="7">
        <v>0</v>
      </c>
      <c r="J734" s="7">
        <v>0</v>
      </c>
      <c r="K734" s="3">
        <f t="shared" si="27"/>
        <v>0</v>
      </c>
      <c r="L734" s="3"/>
      <c r="M734" s="3">
        <f t="shared" si="28"/>
        <v>0</v>
      </c>
      <c r="O734" s="5"/>
      <c r="S734" s="6"/>
    </row>
    <row r="735" spans="1:22" x14ac:dyDescent="0.45">
      <c r="A735" s="124">
        <v>534860</v>
      </c>
      <c r="B735" s="124" t="s">
        <v>17864</v>
      </c>
      <c r="C735" s="124" t="s">
        <v>17865</v>
      </c>
      <c r="D735" s="124">
        <v>1</v>
      </c>
      <c r="E735" s="124" t="s">
        <v>16334</v>
      </c>
      <c r="F735" s="126">
        <v>1.6999999999999999E-3</v>
      </c>
      <c r="G735" s="126">
        <v>0.03</v>
      </c>
      <c r="H735" s="126">
        <v>7.4999999999999997E-3</v>
      </c>
      <c r="I735" s="127">
        <v>0</v>
      </c>
      <c r="J735" s="127">
        <v>0</v>
      </c>
      <c r="K735" s="126">
        <f t="shared" si="27"/>
        <v>3.7499999999999999E-2</v>
      </c>
      <c r="L735" s="3"/>
      <c r="M735" s="126">
        <f t="shared" si="28"/>
        <v>3.9199999999999999E-2</v>
      </c>
      <c r="N735" s="124" t="s">
        <v>17866</v>
      </c>
      <c r="O735" s="131" t="s">
        <v>17867</v>
      </c>
      <c r="P735" s="128" t="s">
        <v>26918</v>
      </c>
      <c r="Q735" s="130">
        <f>348715+84642</f>
        <v>433357</v>
      </c>
      <c r="R735" s="124" t="s">
        <v>16348</v>
      </c>
      <c r="S735" s="132">
        <v>347108</v>
      </c>
      <c r="T735" s="129">
        <f>S735/Q735</f>
        <v>0.80097471599628023</v>
      </c>
      <c r="V735" s="125" t="s">
        <v>17868</v>
      </c>
    </row>
    <row r="736" spans="1:22" customFormat="1" x14ac:dyDescent="0.45">
      <c r="A736">
        <v>192052</v>
      </c>
      <c r="B736" t="s">
        <v>17869</v>
      </c>
      <c r="C736" t="s">
        <v>17870</v>
      </c>
      <c r="D736">
        <v>9</v>
      </c>
      <c r="E736" t="s">
        <v>16334</v>
      </c>
      <c r="F736" s="124"/>
      <c r="G736" s="3">
        <v>0</v>
      </c>
      <c r="H736" s="3">
        <v>0</v>
      </c>
      <c r="I736" s="3">
        <v>0</v>
      </c>
      <c r="J736" s="3">
        <v>0</v>
      </c>
      <c r="K736" s="3">
        <f t="shared" si="27"/>
        <v>0</v>
      </c>
      <c r="L736" s="3"/>
      <c r="M736" s="3">
        <f t="shared" si="28"/>
        <v>0</v>
      </c>
      <c r="O736" s="5"/>
      <c r="S736" s="6"/>
    </row>
    <row r="737" spans="1:22" customFormat="1" x14ac:dyDescent="0.45">
      <c r="A737">
        <v>192204</v>
      </c>
      <c r="B737" t="s">
        <v>17871</v>
      </c>
      <c r="C737" t="s">
        <v>17872</v>
      </c>
      <c r="D737">
        <v>22</v>
      </c>
      <c r="E737" t="s">
        <v>16417</v>
      </c>
      <c r="F737" s="124"/>
      <c r="G737" s="7">
        <v>0</v>
      </c>
      <c r="H737" s="7">
        <v>0</v>
      </c>
      <c r="I737" s="7">
        <v>0</v>
      </c>
      <c r="J737" s="7">
        <v>0</v>
      </c>
      <c r="K737" s="3">
        <f t="shared" si="27"/>
        <v>0</v>
      </c>
      <c r="L737" s="3"/>
      <c r="M737" s="3">
        <f t="shared" si="28"/>
        <v>0</v>
      </c>
      <c r="N737" s="7"/>
      <c r="O737" s="5"/>
      <c r="S737" s="6"/>
    </row>
    <row r="738" spans="1:22" customFormat="1" x14ac:dyDescent="0.45">
      <c r="A738">
        <v>192209</v>
      </c>
      <c r="B738" t="s">
        <v>17873</v>
      </c>
      <c r="C738" t="s">
        <v>16331</v>
      </c>
      <c r="D738">
        <v>1</v>
      </c>
      <c r="E738" t="s">
        <v>16331</v>
      </c>
      <c r="F738" s="124"/>
      <c r="G738" s="7">
        <v>0</v>
      </c>
      <c r="H738" s="7">
        <v>0</v>
      </c>
      <c r="I738" s="7">
        <v>0</v>
      </c>
      <c r="J738" s="7">
        <v>0</v>
      </c>
      <c r="K738" s="3">
        <f t="shared" si="27"/>
        <v>0</v>
      </c>
      <c r="L738" s="3"/>
      <c r="M738" s="3">
        <f t="shared" si="28"/>
        <v>0</v>
      </c>
      <c r="O738" s="5"/>
      <c r="S738" s="6"/>
    </row>
    <row r="739" spans="1:22" customFormat="1" x14ac:dyDescent="0.45">
      <c r="A739">
        <v>192289</v>
      </c>
      <c r="B739" t="s">
        <v>17874</v>
      </c>
      <c r="C739" t="s">
        <v>17875</v>
      </c>
      <c r="D739">
        <v>4</v>
      </c>
      <c r="E739" t="s">
        <v>16334</v>
      </c>
      <c r="F739" s="124"/>
      <c r="G739" s="3">
        <v>0</v>
      </c>
      <c r="H739" s="3">
        <v>0</v>
      </c>
      <c r="I739" s="3">
        <v>0</v>
      </c>
      <c r="J739" s="3">
        <v>0</v>
      </c>
      <c r="K739" s="3">
        <f t="shared" si="27"/>
        <v>0</v>
      </c>
      <c r="L739" s="3"/>
      <c r="M739" s="3">
        <f t="shared" si="28"/>
        <v>0</v>
      </c>
      <c r="O739" s="5"/>
      <c r="S739" s="6"/>
    </row>
    <row r="740" spans="1:22" x14ac:dyDescent="0.45">
      <c r="A740" s="124">
        <v>184046</v>
      </c>
      <c r="B740" s="124" t="s">
        <v>17876</v>
      </c>
      <c r="C740" s="125" t="s">
        <v>17877</v>
      </c>
      <c r="D740" s="124">
        <v>7</v>
      </c>
      <c r="E740" s="124" t="s">
        <v>16334</v>
      </c>
      <c r="F740" s="126">
        <v>1.6999999999999999E-3</v>
      </c>
      <c r="G740" s="126">
        <v>0.02</v>
      </c>
      <c r="H740" s="126">
        <v>0.01</v>
      </c>
      <c r="I740" s="127">
        <v>0</v>
      </c>
      <c r="J740" s="127">
        <v>0</v>
      </c>
      <c r="K740" s="126">
        <f t="shared" si="27"/>
        <v>0.03</v>
      </c>
      <c r="L740" s="3"/>
      <c r="M740" s="126">
        <f t="shared" si="28"/>
        <v>3.1699999999999999E-2</v>
      </c>
      <c r="O740" s="125" t="s">
        <v>17878</v>
      </c>
      <c r="P740" s="128" t="s">
        <v>26918</v>
      </c>
      <c r="Q740" s="130">
        <f>3689216+272816</f>
        <v>3962032</v>
      </c>
      <c r="R740" s="124" t="s">
        <v>16348</v>
      </c>
      <c r="S740" s="130">
        <v>3611842</v>
      </c>
      <c r="T740" s="129">
        <f>S740/Q740</f>
        <v>0.91161353568068104</v>
      </c>
      <c r="V740" s="125" t="s">
        <v>17879</v>
      </c>
    </row>
    <row r="741" spans="1:22" customFormat="1" x14ac:dyDescent="0.45">
      <c r="A741">
        <v>192380</v>
      </c>
      <c r="B741" t="s">
        <v>17880</v>
      </c>
      <c r="C741" t="s">
        <v>16331</v>
      </c>
      <c r="D741">
        <v>2</v>
      </c>
      <c r="E741" t="s">
        <v>16331</v>
      </c>
      <c r="F741" s="124"/>
      <c r="G741" s="7">
        <v>0</v>
      </c>
      <c r="H741" s="7">
        <v>0</v>
      </c>
      <c r="I741" s="7">
        <v>0</v>
      </c>
      <c r="J741" s="7">
        <v>0</v>
      </c>
      <c r="K741" s="3">
        <f t="shared" si="27"/>
        <v>0</v>
      </c>
      <c r="L741" s="3"/>
      <c r="M741" s="3">
        <f t="shared" si="28"/>
        <v>0</v>
      </c>
      <c r="O741" s="5"/>
      <c r="S741" s="6"/>
    </row>
    <row r="742" spans="1:22" customFormat="1" x14ac:dyDescent="0.45">
      <c r="A742">
        <v>192396</v>
      </c>
      <c r="B742" t="s">
        <v>17881</v>
      </c>
      <c r="C742" t="s">
        <v>17882</v>
      </c>
      <c r="D742">
        <v>29</v>
      </c>
      <c r="E742" t="s">
        <v>16334</v>
      </c>
      <c r="F742" s="124"/>
      <c r="G742" s="7">
        <v>0</v>
      </c>
      <c r="H742" s="7">
        <v>0</v>
      </c>
      <c r="I742" s="7">
        <v>0</v>
      </c>
      <c r="J742" s="7">
        <v>0</v>
      </c>
      <c r="K742" s="3">
        <f t="shared" si="27"/>
        <v>0</v>
      </c>
      <c r="L742" s="3"/>
      <c r="M742" s="3">
        <f t="shared" si="28"/>
        <v>0</v>
      </c>
      <c r="O742" s="5"/>
      <c r="S742" s="6"/>
    </row>
    <row r="743" spans="1:22" customFormat="1" x14ac:dyDescent="0.45">
      <c r="A743">
        <v>192409</v>
      </c>
      <c r="B743" t="s">
        <v>17883</v>
      </c>
      <c r="C743" t="s">
        <v>17884</v>
      </c>
      <c r="D743">
        <v>4</v>
      </c>
      <c r="E743" t="s">
        <v>16334</v>
      </c>
      <c r="F743" s="124"/>
      <c r="G743" s="7">
        <v>0</v>
      </c>
      <c r="H743" s="7">
        <v>0</v>
      </c>
      <c r="I743" s="7">
        <v>0</v>
      </c>
      <c r="J743" s="7">
        <v>0</v>
      </c>
      <c r="K743" s="3">
        <f t="shared" si="27"/>
        <v>0</v>
      </c>
      <c r="L743" s="3"/>
      <c r="M743" s="3">
        <f t="shared" si="28"/>
        <v>0</v>
      </c>
      <c r="O743" s="5"/>
      <c r="S743" s="6"/>
    </row>
    <row r="744" spans="1:22" customFormat="1" x14ac:dyDescent="0.45">
      <c r="A744">
        <v>192411</v>
      </c>
      <c r="B744" t="s">
        <v>17885</v>
      </c>
      <c r="C744" t="s">
        <v>17886</v>
      </c>
      <c r="D744">
        <v>5</v>
      </c>
      <c r="E744" t="s">
        <v>16334</v>
      </c>
      <c r="F744" s="124"/>
      <c r="G744" s="7">
        <v>0</v>
      </c>
      <c r="H744" s="7">
        <v>0</v>
      </c>
      <c r="I744" s="7">
        <v>0</v>
      </c>
      <c r="J744" s="7">
        <v>0</v>
      </c>
      <c r="K744" s="3">
        <f t="shared" si="27"/>
        <v>0</v>
      </c>
      <c r="L744" s="3"/>
      <c r="M744" s="3">
        <f t="shared" si="28"/>
        <v>0</v>
      </c>
      <c r="O744" s="5"/>
      <c r="S744" s="6"/>
    </row>
    <row r="745" spans="1:22" customFormat="1" x14ac:dyDescent="0.45">
      <c r="A745">
        <v>192557</v>
      </c>
      <c r="B745" t="s">
        <v>17887</v>
      </c>
      <c r="C745" t="s">
        <v>17888</v>
      </c>
      <c r="D745">
        <v>3</v>
      </c>
      <c r="E745" t="s">
        <v>16334</v>
      </c>
      <c r="F745" s="124"/>
      <c r="G745" s="7">
        <v>0</v>
      </c>
      <c r="H745" s="7">
        <v>0</v>
      </c>
      <c r="I745" s="7">
        <v>0</v>
      </c>
      <c r="J745" s="7">
        <v>0</v>
      </c>
      <c r="K745" s="3">
        <f t="shared" si="27"/>
        <v>0</v>
      </c>
      <c r="L745" s="3"/>
      <c r="M745" s="3">
        <f t="shared" si="28"/>
        <v>0</v>
      </c>
      <c r="O745" s="5"/>
      <c r="S745" s="6"/>
    </row>
    <row r="746" spans="1:22" customFormat="1" x14ac:dyDescent="0.45">
      <c r="A746">
        <v>192598</v>
      </c>
      <c r="B746" t="s">
        <v>17889</v>
      </c>
      <c r="C746" t="s">
        <v>17890</v>
      </c>
      <c r="D746">
        <v>2</v>
      </c>
      <c r="E746" t="s">
        <v>17891</v>
      </c>
      <c r="F746" s="124"/>
      <c r="G746" s="7">
        <v>0</v>
      </c>
      <c r="H746" s="7">
        <v>0</v>
      </c>
      <c r="I746" s="7">
        <v>0</v>
      </c>
      <c r="J746" s="7">
        <v>0</v>
      </c>
      <c r="K746" s="3">
        <f t="shared" si="27"/>
        <v>0</v>
      </c>
      <c r="L746" s="3"/>
      <c r="M746" s="3">
        <f t="shared" si="28"/>
        <v>0</v>
      </c>
      <c r="O746" s="5"/>
      <c r="S746" s="6"/>
    </row>
    <row r="747" spans="1:22" customFormat="1" x14ac:dyDescent="0.45">
      <c r="A747">
        <v>192626</v>
      </c>
      <c r="B747" t="s">
        <v>17892</v>
      </c>
      <c r="C747" t="s">
        <v>17893</v>
      </c>
      <c r="D747">
        <v>1</v>
      </c>
      <c r="E747" t="s">
        <v>16334</v>
      </c>
      <c r="F747" s="124"/>
      <c r="G747" s="3">
        <v>0</v>
      </c>
      <c r="H747" s="3">
        <v>0</v>
      </c>
      <c r="I747" s="3">
        <v>0</v>
      </c>
      <c r="J747" s="3">
        <v>0</v>
      </c>
      <c r="K747" s="3">
        <f t="shared" si="27"/>
        <v>0</v>
      </c>
      <c r="L747" s="3"/>
      <c r="M747" s="3">
        <f t="shared" si="28"/>
        <v>0</v>
      </c>
      <c r="O747" s="5"/>
      <c r="S747" s="6"/>
    </row>
    <row r="748" spans="1:22" customFormat="1" x14ac:dyDescent="0.45">
      <c r="A748">
        <v>192637</v>
      </c>
      <c r="B748" t="s">
        <v>17894</v>
      </c>
      <c r="C748" t="s">
        <v>17895</v>
      </c>
      <c r="D748">
        <v>4</v>
      </c>
      <c r="E748" t="s">
        <v>16334</v>
      </c>
      <c r="F748" s="124"/>
      <c r="G748" s="7">
        <v>0</v>
      </c>
      <c r="H748" s="7">
        <v>0</v>
      </c>
      <c r="I748" s="7">
        <v>0</v>
      </c>
      <c r="J748" s="7">
        <v>0</v>
      </c>
      <c r="K748" s="3">
        <f t="shared" si="27"/>
        <v>0</v>
      </c>
      <c r="L748" s="3"/>
      <c r="M748" s="3">
        <f t="shared" si="28"/>
        <v>0</v>
      </c>
      <c r="O748" s="5"/>
      <c r="S748" s="6"/>
    </row>
    <row r="749" spans="1:22" customFormat="1" x14ac:dyDescent="0.45">
      <c r="A749">
        <v>192638</v>
      </c>
      <c r="B749" t="s">
        <v>17896</v>
      </c>
      <c r="C749" t="s">
        <v>17826</v>
      </c>
      <c r="D749">
        <v>212</v>
      </c>
      <c r="E749" t="s">
        <v>16334</v>
      </c>
      <c r="F749" s="124"/>
      <c r="G749" s="7">
        <v>0</v>
      </c>
      <c r="H749" s="7">
        <v>0</v>
      </c>
      <c r="I749" s="7">
        <v>0</v>
      </c>
      <c r="J749" s="7">
        <v>0</v>
      </c>
      <c r="K749" s="3">
        <f t="shared" si="27"/>
        <v>0</v>
      </c>
      <c r="L749" s="3"/>
      <c r="M749" s="3">
        <f t="shared" si="28"/>
        <v>0</v>
      </c>
      <c r="O749" s="5"/>
      <c r="S749" s="6"/>
    </row>
    <row r="750" spans="1:22" customFormat="1" x14ac:dyDescent="0.45">
      <c r="A750">
        <v>192664</v>
      </c>
      <c r="B750" t="s">
        <v>17897</v>
      </c>
      <c r="C750" t="s">
        <v>16451</v>
      </c>
      <c r="D750">
        <v>0</v>
      </c>
      <c r="F750" s="124"/>
      <c r="K750" s="3">
        <f t="shared" si="27"/>
        <v>0</v>
      </c>
      <c r="L750" s="3"/>
      <c r="M750" s="3">
        <f t="shared" si="28"/>
        <v>0</v>
      </c>
      <c r="O750" s="5"/>
      <c r="S750" s="6"/>
    </row>
    <row r="751" spans="1:22" x14ac:dyDescent="0.45">
      <c r="A751" s="124">
        <v>214376</v>
      </c>
      <c r="B751" s="124" t="s">
        <v>17898</v>
      </c>
      <c r="C751" s="124" t="s">
        <v>17899</v>
      </c>
      <c r="D751" s="124">
        <v>1</v>
      </c>
      <c r="E751" s="124" t="s">
        <v>16334</v>
      </c>
      <c r="F751" s="126">
        <v>1.6999999999999999E-3</v>
      </c>
      <c r="G751" s="126">
        <v>0.03</v>
      </c>
      <c r="H751" s="126">
        <v>0.01</v>
      </c>
      <c r="I751" s="127">
        <v>0</v>
      </c>
      <c r="J751" s="127">
        <v>0</v>
      </c>
      <c r="K751" s="126">
        <f t="shared" ref="K751:K814" si="29">SUM(G751:J751)</f>
        <v>0.04</v>
      </c>
      <c r="L751" s="3"/>
      <c r="M751" s="126">
        <f t="shared" ref="M751:M814" si="30">K751+F751</f>
        <v>4.1700000000000001E-2</v>
      </c>
      <c r="O751" s="125" t="s">
        <v>17900</v>
      </c>
      <c r="P751" s="128" t="s">
        <v>26918</v>
      </c>
      <c r="Q751" s="130">
        <f>163384+68154</f>
        <v>231538</v>
      </c>
      <c r="R751" s="124" t="s">
        <v>16348</v>
      </c>
      <c r="S751" s="130">
        <v>143510</v>
      </c>
      <c r="T751" s="129">
        <f>S751/Q751</f>
        <v>0.61981186673461808</v>
      </c>
      <c r="V751" s="125" t="s">
        <v>17901</v>
      </c>
    </row>
    <row r="752" spans="1:22" customFormat="1" x14ac:dyDescent="0.45">
      <c r="A752">
        <v>192743</v>
      </c>
      <c r="B752" t="s">
        <v>17902</v>
      </c>
      <c r="C752" t="s">
        <v>16331</v>
      </c>
      <c r="D752">
        <v>1</v>
      </c>
      <c r="E752" t="s">
        <v>16331</v>
      </c>
      <c r="F752" s="126"/>
      <c r="G752" s="7">
        <v>0</v>
      </c>
      <c r="H752" s="7">
        <v>0</v>
      </c>
      <c r="I752" s="7">
        <v>0</v>
      </c>
      <c r="J752" s="7">
        <v>0</v>
      </c>
      <c r="K752" s="3">
        <f t="shared" si="29"/>
        <v>0</v>
      </c>
      <c r="L752" s="3"/>
      <c r="M752" s="3">
        <f t="shared" si="30"/>
        <v>0</v>
      </c>
      <c r="O752" s="5"/>
      <c r="S752" s="6"/>
    </row>
    <row r="753" spans="1:22" customFormat="1" x14ac:dyDescent="0.45">
      <c r="A753">
        <v>192807</v>
      </c>
      <c r="B753" t="s">
        <v>17903</v>
      </c>
      <c r="C753" t="s">
        <v>17904</v>
      </c>
      <c r="D753">
        <v>3</v>
      </c>
      <c r="E753" t="s">
        <v>16334</v>
      </c>
      <c r="F753" s="126"/>
      <c r="K753" s="3">
        <f t="shared" si="29"/>
        <v>0</v>
      </c>
      <c r="L753" s="3"/>
      <c r="M753" s="3">
        <f t="shared" si="30"/>
        <v>0</v>
      </c>
      <c r="O753" s="5"/>
      <c r="S753" s="6"/>
    </row>
    <row r="754" spans="1:22" customFormat="1" x14ac:dyDescent="0.45">
      <c r="A754">
        <v>192815</v>
      </c>
      <c r="B754" t="s">
        <v>17905</v>
      </c>
      <c r="C754" t="s">
        <v>17906</v>
      </c>
      <c r="D754">
        <v>0</v>
      </c>
      <c r="E754" t="s">
        <v>16561</v>
      </c>
      <c r="F754" s="126"/>
      <c r="G754" s="7">
        <v>0</v>
      </c>
      <c r="H754" s="7">
        <v>0</v>
      </c>
      <c r="I754" s="7">
        <v>0</v>
      </c>
      <c r="J754" s="7">
        <v>0</v>
      </c>
      <c r="K754" s="3">
        <f t="shared" si="29"/>
        <v>0</v>
      </c>
      <c r="L754" s="3"/>
      <c r="M754" s="3">
        <f t="shared" si="30"/>
        <v>0</v>
      </c>
      <c r="N754" s="7"/>
      <c r="O754" s="5"/>
      <c r="S754" s="6"/>
    </row>
    <row r="755" spans="1:22" x14ac:dyDescent="0.45">
      <c r="A755" s="124">
        <v>176477</v>
      </c>
      <c r="B755" s="124" t="s">
        <v>17907</v>
      </c>
      <c r="C755" s="124" t="s">
        <v>17908</v>
      </c>
      <c r="D755" s="124">
        <v>3</v>
      </c>
      <c r="E755" s="124" t="s">
        <v>16334</v>
      </c>
      <c r="F755" s="126">
        <v>1.6999999999999999E-3</v>
      </c>
      <c r="G755" s="126">
        <v>1.4999999999999999E-2</v>
      </c>
      <c r="H755" s="126">
        <v>2.5000000000000001E-3</v>
      </c>
      <c r="I755" s="127">
        <v>0</v>
      </c>
      <c r="J755" s="127">
        <v>0</v>
      </c>
      <c r="K755" s="126">
        <f t="shared" si="29"/>
        <v>1.7499999999999998E-2</v>
      </c>
      <c r="L755" s="3"/>
      <c r="M755" s="126">
        <f t="shared" si="30"/>
        <v>1.9199999999999998E-2</v>
      </c>
      <c r="O755" s="125" t="s">
        <v>17909</v>
      </c>
      <c r="P755" s="128" t="s">
        <v>26918</v>
      </c>
      <c r="Q755" s="130">
        <f>137275+75589</f>
        <v>212864</v>
      </c>
      <c r="R755" s="124" t="s">
        <v>16348</v>
      </c>
      <c r="S755" s="130">
        <v>127275</v>
      </c>
      <c r="T755" s="129">
        <f>S755/Q755</f>
        <v>0.59791697985568248</v>
      </c>
      <c r="V755" s="125" t="s">
        <v>17910</v>
      </c>
    </row>
    <row r="756" spans="1:22" customFormat="1" x14ac:dyDescent="0.45">
      <c r="A756">
        <v>193065</v>
      </c>
      <c r="B756" t="s">
        <v>17911</v>
      </c>
      <c r="C756" t="s">
        <v>17912</v>
      </c>
      <c r="D756">
        <v>15</v>
      </c>
      <c r="E756" t="s">
        <v>16334</v>
      </c>
      <c r="F756" s="126"/>
      <c r="G756" s="7">
        <v>0</v>
      </c>
      <c r="H756" s="7">
        <v>0</v>
      </c>
      <c r="I756" s="7">
        <v>0</v>
      </c>
      <c r="J756" s="7">
        <v>0</v>
      </c>
      <c r="K756" s="3">
        <f t="shared" si="29"/>
        <v>0</v>
      </c>
      <c r="L756" s="3"/>
      <c r="M756" s="3">
        <f t="shared" si="30"/>
        <v>0</v>
      </c>
      <c r="O756" s="5"/>
      <c r="S756" s="6"/>
    </row>
    <row r="757" spans="1:22" customFormat="1" x14ac:dyDescent="0.45">
      <c r="A757">
        <v>193085</v>
      </c>
      <c r="B757" t="s">
        <v>17913</v>
      </c>
      <c r="C757" t="s">
        <v>17914</v>
      </c>
      <c r="D757">
        <v>2</v>
      </c>
      <c r="E757" t="s">
        <v>16334</v>
      </c>
      <c r="F757" s="126"/>
      <c r="G757" s="7">
        <v>0</v>
      </c>
      <c r="H757" s="7">
        <v>0</v>
      </c>
      <c r="I757" s="7">
        <v>0</v>
      </c>
      <c r="J757" s="7">
        <v>0</v>
      </c>
      <c r="K757" s="3">
        <f t="shared" si="29"/>
        <v>0</v>
      </c>
      <c r="L757" s="3"/>
      <c r="M757" s="3">
        <f t="shared" si="30"/>
        <v>0</v>
      </c>
      <c r="N757" s="7"/>
      <c r="O757" s="5"/>
      <c r="S757" s="6"/>
    </row>
    <row r="758" spans="1:22" customFormat="1" x14ac:dyDescent="0.45">
      <c r="A758">
        <v>193086</v>
      </c>
      <c r="B758" t="s">
        <v>17915</v>
      </c>
      <c r="C758" t="s">
        <v>17916</v>
      </c>
      <c r="D758">
        <v>3</v>
      </c>
      <c r="E758" t="s">
        <v>16334</v>
      </c>
      <c r="F758" s="126"/>
      <c r="G758" s="7">
        <v>0</v>
      </c>
      <c r="H758" s="7">
        <v>0</v>
      </c>
      <c r="I758" s="7">
        <v>0</v>
      </c>
      <c r="J758" s="7">
        <v>0</v>
      </c>
      <c r="K758" s="3">
        <f t="shared" si="29"/>
        <v>0</v>
      </c>
      <c r="L758" s="3"/>
      <c r="M758" s="3">
        <f t="shared" si="30"/>
        <v>0</v>
      </c>
      <c r="O758" s="5"/>
      <c r="S758" s="6"/>
    </row>
    <row r="759" spans="1:22" customFormat="1" x14ac:dyDescent="0.45">
      <c r="A759">
        <v>193137</v>
      </c>
      <c r="B759" t="s">
        <v>17917</v>
      </c>
      <c r="C759" t="s">
        <v>16331</v>
      </c>
      <c r="D759">
        <v>1</v>
      </c>
      <c r="E759" t="s">
        <v>16331</v>
      </c>
      <c r="F759" s="126"/>
      <c r="G759" s="7">
        <v>0</v>
      </c>
      <c r="H759" s="7">
        <v>0</v>
      </c>
      <c r="I759" s="7">
        <v>0</v>
      </c>
      <c r="J759" s="7">
        <v>0</v>
      </c>
      <c r="K759" s="3">
        <f t="shared" si="29"/>
        <v>0</v>
      </c>
      <c r="L759" s="3"/>
      <c r="M759" s="3">
        <f t="shared" si="30"/>
        <v>0</v>
      </c>
      <c r="O759" s="5"/>
      <c r="S759" s="6"/>
    </row>
    <row r="760" spans="1:22" customFormat="1" x14ac:dyDescent="0.45">
      <c r="A760">
        <v>193138</v>
      </c>
      <c r="B760" t="s">
        <v>17918</v>
      </c>
      <c r="C760" t="s">
        <v>16331</v>
      </c>
      <c r="D760">
        <v>2</v>
      </c>
      <c r="E760" t="s">
        <v>16331</v>
      </c>
      <c r="F760" s="126"/>
      <c r="G760" s="7">
        <v>0</v>
      </c>
      <c r="H760" s="7">
        <v>0</v>
      </c>
      <c r="I760" s="7">
        <v>0</v>
      </c>
      <c r="J760" s="7">
        <v>0</v>
      </c>
      <c r="K760" s="3">
        <f t="shared" si="29"/>
        <v>0</v>
      </c>
      <c r="L760" s="3"/>
      <c r="M760" s="3">
        <f t="shared" si="30"/>
        <v>0</v>
      </c>
      <c r="O760" s="5"/>
      <c r="S760" s="6"/>
    </row>
    <row r="761" spans="1:22" customFormat="1" x14ac:dyDescent="0.45">
      <c r="A761">
        <v>193213</v>
      </c>
      <c r="B761" t="s">
        <v>17919</v>
      </c>
      <c r="C761" t="s">
        <v>17920</v>
      </c>
      <c r="D761">
        <v>2</v>
      </c>
      <c r="E761" t="s">
        <v>16334</v>
      </c>
      <c r="F761" s="126"/>
      <c r="G761" s="7">
        <v>0</v>
      </c>
      <c r="H761" s="7">
        <v>0</v>
      </c>
      <c r="I761" s="7">
        <v>0</v>
      </c>
      <c r="J761" s="7">
        <v>0</v>
      </c>
      <c r="K761" s="3">
        <f t="shared" si="29"/>
        <v>0</v>
      </c>
      <c r="L761" s="3"/>
      <c r="M761" s="3">
        <f t="shared" si="30"/>
        <v>0</v>
      </c>
      <c r="O761" s="5"/>
      <c r="S761" s="6"/>
    </row>
    <row r="762" spans="1:22" customFormat="1" x14ac:dyDescent="0.45">
      <c r="A762">
        <v>193498</v>
      </c>
      <c r="B762" t="s">
        <v>17921</v>
      </c>
      <c r="C762" t="s">
        <v>17922</v>
      </c>
      <c r="D762">
        <v>14</v>
      </c>
      <c r="E762" t="s">
        <v>16334</v>
      </c>
      <c r="F762" s="126"/>
      <c r="G762" s="3">
        <v>0</v>
      </c>
      <c r="H762" s="3">
        <v>0</v>
      </c>
      <c r="I762" s="3">
        <v>0</v>
      </c>
      <c r="J762" s="3">
        <v>0</v>
      </c>
      <c r="K762" s="3">
        <f t="shared" si="29"/>
        <v>0</v>
      </c>
      <c r="L762" s="3"/>
      <c r="M762" s="3">
        <f t="shared" si="30"/>
        <v>0</v>
      </c>
      <c r="O762" s="5"/>
      <c r="S762" s="6"/>
    </row>
    <row r="763" spans="1:22" customFormat="1" x14ac:dyDescent="0.45">
      <c r="A763" s="42">
        <v>193503</v>
      </c>
      <c r="B763" s="42" t="s">
        <v>17923</v>
      </c>
      <c r="C763" s="42" t="s">
        <v>16692</v>
      </c>
      <c r="D763">
        <v>67</v>
      </c>
      <c r="E763" t="s">
        <v>16417</v>
      </c>
      <c r="F763" s="126"/>
      <c r="G763" s="43">
        <v>0</v>
      </c>
      <c r="H763" s="43">
        <v>0</v>
      </c>
      <c r="I763" s="43">
        <v>0</v>
      </c>
      <c r="J763" s="43">
        <v>0</v>
      </c>
      <c r="K763" s="3">
        <f t="shared" si="29"/>
        <v>0</v>
      </c>
      <c r="L763" s="3"/>
      <c r="M763" s="3">
        <f t="shared" si="30"/>
        <v>0</v>
      </c>
      <c r="N763" s="42" t="s">
        <v>17924</v>
      </c>
      <c r="O763" s="5"/>
      <c r="S763" s="6"/>
    </row>
    <row r="764" spans="1:22" customFormat="1" x14ac:dyDescent="0.45">
      <c r="A764">
        <v>193506</v>
      </c>
      <c r="B764" t="s">
        <v>17925</v>
      </c>
      <c r="C764" t="s">
        <v>17926</v>
      </c>
      <c r="D764">
        <v>1</v>
      </c>
      <c r="E764" t="s">
        <v>17926</v>
      </c>
      <c r="F764" s="126"/>
      <c r="G764" s="3">
        <v>0</v>
      </c>
      <c r="H764" s="3">
        <v>0</v>
      </c>
      <c r="I764" s="3">
        <v>0</v>
      </c>
      <c r="J764" s="3">
        <v>0</v>
      </c>
      <c r="K764" s="3">
        <f t="shared" si="29"/>
        <v>0</v>
      </c>
      <c r="L764" s="3"/>
      <c r="M764" s="3">
        <f t="shared" si="30"/>
        <v>0</v>
      </c>
      <c r="O764" s="5"/>
      <c r="S764" s="6"/>
    </row>
    <row r="765" spans="1:22" customFormat="1" x14ac:dyDescent="0.45">
      <c r="A765">
        <v>193711</v>
      </c>
      <c r="B765" t="s">
        <v>17927</v>
      </c>
      <c r="C765" t="s">
        <v>16331</v>
      </c>
      <c r="D765">
        <v>1</v>
      </c>
      <c r="E765" t="s">
        <v>16331</v>
      </c>
      <c r="F765" s="126"/>
      <c r="G765" s="7">
        <v>0</v>
      </c>
      <c r="H765" s="7">
        <v>0</v>
      </c>
      <c r="I765" s="7">
        <v>0</v>
      </c>
      <c r="J765" s="7">
        <v>0</v>
      </c>
      <c r="K765" s="3">
        <f t="shared" si="29"/>
        <v>0</v>
      </c>
      <c r="L765" s="3"/>
      <c r="M765" s="3">
        <f t="shared" si="30"/>
        <v>0</v>
      </c>
      <c r="O765" s="5"/>
      <c r="S765" s="6"/>
    </row>
    <row r="766" spans="1:22" customFormat="1" x14ac:dyDescent="0.45">
      <c r="A766">
        <v>194133</v>
      </c>
      <c r="B766" t="s">
        <v>17928</v>
      </c>
      <c r="C766" t="s">
        <v>16331</v>
      </c>
      <c r="D766">
        <v>1</v>
      </c>
      <c r="E766" t="s">
        <v>16331</v>
      </c>
      <c r="F766" s="126"/>
      <c r="G766" s="7">
        <v>0</v>
      </c>
      <c r="H766" s="7">
        <v>0</v>
      </c>
      <c r="I766" s="7">
        <v>0</v>
      </c>
      <c r="J766" s="7">
        <v>0</v>
      </c>
      <c r="K766" s="3">
        <f t="shared" si="29"/>
        <v>0</v>
      </c>
      <c r="L766" s="3"/>
      <c r="M766" s="3">
        <f t="shared" si="30"/>
        <v>0</v>
      </c>
      <c r="O766" s="5"/>
      <c r="S766" s="6"/>
    </row>
    <row r="767" spans="1:22" customFormat="1" x14ac:dyDescent="0.45">
      <c r="A767">
        <v>194161</v>
      </c>
      <c r="B767" t="s">
        <v>17929</v>
      </c>
      <c r="C767" t="s">
        <v>16331</v>
      </c>
      <c r="D767">
        <v>2</v>
      </c>
      <c r="E767" t="s">
        <v>16331</v>
      </c>
      <c r="F767" s="126"/>
      <c r="K767" s="3">
        <f t="shared" si="29"/>
        <v>0</v>
      </c>
      <c r="L767" s="3"/>
      <c r="M767" s="3">
        <f t="shared" si="30"/>
        <v>0</v>
      </c>
      <c r="O767" s="5"/>
      <c r="S767" s="6"/>
    </row>
    <row r="768" spans="1:22" customFormat="1" x14ac:dyDescent="0.45">
      <c r="A768">
        <v>194382</v>
      </c>
      <c r="B768" t="s">
        <v>17930</v>
      </c>
      <c r="C768" t="s">
        <v>17931</v>
      </c>
      <c r="D768">
        <v>37</v>
      </c>
      <c r="F768" s="126"/>
      <c r="G768" s="7">
        <v>0</v>
      </c>
      <c r="H768" s="3">
        <v>0</v>
      </c>
      <c r="I768" s="3">
        <v>0</v>
      </c>
      <c r="J768">
        <v>0</v>
      </c>
      <c r="K768" s="3">
        <f t="shared" si="29"/>
        <v>0</v>
      </c>
      <c r="L768" s="3"/>
      <c r="M768" s="3">
        <f t="shared" si="30"/>
        <v>0</v>
      </c>
      <c r="O768" s="5"/>
      <c r="S768" s="6"/>
    </row>
    <row r="769" spans="1:19" customFormat="1" x14ac:dyDescent="0.45">
      <c r="A769">
        <v>194479</v>
      </c>
      <c r="B769" t="s">
        <v>17932</v>
      </c>
      <c r="C769" t="s">
        <v>17933</v>
      </c>
      <c r="D769">
        <v>1</v>
      </c>
      <c r="F769" s="126"/>
      <c r="G769" s="3">
        <v>0</v>
      </c>
      <c r="H769" s="3">
        <v>0</v>
      </c>
      <c r="I769" s="3">
        <v>0</v>
      </c>
      <c r="J769" s="3">
        <v>0</v>
      </c>
      <c r="K769" s="3">
        <f t="shared" si="29"/>
        <v>0</v>
      </c>
      <c r="L769" s="3"/>
      <c r="M769" s="3">
        <f t="shared" si="30"/>
        <v>0</v>
      </c>
      <c r="O769" s="5"/>
      <c r="S769" s="6"/>
    </row>
    <row r="770" spans="1:19" customFormat="1" x14ac:dyDescent="0.45">
      <c r="A770">
        <v>194522</v>
      </c>
      <c r="B770" t="s">
        <v>17934</v>
      </c>
      <c r="C770" t="s">
        <v>16331</v>
      </c>
      <c r="D770">
        <v>0</v>
      </c>
      <c r="E770" t="s">
        <v>16331</v>
      </c>
      <c r="F770" s="126"/>
      <c r="G770" s="7">
        <v>0</v>
      </c>
      <c r="H770" s="7">
        <v>0</v>
      </c>
      <c r="I770" s="7">
        <v>0</v>
      </c>
      <c r="J770" s="7">
        <v>0</v>
      </c>
      <c r="K770" s="3">
        <f t="shared" si="29"/>
        <v>0</v>
      </c>
      <c r="L770" s="3"/>
      <c r="M770" s="3">
        <f t="shared" si="30"/>
        <v>0</v>
      </c>
      <c r="N770" s="7"/>
      <c r="O770" s="5"/>
      <c r="S770" s="6"/>
    </row>
    <row r="771" spans="1:19" customFormat="1" x14ac:dyDescent="0.45">
      <c r="A771">
        <v>194538</v>
      </c>
      <c r="B771" t="s">
        <v>17935</v>
      </c>
      <c r="C771" t="s">
        <v>17936</v>
      </c>
      <c r="D771">
        <v>4</v>
      </c>
      <c r="F771" s="126"/>
      <c r="G771" s="7">
        <v>0</v>
      </c>
      <c r="H771" s="7">
        <v>0</v>
      </c>
      <c r="I771" s="7">
        <v>0</v>
      </c>
      <c r="J771" s="7">
        <v>0</v>
      </c>
      <c r="K771" s="3">
        <f t="shared" si="29"/>
        <v>0</v>
      </c>
      <c r="L771" s="3"/>
      <c r="M771" s="3">
        <f t="shared" si="30"/>
        <v>0</v>
      </c>
      <c r="O771" s="5"/>
      <c r="S771" s="6"/>
    </row>
    <row r="772" spans="1:19" customFormat="1" x14ac:dyDescent="0.45">
      <c r="A772">
        <v>194539</v>
      </c>
      <c r="B772" t="s">
        <v>17937</v>
      </c>
      <c r="C772" t="s">
        <v>16331</v>
      </c>
      <c r="D772">
        <v>2</v>
      </c>
      <c r="E772" t="s">
        <v>16331</v>
      </c>
      <c r="F772" s="126"/>
      <c r="G772" s="7">
        <v>0</v>
      </c>
      <c r="H772" s="7">
        <v>0</v>
      </c>
      <c r="I772" s="7">
        <v>0</v>
      </c>
      <c r="J772" s="7">
        <v>0</v>
      </c>
      <c r="K772" s="3">
        <f t="shared" si="29"/>
        <v>0</v>
      </c>
      <c r="L772" s="3"/>
      <c r="M772" s="3">
        <f t="shared" si="30"/>
        <v>0</v>
      </c>
      <c r="O772" s="5"/>
      <c r="S772" s="6"/>
    </row>
    <row r="773" spans="1:19" customFormat="1" x14ac:dyDescent="0.45">
      <c r="A773">
        <v>194710</v>
      </c>
      <c r="B773" t="s">
        <v>17938</v>
      </c>
      <c r="C773" t="s">
        <v>17939</v>
      </c>
      <c r="D773">
        <v>7</v>
      </c>
      <c r="F773" s="126"/>
      <c r="G773" s="7">
        <v>0</v>
      </c>
      <c r="H773" s="7">
        <v>0</v>
      </c>
      <c r="I773" s="7">
        <v>0</v>
      </c>
      <c r="J773" s="7">
        <v>0</v>
      </c>
      <c r="K773" s="3">
        <f t="shared" si="29"/>
        <v>0</v>
      </c>
      <c r="L773" s="3"/>
      <c r="M773" s="3">
        <f t="shared" si="30"/>
        <v>0</v>
      </c>
      <c r="O773" s="5"/>
      <c r="S773" s="6"/>
    </row>
    <row r="774" spans="1:19" customFormat="1" x14ac:dyDescent="0.45">
      <c r="A774">
        <v>194713</v>
      </c>
      <c r="B774" t="s">
        <v>17940</v>
      </c>
      <c r="C774" t="s">
        <v>17941</v>
      </c>
      <c r="D774">
        <v>141</v>
      </c>
      <c r="E774" t="s">
        <v>16334</v>
      </c>
      <c r="F774" s="126"/>
      <c r="G774" s="7">
        <v>0</v>
      </c>
      <c r="H774" s="7">
        <v>0</v>
      </c>
      <c r="I774" s="7">
        <v>0</v>
      </c>
      <c r="J774" s="7">
        <v>0</v>
      </c>
      <c r="K774" s="3">
        <f t="shared" si="29"/>
        <v>0</v>
      </c>
      <c r="L774" s="3"/>
      <c r="M774" s="3">
        <f t="shared" si="30"/>
        <v>0</v>
      </c>
      <c r="N774" s="7"/>
      <c r="O774" s="5"/>
      <c r="S774" s="6"/>
    </row>
    <row r="775" spans="1:19" customFormat="1" x14ac:dyDescent="0.45">
      <c r="A775">
        <v>194722</v>
      </c>
      <c r="B775" t="s">
        <v>17942</v>
      </c>
      <c r="C775" t="s">
        <v>17943</v>
      </c>
      <c r="D775">
        <v>3</v>
      </c>
      <c r="F775" s="126"/>
      <c r="G775" s="7">
        <v>0</v>
      </c>
      <c r="H775" s="7">
        <v>0</v>
      </c>
      <c r="I775" s="7">
        <v>0</v>
      </c>
      <c r="J775" s="7">
        <v>0</v>
      </c>
      <c r="K775" s="3">
        <f t="shared" si="29"/>
        <v>0</v>
      </c>
      <c r="L775" s="3"/>
      <c r="M775" s="3">
        <f t="shared" si="30"/>
        <v>0</v>
      </c>
      <c r="N775" s="7"/>
      <c r="O775" s="5"/>
      <c r="S775" s="6"/>
    </row>
    <row r="776" spans="1:19" customFormat="1" x14ac:dyDescent="0.45">
      <c r="A776">
        <v>194783</v>
      </c>
      <c r="B776" t="s">
        <v>17944</v>
      </c>
      <c r="C776" t="s">
        <v>17945</v>
      </c>
      <c r="D776">
        <v>0</v>
      </c>
      <c r="E776" t="s">
        <v>16561</v>
      </c>
      <c r="F776" s="126"/>
      <c r="G776" s="7">
        <v>0</v>
      </c>
      <c r="H776" s="7">
        <v>0</v>
      </c>
      <c r="I776" s="7">
        <v>0</v>
      </c>
      <c r="J776" s="7">
        <v>0</v>
      </c>
      <c r="K776" s="3">
        <f t="shared" si="29"/>
        <v>0</v>
      </c>
      <c r="L776" s="3"/>
      <c r="M776" s="3">
        <f t="shared" si="30"/>
        <v>0</v>
      </c>
      <c r="N776" s="7"/>
      <c r="O776" s="5"/>
      <c r="S776" s="6"/>
    </row>
    <row r="777" spans="1:19" customFormat="1" x14ac:dyDescent="0.45">
      <c r="A777">
        <v>194820</v>
      </c>
      <c r="B777" t="s">
        <v>17946</v>
      </c>
      <c r="C777" t="s">
        <v>17947</v>
      </c>
      <c r="D777">
        <v>0</v>
      </c>
      <c r="E777" t="s">
        <v>16561</v>
      </c>
      <c r="F777" s="126"/>
      <c r="G777" s="7">
        <v>0</v>
      </c>
      <c r="H777" s="7">
        <v>0</v>
      </c>
      <c r="I777" s="7">
        <v>0</v>
      </c>
      <c r="J777" s="7">
        <v>0</v>
      </c>
      <c r="K777" s="3">
        <f t="shared" si="29"/>
        <v>0</v>
      </c>
      <c r="L777" s="3"/>
      <c r="M777" s="3">
        <f t="shared" si="30"/>
        <v>0</v>
      </c>
      <c r="N777" s="7"/>
      <c r="O777" s="5"/>
      <c r="S777" s="6"/>
    </row>
    <row r="778" spans="1:19" customFormat="1" x14ac:dyDescent="0.45">
      <c r="A778">
        <v>194925</v>
      </c>
      <c r="B778" t="s">
        <v>17948</v>
      </c>
      <c r="C778" t="s">
        <v>17949</v>
      </c>
      <c r="D778">
        <v>4</v>
      </c>
      <c r="F778" s="126"/>
      <c r="G778" s="7">
        <v>0</v>
      </c>
      <c r="H778" s="7">
        <v>0</v>
      </c>
      <c r="I778" s="7">
        <v>0</v>
      </c>
      <c r="J778" s="7">
        <v>0</v>
      </c>
      <c r="K778" s="3">
        <f t="shared" si="29"/>
        <v>0</v>
      </c>
      <c r="L778" s="3"/>
      <c r="M778" s="3">
        <f t="shared" si="30"/>
        <v>0</v>
      </c>
      <c r="O778" s="5"/>
      <c r="S778" s="6"/>
    </row>
    <row r="779" spans="1:19" customFormat="1" x14ac:dyDescent="0.45">
      <c r="A779">
        <v>194927</v>
      </c>
      <c r="B779" t="s">
        <v>17950</v>
      </c>
      <c r="C779" t="s">
        <v>17951</v>
      </c>
      <c r="D779">
        <v>95</v>
      </c>
      <c r="E779" t="s">
        <v>16417</v>
      </c>
      <c r="F779" s="126"/>
      <c r="G779" s="7">
        <v>0</v>
      </c>
      <c r="H779" s="7">
        <v>0</v>
      </c>
      <c r="I779" s="7">
        <v>0</v>
      </c>
      <c r="J779" s="7">
        <v>0</v>
      </c>
      <c r="K779" s="3">
        <f t="shared" si="29"/>
        <v>0</v>
      </c>
      <c r="L779" s="3"/>
      <c r="M779" s="3">
        <f t="shared" si="30"/>
        <v>0</v>
      </c>
      <c r="N779" s="7"/>
      <c r="O779" s="5"/>
      <c r="S779" s="6"/>
    </row>
    <row r="780" spans="1:19" customFormat="1" x14ac:dyDescent="0.45">
      <c r="A780">
        <v>194929</v>
      </c>
      <c r="B780" t="s">
        <v>17952</v>
      </c>
      <c r="C780" t="s">
        <v>17931</v>
      </c>
      <c r="D780">
        <v>0</v>
      </c>
      <c r="E780" t="s">
        <v>16334</v>
      </c>
      <c r="F780" s="126"/>
      <c r="G780" s="7">
        <v>0</v>
      </c>
      <c r="H780" s="3">
        <v>0</v>
      </c>
      <c r="I780" s="3">
        <v>0</v>
      </c>
      <c r="J780">
        <v>0</v>
      </c>
      <c r="K780" s="3">
        <f t="shared" si="29"/>
        <v>0</v>
      </c>
      <c r="L780" s="3"/>
      <c r="M780" s="3">
        <f t="shared" si="30"/>
        <v>0</v>
      </c>
      <c r="O780" s="5"/>
      <c r="S780" s="6"/>
    </row>
    <row r="781" spans="1:19" customFormat="1" x14ac:dyDescent="0.45">
      <c r="A781">
        <v>195024</v>
      </c>
      <c r="B781" t="s">
        <v>17953</v>
      </c>
      <c r="C781" t="s">
        <v>17954</v>
      </c>
      <c r="D781">
        <v>17</v>
      </c>
      <c r="E781" t="s">
        <v>16334</v>
      </c>
      <c r="F781" s="126"/>
      <c r="K781" s="3">
        <f t="shared" si="29"/>
        <v>0</v>
      </c>
      <c r="L781" s="3"/>
      <c r="M781" s="3">
        <f t="shared" si="30"/>
        <v>0</v>
      </c>
      <c r="O781" s="5"/>
      <c r="S781" s="6"/>
    </row>
    <row r="782" spans="1:19" customFormat="1" x14ac:dyDescent="0.45">
      <c r="A782">
        <v>195080</v>
      </c>
      <c r="B782" t="s">
        <v>17955</v>
      </c>
      <c r="C782" t="s">
        <v>17108</v>
      </c>
      <c r="D782">
        <v>0</v>
      </c>
      <c r="E782" t="s">
        <v>16334</v>
      </c>
      <c r="F782" s="126"/>
      <c r="G782" s="7">
        <v>0</v>
      </c>
      <c r="H782" s="7">
        <v>0</v>
      </c>
      <c r="I782" s="7">
        <v>0</v>
      </c>
      <c r="J782" s="7">
        <v>0</v>
      </c>
      <c r="K782" s="3">
        <f t="shared" si="29"/>
        <v>0</v>
      </c>
      <c r="L782" s="3"/>
      <c r="M782" s="3">
        <f t="shared" si="30"/>
        <v>0</v>
      </c>
      <c r="O782" s="5"/>
      <c r="S782" s="6"/>
    </row>
    <row r="783" spans="1:19" customFormat="1" x14ac:dyDescent="0.45">
      <c r="A783">
        <v>195081</v>
      </c>
      <c r="B783" t="s">
        <v>17956</v>
      </c>
      <c r="C783" t="s">
        <v>17957</v>
      </c>
      <c r="D783">
        <v>2</v>
      </c>
      <c r="F783" s="126"/>
      <c r="K783" s="3">
        <f t="shared" si="29"/>
        <v>0</v>
      </c>
      <c r="L783" s="3"/>
      <c r="M783" s="3">
        <f t="shared" si="30"/>
        <v>0</v>
      </c>
      <c r="O783" s="5"/>
      <c r="S783" s="6"/>
    </row>
    <row r="784" spans="1:19" customFormat="1" x14ac:dyDescent="0.45">
      <c r="A784">
        <v>195084</v>
      </c>
      <c r="B784" t="s">
        <v>17958</v>
      </c>
      <c r="C784" t="s">
        <v>16331</v>
      </c>
      <c r="D784">
        <v>0</v>
      </c>
      <c r="E784" t="s">
        <v>16331</v>
      </c>
      <c r="F784" s="126"/>
      <c r="G784" s="7">
        <v>0</v>
      </c>
      <c r="H784" s="7">
        <v>0</v>
      </c>
      <c r="I784" s="7">
        <v>0</v>
      </c>
      <c r="J784" s="7">
        <v>0</v>
      </c>
      <c r="K784" s="3">
        <f t="shared" si="29"/>
        <v>0</v>
      </c>
      <c r="L784" s="3"/>
      <c r="M784" s="3">
        <f t="shared" si="30"/>
        <v>0</v>
      </c>
      <c r="O784" s="5"/>
      <c r="S784" s="6"/>
    </row>
    <row r="785" spans="1:23" x14ac:dyDescent="0.45">
      <c r="A785" s="124">
        <v>456867</v>
      </c>
      <c r="B785" s="124" t="s">
        <v>17959</v>
      </c>
      <c r="C785" s="124" t="s">
        <v>17960</v>
      </c>
      <c r="D785" s="124">
        <v>6</v>
      </c>
      <c r="E785" s="124" t="s">
        <v>16334</v>
      </c>
      <c r="F785" s="126">
        <v>1.6999999999999999E-3</v>
      </c>
      <c r="G785" s="126">
        <v>0</v>
      </c>
      <c r="H785" s="126">
        <v>0</v>
      </c>
      <c r="I785" s="127">
        <v>0.03</v>
      </c>
      <c r="J785" s="127">
        <v>3.0000000000000001E-3</v>
      </c>
      <c r="K785" s="126">
        <f t="shared" si="29"/>
        <v>3.3000000000000002E-2</v>
      </c>
      <c r="L785" s="3"/>
      <c r="M785" s="126">
        <f t="shared" si="30"/>
        <v>3.4700000000000002E-2</v>
      </c>
      <c r="N785" s="124" t="str">
        <f>O785</f>
        <v>https://aspireonline.co.uk/sites/default/files/clients/130/0623-Client-Proposition.pdf</v>
      </c>
      <c r="O785" s="131" t="s">
        <v>17961</v>
      </c>
      <c r="P785" s="128" t="s">
        <v>26918</v>
      </c>
      <c r="Q785" s="124">
        <f>307235+12276</f>
        <v>319511</v>
      </c>
      <c r="R785" s="124" t="s">
        <v>16348</v>
      </c>
      <c r="S785" s="132">
        <v>307235</v>
      </c>
      <c r="T785" s="129">
        <f>S785/Q785</f>
        <v>0.96157878758477799</v>
      </c>
      <c r="V785" s="125" t="s">
        <v>17962</v>
      </c>
    </row>
    <row r="786" spans="1:23" customFormat="1" x14ac:dyDescent="0.45">
      <c r="A786">
        <v>195271</v>
      </c>
      <c r="B786" t="s">
        <v>17963</v>
      </c>
      <c r="C786" t="s">
        <v>17964</v>
      </c>
      <c r="D786">
        <v>2</v>
      </c>
      <c r="E786" t="s">
        <v>16334</v>
      </c>
      <c r="F786" s="126"/>
      <c r="G786" s="7">
        <v>0</v>
      </c>
      <c r="H786" s="7">
        <v>0</v>
      </c>
      <c r="I786" s="7">
        <v>0</v>
      </c>
      <c r="J786" s="7">
        <v>0</v>
      </c>
      <c r="K786" s="3">
        <f t="shared" si="29"/>
        <v>0</v>
      </c>
      <c r="L786" s="3"/>
      <c r="M786" s="3">
        <f t="shared" si="30"/>
        <v>0</v>
      </c>
      <c r="O786" s="5"/>
      <c r="S786" s="6"/>
    </row>
    <row r="787" spans="1:23" x14ac:dyDescent="0.45">
      <c r="A787" s="124">
        <v>301672</v>
      </c>
      <c r="B787" s="124" t="s">
        <v>17965</v>
      </c>
      <c r="C787" s="124" t="s">
        <v>17966</v>
      </c>
      <c r="D787" s="124">
        <v>6</v>
      </c>
      <c r="E787" s="124" t="s">
        <v>16334</v>
      </c>
      <c r="F787" s="126">
        <v>1.6999999999999999E-3</v>
      </c>
      <c r="G787" s="126"/>
      <c r="H787" s="126"/>
      <c r="I787" s="127">
        <v>0</v>
      </c>
      <c r="J787" s="127">
        <f>1.2%+((290*10)/100000)+3%</f>
        <v>7.1000000000000008E-2</v>
      </c>
      <c r="K787" s="126">
        <f t="shared" si="29"/>
        <v>7.1000000000000008E-2</v>
      </c>
      <c r="L787" s="3"/>
      <c r="M787" s="126">
        <f t="shared" si="30"/>
        <v>7.2700000000000001E-2</v>
      </c>
      <c r="O787" s="125" t="s">
        <v>17967</v>
      </c>
      <c r="P787" s="128" t="s">
        <v>26918</v>
      </c>
      <c r="Q787" s="124">
        <f>941473+6915</f>
        <v>948388</v>
      </c>
      <c r="R787" s="124" t="s">
        <v>16348</v>
      </c>
      <c r="S787" s="130">
        <v>881436</v>
      </c>
      <c r="T787" s="129">
        <f>S787/Q787</f>
        <v>0.92940442097538134</v>
      </c>
      <c r="V787" s="125" t="s">
        <v>17968</v>
      </c>
      <c r="W787" s="124" t="s">
        <v>17021</v>
      </c>
    </row>
    <row r="788" spans="1:23" x14ac:dyDescent="0.45">
      <c r="A788" s="124">
        <v>930300</v>
      </c>
      <c r="B788" s="124" t="s">
        <v>17969</v>
      </c>
      <c r="C788" s="124" t="s">
        <v>17970</v>
      </c>
      <c r="D788" s="124">
        <v>4</v>
      </c>
      <c r="E788" s="124" t="s">
        <v>16417</v>
      </c>
      <c r="F788" s="126">
        <v>0.01</v>
      </c>
      <c r="G788" s="126">
        <v>0.02</v>
      </c>
      <c r="H788" s="126">
        <v>5.0000000000000001E-3</v>
      </c>
      <c r="I788" s="127">
        <v>0</v>
      </c>
      <c r="J788" s="127">
        <v>0</v>
      </c>
      <c r="K788" s="126">
        <f t="shared" si="29"/>
        <v>2.5000000000000001E-2</v>
      </c>
      <c r="L788" s="3"/>
      <c r="M788" s="126">
        <f t="shared" si="30"/>
        <v>3.5000000000000003E-2</v>
      </c>
      <c r="O788" s="125" t="s">
        <v>17971</v>
      </c>
      <c r="Q788" s="130">
        <f>526126+98487</f>
        <v>624613</v>
      </c>
      <c r="R788" s="130" t="s">
        <v>16348</v>
      </c>
      <c r="S788" s="132">
        <v>526126</v>
      </c>
      <c r="T788" s="129">
        <f>S788/Q788</f>
        <v>0.84232316650469974</v>
      </c>
      <c r="V788" s="125" t="s">
        <v>17972</v>
      </c>
    </row>
    <row r="789" spans="1:23" customFormat="1" x14ac:dyDescent="0.45">
      <c r="A789">
        <v>195353</v>
      </c>
      <c r="B789" t="s">
        <v>17973</v>
      </c>
      <c r="C789" t="s">
        <v>17974</v>
      </c>
      <c r="D789">
        <v>3</v>
      </c>
      <c r="E789" t="s">
        <v>16417</v>
      </c>
      <c r="F789" s="126"/>
      <c r="G789" s="7">
        <v>0</v>
      </c>
      <c r="H789" s="7">
        <v>0</v>
      </c>
      <c r="I789" s="7">
        <v>0</v>
      </c>
      <c r="J789" s="7">
        <v>0</v>
      </c>
      <c r="K789" s="3">
        <f t="shared" si="29"/>
        <v>0</v>
      </c>
      <c r="L789" s="3"/>
      <c r="M789" s="3">
        <f t="shared" si="30"/>
        <v>0</v>
      </c>
      <c r="O789" s="5"/>
      <c r="S789" s="6"/>
    </row>
    <row r="790" spans="1:23" customFormat="1" x14ac:dyDescent="0.45">
      <c r="A790">
        <v>195355</v>
      </c>
      <c r="B790" t="s">
        <v>17975</v>
      </c>
      <c r="C790" t="s">
        <v>17976</v>
      </c>
      <c r="D790">
        <v>0</v>
      </c>
      <c r="E790" t="s">
        <v>16561</v>
      </c>
      <c r="F790" s="126"/>
      <c r="K790" s="3">
        <f t="shared" si="29"/>
        <v>0</v>
      </c>
      <c r="L790" s="3"/>
      <c r="M790" s="3">
        <f t="shared" si="30"/>
        <v>0</v>
      </c>
      <c r="O790" s="5"/>
      <c r="S790" s="6"/>
    </row>
    <row r="791" spans="1:23" customFormat="1" x14ac:dyDescent="0.45">
      <c r="A791">
        <v>195430</v>
      </c>
      <c r="B791" t="s">
        <v>17977</v>
      </c>
      <c r="C791" t="s">
        <v>17978</v>
      </c>
      <c r="D791">
        <v>0</v>
      </c>
      <c r="E791" t="s">
        <v>17979</v>
      </c>
      <c r="F791" s="126"/>
      <c r="G791" s="7">
        <v>0</v>
      </c>
      <c r="H791" s="7">
        <v>0</v>
      </c>
      <c r="I791" s="7">
        <v>0</v>
      </c>
      <c r="J791" s="7">
        <v>0</v>
      </c>
      <c r="K791" s="3">
        <f t="shared" si="29"/>
        <v>0</v>
      </c>
      <c r="L791" s="3"/>
      <c r="M791" s="3">
        <f t="shared" si="30"/>
        <v>0</v>
      </c>
      <c r="N791" s="7"/>
      <c r="O791" s="5"/>
      <c r="S791" s="6"/>
    </row>
    <row r="792" spans="1:23" customFormat="1" x14ac:dyDescent="0.45">
      <c r="A792">
        <v>195522</v>
      </c>
      <c r="B792" t="s">
        <v>17980</v>
      </c>
      <c r="C792" t="s">
        <v>17108</v>
      </c>
      <c r="D792">
        <v>18</v>
      </c>
      <c r="E792" t="s">
        <v>16334</v>
      </c>
      <c r="F792" s="126"/>
      <c r="G792" s="7">
        <v>0</v>
      </c>
      <c r="H792" s="7">
        <v>0</v>
      </c>
      <c r="I792" s="7">
        <v>0</v>
      </c>
      <c r="J792" s="7">
        <v>0</v>
      </c>
      <c r="K792" s="3">
        <f t="shared" si="29"/>
        <v>0</v>
      </c>
      <c r="L792" s="3"/>
      <c r="M792" s="3">
        <f t="shared" si="30"/>
        <v>0</v>
      </c>
      <c r="O792" s="5"/>
      <c r="S792" s="6"/>
    </row>
    <row r="793" spans="1:23" customFormat="1" x14ac:dyDescent="0.45">
      <c r="A793">
        <v>195581</v>
      </c>
      <c r="B793" t="s">
        <v>17981</v>
      </c>
      <c r="C793" t="s">
        <v>17982</v>
      </c>
      <c r="D793">
        <v>0</v>
      </c>
      <c r="E793" t="s">
        <v>16561</v>
      </c>
      <c r="F793" s="126"/>
      <c r="G793" s="7">
        <v>0</v>
      </c>
      <c r="H793" s="7">
        <v>0</v>
      </c>
      <c r="I793" s="7">
        <v>0</v>
      </c>
      <c r="J793" s="7">
        <v>0</v>
      </c>
      <c r="K793" s="3">
        <f t="shared" si="29"/>
        <v>0</v>
      </c>
      <c r="L793" s="3"/>
      <c r="M793" s="3">
        <f t="shared" si="30"/>
        <v>0</v>
      </c>
      <c r="O793" s="5"/>
      <c r="S793" s="6"/>
    </row>
    <row r="794" spans="1:23" customFormat="1" x14ac:dyDescent="0.45">
      <c r="A794">
        <v>195615</v>
      </c>
      <c r="B794" t="s">
        <v>17983</v>
      </c>
      <c r="C794" t="s">
        <v>16331</v>
      </c>
      <c r="D794">
        <v>6</v>
      </c>
      <c r="E794" t="s">
        <v>16331</v>
      </c>
      <c r="F794" s="126"/>
      <c r="G794" s="7">
        <v>0</v>
      </c>
      <c r="H794" s="7">
        <v>0</v>
      </c>
      <c r="I794" s="7">
        <v>0</v>
      </c>
      <c r="J794" s="7">
        <v>0</v>
      </c>
      <c r="K794" s="3">
        <f t="shared" si="29"/>
        <v>0</v>
      </c>
      <c r="L794" s="3"/>
      <c r="M794" s="3">
        <f t="shared" si="30"/>
        <v>0</v>
      </c>
      <c r="O794" s="5"/>
      <c r="S794" s="6"/>
    </row>
    <row r="795" spans="1:23" customFormat="1" x14ac:dyDescent="0.45">
      <c r="A795">
        <v>195668</v>
      </c>
      <c r="B795" t="s">
        <v>17984</v>
      </c>
      <c r="C795" t="s">
        <v>17985</v>
      </c>
      <c r="D795">
        <v>0</v>
      </c>
      <c r="E795" t="s">
        <v>16561</v>
      </c>
      <c r="F795" s="126"/>
      <c r="G795" s="3">
        <v>0</v>
      </c>
      <c r="H795" s="3">
        <v>0</v>
      </c>
      <c r="I795" s="3">
        <v>0</v>
      </c>
      <c r="J795" s="3">
        <v>0</v>
      </c>
      <c r="K795" s="3">
        <f t="shared" si="29"/>
        <v>0</v>
      </c>
      <c r="L795" s="3"/>
      <c r="M795" s="3">
        <f t="shared" si="30"/>
        <v>0</v>
      </c>
      <c r="O795" s="5"/>
      <c r="S795" s="6"/>
    </row>
    <row r="796" spans="1:23" customFormat="1" x14ac:dyDescent="0.45">
      <c r="A796">
        <v>195774</v>
      </c>
      <c r="B796" t="s">
        <v>17986</v>
      </c>
      <c r="C796" t="s">
        <v>17987</v>
      </c>
      <c r="D796">
        <v>1</v>
      </c>
      <c r="E796" t="s">
        <v>16334</v>
      </c>
      <c r="F796" s="126"/>
      <c r="G796" s="7">
        <v>0</v>
      </c>
      <c r="H796" s="7">
        <v>0</v>
      </c>
      <c r="I796" s="7">
        <v>0</v>
      </c>
      <c r="J796" s="7">
        <v>0</v>
      </c>
      <c r="K796" s="3">
        <f t="shared" si="29"/>
        <v>0</v>
      </c>
      <c r="L796" s="3"/>
      <c r="M796" s="3">
        <f t="shared" si="30"/>
        <v>0</v>
      </c>
      <c r="N796" s="7"/>
      <c r="O796" s="5"/>
      <c r="S796" s="6"/>
    </row>
    <row r="797" spans="1:23" customFormat="1" x14ac:dyDescent="0.45">
      <c r="A797">
        <v>195786</v>
      </c>
      <c r="B797" t="s">
        <v>17988</v>
      </c>
      <c r="C797" t="s">
        <v>17989</v>
      </c>
      <c r="D797">
        <v>4</v>
      </c>
      <c r="E797" t="s">
        <v>16334</v>
      </c>
      <c r="F797" s="126"/>
      <c r="G797" s="7">
        <v>0</v>
      </c>
      <c r="H797" s="7">
        <v>0</v>
      </c>
      <c r="I797" s="7">
        <v>0</v>
      </c>
      <c r="J797" s="7">
        <v>0</v>
      </c>
      <c r="K797" s="3">
        <f t="shared" si="29"/>
        <v>0</v>
      </c>
      <c r="L797" s="3"/>
      <c r="M797" s="3">
        <f t="shared" si="30"/>
        <v>0</v>
      </c>
      <c r="O797" s="5"/>
      <c r="S797" s="6"/>
    </row>
    <row r="798" spans="1:23" customFormat="1" x14ac:dyDescent="0.45">
      <c r="A798">
        <v>195949</v>
      </c>
      <c r="B798" t="s">
        <v>17990</v>
      </c>
      <c r="C798" s="2" t="s">
        <v>17991</v>
      </c>
      <c r="D798">
        <v>1</v>
      </c>
      <c r="E798" t="s">
        <v>16334</v>
      </c>
      <c r="F798" s="126"/>
      <c r="G798" s="3">
        <v>0</v>
      </c>
      <c r="H798" s="3">
        <v>0</v>
      </c>
      <c r="I798" s="3">
        <v>0</v>
      </c>
      <c r="J798" s="3">
        <v>0</v>
      </c>
      <c r="K798" s="3">
        <f t="shared" si="29"/>
        <v>0</v>
      </c>
      <c r="L798" s="3"/>
      <c r="M798" s="3">
        <f t="shared" si="30"/>
        <v>0</v>
      </c>
      <c r="O798" s="5"/>
      <c r="S798" s="6"/>
    </row>
    <row r="799" spans="1:23" customFormat="1" x14ac:dyDescent="0.45">
      <c r="A799">
        <v>196001</v>
      </c>
      <c r="B799" t="s">
        <v>17992</v>
      </c>
      <c r="C799" t="s">
        <v>17993</v>
      </c>
      <c r="D799">
        <v>11</v>
      </c>
      <c r="F799" s="126"/>
      <c r="G799" s="3">
        <v>0</v>
      </c>
      <c r="H799" s="3">
        <v>0</v>
      </c>
      <c r="I799" s="3">
        <v>0</v>
      </c>
      <c r="J799" s="3">
        <v>0</v>
      </c>
      <c r="K799" s="3">
        <f t="shared" si="29"/>
        <v>0</v>
      </c>
      <c r="L799" s="3"/>
      <c r="M799" s="3">
        <f t="shared" si="30"/>
        <v>0</v>
      </c>
      <c r="O799" s="5"/>
      <c r="S799" s="6"/>
    </row>
    <row r="800" spans="1:23" customFormat="1" x14ac:dyDescent="0.45">
      <c r="A800">
        <v>196124</v>
      </c>
      <c r="B800" t="s">
        <v>17994</v>
      </c>
      <c r="C800" t="s">
        <v>17995</v>
      </c>
      <c r="D800">
        <v>0</v>
      </c>
      <c r="E800" t="s">
        <v>16561</v>
      </c>
      <c r="F800" s="126"/>
      <c r="G800" s="7">
        <v>0</v>
      </c>
      <c r="H800" s="7">
        <v>0</v>
      </c>
      <c r="I800" s="7">
        <v>0</v>
      </c>
      <c r="J800" s="7">
        <v>0</v>
      </c>
      <c r="K800" s="3">
        <f t="shared" si="29"/>
        <v>0</v>
      </c>
      <c r="L800" s="3"/>
      <c r="M800" s="3">
        <f t="shared" si="30"/>
        <v>0</v>
      </c>
      <c r="N800" s="7"/>
      <c r="O800" s="5"/>
      <c r="S800" s="6"/>
    </row>
    <row r="801" spans="1:22" customFormat="1" x14ac:dyDescent="0.45">
      <c r="A801">
        <v>196145</v>
      </c>
      <c r="B801" t="s">
        <v>17996</v>
      </c>
      <c r="C801" t="s">
        <v>17997</v>
      </c>
      <c r="D801">
        <v>9</v>
      </c>
      <c r="F801" s="126"/>
      <c r="G801" s="3">
        <v>0</v>
      </c>
      <c r="H801" s="3">
        <v>0</v>
      </c>
      <c r="I801" s="3">
        <v>0</v>
      </c>
      <c r="J801" s="3">
        <v>0</v>
      </c>
      <c r="K801" s="3">
        <f t="shared" si="29"/>
        <v>0</v>
      </c>
      <c r="L801" s="3"/>
      <c r="M801" s="3">
        <f t="shared" si="30"/>
        <v>0</v>
      </c>
      <c r="O801" s="5"/>
      <c r="S801" s="6"/>
    </row>
    <row r="802" spans="1:22" customFormat="1" x14ac:dyDescent="0.45">
      <c r="A802">
        <v>196203</v>
      </c>
      <c r="B802" t="s">
        <v>17998</v>
      </c>
      <c r="C802" t="s">
        <v>17999</v>
      </c>
      <c r="D802">
        <v>0</v>
      </c>
      <c r="E802" t="s">
        <v>16561</v>
      </c>
      <c r="F802" s="126"/>
      <c r="G802" s="7">
        <v>0</v>
      </c>
      <c r="H802" s="7">
        <v>0</v>
      </c>
      <c r="I802" s="7">
        <v>0</v>
      </c>
      <c r="J802" s="7">
        <v>0</v>
      </c>
      <c r="K802" s="3">
        <f t="shared" si="29"/>
        <v>0</v>
      </c>
      <c r="L802" s="3"/>
      <c r="M802" s="3">
        <f t="shared" si="30"/>
        <v>0</v>
      </c>
      <c r="N802" s="7"/>
      <c r="O802" s="5"/>
      <c r="S802" s="6"/>
    </row>
    <row r="803" spans="1:22" x14ac:dyDescent="0.45">
      <c r="A803" s="124">
        <v>145831</v>
      </c>
      <c r="B803" s="124" t="s">
        <v>18000</v>
      </c>
      <c r="C803" s="124" t="s">
        <v>18001</v>
      </c>
      <c r="D803" s="124">
        <v>3</v>
      </c>
      <c r="E803" s="124" t="s">
        <v>16334</v>
      </c>
      <c r="F803" s="126">
        <v>1.6999999999999999E-3</v>
      </c>
      <c r="G803" s="126">
        <f>(330*10)/100000</f>
        <v>3.3000000000000002E-2</v>
      </c>
      <c r="H803" s="126">
        <v>7.0000000000000001E-3</v>
      </c>
      <c r="I803" s="127"/>
      <c r="J803" s="127"/>
      <c r="K803" s="126">
        <f t="shared" si="29"/>
        <v>0.04</v>
      </c>
      <c r="L803" s="3"/>
      <c r="M803" s="126">
        <f t="shared" si="30"/>
        <v>4.1700000000000001E-2</v>
      </c>
      <c r="O803" s="125" t="s">
        <v>18002</v>
      </c>
      <c r="P803" s="128" t="s">
        <v>26918</v>
      </c>
      <c r="Q803" s="124">
        <v>79661</v>
      </c>
      <c r="R803" s="124" t="s">
        <v>16348</v>
      </c>
      <c r="S803" s="130">
        <v>50900</v>
      </c>
      <c r="T803" s="129">
        <f>S803/Q803</f>
        <v>0.63895758275693249</v>
      </c>
      <c r="V803" s="125" t="s">
        <v>18003</v>
      </c>
    </row>
    <row r="804" spans="1:22" customFormat="1" x14ac:dyDescent="0.45">
      <c r="A804">
        <v>196271</v>
      </c>
      <c r="B804" t="s">
        <v>18004</v>
      </c>
      <c r="C804" t="s">
        <v>18005</v>
      </c>
      <c r="D804">
        <v>1</v>
      </c>
      <c r="F804" s="126"/>
      <c r="G804" s="7">
        <v>0</v>
      </c>
      <c r="H804" s="7">
        <v>0</v>
      </c>
      <c r="I804" s="7">
        <v>0</v>
      </c>
      <c r="J804" s="7">
        <v>0</v>
      </c>
      <c r="K804" s="3">
        <f t="shared" si="29"/>
        <v>0</v>
      </c>
      <c r="L804" s="3"/>
      <c r="M804" s="3">
        <f t="shared" si="30"/>
        <v>0</v>
      </c>
      <c r="O804" s="5"/>
      <c r="S804" s="6"/>
    </row>
    <row r="805" spans="1:22" customFormat="1" x14ac:dyDescent="0.45">
      <c r="A805">
        <v>196274</v>
      </c>
      <c r="B805" t="s">
        <v>18006</v>
      </c>
      <c r="C805" t="s">
        <v>16331</v>
      </c>
      <c r="D805">
        <v>2</v>
      </c>
      <c r="E805" t="s">
        <v>16331</v>
      </c>
      <c r="F805" s="126"/>
      <c r="K805" s="3">
        <f t="shared" si="29"/>
        <v>0</v>
      </c>
      <c r="L805" s="3"/>
      <c r="M805" s="3">
        <f t="shared" si="30"/>
        <v>0</v>
      </c>
      <c r="O805" s="5"/>
      <c r="S805" s="6"/>
    </row>
    <row r="806" spans="1:22" customFormat="1" x14ac:dyDescent="0.45">
      <c r="A806">
        <v>196304</v>
      </c>
      <c r="B806" t="s">
        <v>18007</v>
      </c>
      <c r="C806" t="s">
        <v>16331</v>
      </c>
      <c r="D806">
        <v>2</v>
      </c>
      <c r="E806" t="s">
        <v>16331</v>
      </c>
      <c r="F806" s="126"/>
      <c r="G806" s="3">
        <v>0</v>
      </c>
      <c r="H806" s="3">
        <v>0</v>
      </c>
      <c r="I806" s="3">
        <v>0</v>
      </c>
      <c r="J806" s="3">
        <v>0</v>
      </c>
      <c r="K806" s="3">
        <f t="shared" si="29"/>
        <v>0</v>
      </c>
      <c r="L806" s="3"/>
      <c r="M806" s="3">
        <f t="shared" si="30"/>
        <v>0</v>
      </c>
      <c r="O806" s="5"/>
      <c r="S806" s="6"/>
    </row>
    <row r="807" spans="1:22" customFormat="1" x14ac:dyDescent="0.45">
      <c r="A807">
        <v>196444</v>
      </c>
      <c r="B807" t="s">
        <v>18008</v>
      </c>
      <c r="C807" t="s">
        <v>18009</v>
      </c>
      <c r="D807">
        <v>3</v>
      </c>
      <c r="F807" s="126"/>
      <c r="G807" s="7">
        <v>0</v>
      </c>
      <c r="H807" s="7">
        <v>0</v>
      </c>
      <c r="I807" s="7">
        <v>0</v>
      </c>
      <c r="J807" s="7">
        <v>0</v>
      </c>
      <c r="K807" s="3">
        <f t="shared" si="29"/>
        <v>0</v>
      </c>
      <c r="L807" s="3"/>
      <c r="M807" s="3">
        <f t="shared" si="30"/>
        <v>0</v>
      </c>
      <c r="O807" s="5"/>
      <c r="S807" s="6"/>
    </row>
    <row r="808" spans="1:22" customFormat="1" x14ac:dyDescent="0.45">
      <c r="A808">
        <v>196460</v>
      </c>
      <c r="B808" t="s">
        <v>18010</v>
      </c>
      <c r="C808" t="s">
        <v>16331</v>
      </c>
      <c r="D808">
        <v>0</v>
      </c>
      <c r="E808" t="s">
        <v>16331</v>
      </c>
      <c r="F808" s="126"/>
      <c r="K808" s="3">
        <f t="shared" si="29"/>
        <v>0</v>
      </c>
      <c r="L808" s="3"/>
      <c r="M808" s="3">
        <f t="shared" si="30"/>
        <v>0</v>
      </c>
      <c r="O808" s="5"/>
      <c r="S808" s="6"/>
    </row>
    <row r="809" spans="1:22" customFormat="1" x14ac:dyDescent="0.45">
      <c r="A809">
        <v>196462</v>
      </c>
      <c r="B809" t="s">
        <v>18011</v>
      </c>
      <c r="C809" t="s">
        <v>18012</v>
      </c>
      <c r="D809">
        <v>0</v>
      </c>
      <c r="E809" t="s">
        <v>16561</v>
      </c>
      <c r="F809" s="126"/>
      <c r="G809" s="7">
        <v>0</v>
      </c>
      <c r="H809" s="7">
        <v>0</v>
      </c>
      <c r="I809" s="7">
        <v>0</v>
      </c>
      <c r="J809" s="7">
        <v>0</v>
      </c>
      <c r="K809" s="3">
        <f t="shared" si="29"/>
        <v>0</v>
      </c>
      <c r="L809" s="3"/>
      <c r="M809" s="3">
        <f t="shared" si="30"/>
        <v>0</v>
      </c>
      <c r="N809" s="7"/>
      <c r="O809" s="5"/>
      <c r="S809" s="6"/>
    </row>
    <row r="810" spans="1:22" customFormat="1" x14ac:dyDescent="0.45">
      <c r="A810">
        <v>196475</v>
      </c>
      <c r="B810" t="s">
        <v>18013</v>
      </c>
      <c r="C810" t="s">
        <v>18014</v>
      </c>
      <c r="D810">
        <v>3</v>
      </c>
      <c r="F810" s="126"/>
      <c r="G810" s="7">
        <v>0</v>
      </c>
      <c r="H810" s="7">
        <v>0</v>
      </c>
      <c r="I810" s="7">
        <v>0</v>
      </c>
      <c r="J810" s="7">
        <v>0</v>
      </c>
      <c r="K810" s="3">
        <f t="shared" si="29"/>
        <v>0</v>
      </c>
      <c r="L810" s="3"/>
      <c r="M810" s="3">
        <f t="shared" si="30"/>
        <v>0</v>
      </c>
      <c r="O810" s="5"/>
      <c r="S810" s="6"/>
    </row>
    <row r="811" spans="1:22" customFormat="1" x14ac:dyDescent="0.45">
      <c r="A811">
        <v>196503</v>
      </c>
      <c r="B811" t="s">
        <v>18015</v>
      </c>
      <c r="C811" t="s">
        <v>16331</v>
      </c>
      <c r="D811">
        <v>4</v>
      </c>
      <c r="E811" t="s">
        <v>16331</v>
      </c>
      <c r="F811" s="126"/>
      <c r="G811" s="7">
        <v>0</v>
      </c>
      <c r="H811" s="7">
        <v>0</v>
      </c>
      <c r="I811" s="7">
        <v>0</v>
      </c>
      <c r="J811" s="7">
        <v>0</v>
      </c>
      <c r="K811" s="3">
        <f t="shared" si="29"/>
        <v>0</v>
      </c>
      <c r="L811" s="3"/>
      <c r="M811" s="3">
        <f t="shared" si="30"/>
        <v>0</v>
      </c>
      <c r="O811" s="5"/>
      <c r="S811" s="6"/>
    </row>
    <row r="812" spans="1:22" customFormat="1" x14ac:dyDescent="0.45">
      <c r="A812">
        <v>196671</v>
      </c>
      <c r="B812" t="s">
        <v>18016</v>
      </c>
      <c r="C812" t="s">
        <v>16331</v>
      </c>
      <c r="D812">
        <v>2</v>
      </c>
      <c r="E812" t="s">
        <v>16331</v>
      </c>
      <c r="F812" s="126"/>
      <c r="G812" s="7">
        <v>0</v>
      </c>
      <c r="H812" s="7">
        <v>0</v>
      </c>
      <c r="I812" s="7">
        <v>0</v>
      </c>
      <c r="J812" s="7">
        <v>0</v>
      </c>
      <c r="K812" s="3">
        <f t="shared" si="29"/>
        <v>0</v>
      </c>
      <c r="L812" s="3"/>
      <c r="M812" s="3">
        <f t="shared" si="30"/>
        <v>0</v>
      </c>
      <c r="N812" s="7"/>
      <c r="O812" s="5"/>
      <c r="S812" s="6"/>
    </row>
    <row r="813" spans="1:22" customFormat="1" x14ac:dyDescent="0.45">
      <c r="A813">
        <v>196672</v>
      </c>
      <c r="B813" t="s">
        <v>18017</v>
      </c>
      <c r="C813" t="s">
        <v>16331</v>
      </c>
      <c r="D813">
        <v>2</v>
      </c>
      <c r="E813" t="s">
        <v>16331</v>
      </c>
      <c r="F813" s="126"/>
      <c r="K813" s="3">
        <f t="shared" si="29"/>
        <v>0</v>
      </c>
      <c r="L813" s="3"/>
      <c r="M813" s="3">
        <f t="shared" si="30"/>
        <v>0</v>
      </c>
      <c r="O813" s="5"/>
      <c r="S813" s="6"/>
    </row>
    <row r="814" spans="1:22" customFormat="1" x14ac:dyDescent="0.45">
      <c r="A814">
        <v>196679</v>
      </c>
      <c r="B814" t="s">
        <v>18018</v>
      </c>
      <c r="C814" t="s">
        <v>18019</v>
      </c>
      <c r="D814">
        <v>8</v>
      </c>
      <c r="F814" s="126"/>
      <c r="G814" s="7">
        <v>0</v>
      </c>
      <c r="H814" s="7">
        <v>0</v>
      </c>
      <c r="I814" s="7">
        <v>0</v>
      </c>
      <c r="J814" s="7">
        <v>0</v>
      </c>
      <c r="K814" s="3">
        <f t="shared" si="29"/>
        <v>0</v>
      </c>
      <c r="L814" s="3"/>
      <c r="M814" s="3">
        <f t="shared" si="30"/>
        <v>0</v>
      </c>
      <c r="O814" s="5"/>
      <c r="S814" s="6"/>
    </row>
    <row r="815" spans="1:22" customFormat="1" x14ac:dyDescent="0.45">
      <c r="A815">
        <v>196680</v>
      </c>
      <c r="B815" t="s">
        <v>18020</v>
      </c>
      <c r="C815" t="s">
        <v>18021</v>
      </c>
      <c r="D815">
        <v>2</v>
      </c>
      <c r="F815" s="126"/>
      <c r="G815" s="7">
        <v>0</v>
      </c>
      <c r="H815" s="7">
        <v>0</v>
      </c>
      <c r="I815" s="7">
        <v>0</v>
      </c>
      <c r="J815" s="7">
        <v>0</v>
      </c>
      <c r="K815" s="3">
        <f t="shared" ref="K815:K842" si="31">SUM(G815:J815)</f>
        <v>0</v>
      </c>
      <c r="L815" s="3"/>
      <c r="M815" s="3">
        <f t="shared" ref="M815:M878" si="32">K815+F815</f>
        <v>0</v>
      </c>
      <c r="O815" s="5"/>
      <c r="S815" s="6"/>
    </row>
    <row r="816" spans="1:22" customFormat="1" x14ac:dyDescent="0.45">
      <c r="A816">
        <v>196681</v>
      </c>
      <c r="B816" t="s">
        <v>18022</v>
      </c>
      <c r="C816" t="s">
        <v>16331</v>
      </c>
      <c r="D816">
        <v>2</v>
      </c>
      <c r="E816" t="s">
        <v>16331</v>
      </c>
      <c r="F816" s="126"/>
      <c r="G816" s="7">
        <v>0</v>
      </c>
      <c r="H816" s="7">
        <v>0</v>
      </c>
      <c r="I816" s="7">
        <v>0</v>
      </c>
      <c r="J816" s="7">
        <v>0</v>
      </c>
      <c r="K816" s="3">
        <f t="shared" si="31"/>
        <v>0</v>
      </c>
      <c r="L816" s="3"/>
      <c r="M816" s="3">
        <f t="shared" si="32"/>
        <v>0</v>
      </c>
      <c r="O816" s="5"/>
      <c r="S816" s="6"/>
    </row>
    <row r="817" spans="1:19" customFormat="1" x14ac:dyDescent="0.45">
      <c r="A817">
        <v>196689</v>
      </c>
      <c r="B817" t="s">
        <v>18023</v>
      </c>
      <c r="C817" t="s">
        <v>16331</v>
      </c>
      <c r="D817">
        <v>1</v>
      </c>
      <c r="E817" t="s">
        <v>16331</v>
      </c>
      <c r="F817" s="126"/>
      <c r="G817" s="7">
        <v>0</v>
      </c>
      <c r="H817" s="7">
        <v>0</v>
      </c>
      <c r="I817" s="7">
        <v>0</v>
      </c>
      <c r="J817" s="7">
        <v>0</v>
      </c>
      <c r="K817" s="3">
        <f t="shared" si="31"/>
        <v>0</v>
      </c>
      <c r="L817" s="3"/>
      <c r="M817" s="3">
        <f t="shared" si="32"/>
        <v>0</v>
      </c>
      <c r="O817" s="5"/>
      <c r="S817" s="6"/>
    </row>
    <row r="818" spans="1:19" customFormat="1" x14ac:dyDescent="0.45">
      <c r="A818">
        <v>196806</v>
      </c>
      <c r="B818" t="s">
        <v>18024</v>
      </c>
      <c r="C818" t="s">
        <v>18025</v>
      </c>
      <c r="D818">
        <v>1</v>
      </c>
      <c r="F818" s="126"/>
      <c r="G818" s="7">
        <v>0</v>
      </c>
      <c r="H818" s="7">
        <v>0</v>
      </c>
      <c r="I818" s="7">
        <v>0</v>
      </c>
      <c r="J818" s="7">
        <v>0</v>
      </c>
      <c r="K818" s="3">
        <f t="shared" si="31"/>
        <v>0</v>
      </c>
      <c r="L818" s="3"/>
      <c r="M818" s="3">
        <f t="shared" si="32"/>
        <v>0</v>
      </c>
      <c r="O818" s="5"/>
      <c r="S818" s="6"/>
    </row>
    <row r="819" spans="1:19" customFormat="1" x14ac:dyDescent="0.45">
      <c r="A819">
        <v>196849</v>
      </c>
      <c r="B819" t="s">
        <v>18026</v>
      </c>
      <c r="C819" t="s">
        <v>18027</v>
      </c>
      <c r="D819">
        <v>2</v>
      </c>
      <c r="F819" s="126"/>
      <c r="G819" s="7">
        <v>0</v>
      </c>
      <c r="H819" s="7">
        <v>0</v>
      </c>
      <c r="I819" s="7">
        <v>0</v>
      </c>
      <c r="J819" s="7">
        <v>0</v>
      </c>
      <c r="K819" s="3">
        <f t="shared" si="31"/>
        <v>0</v>
      </c>
      <c r="L819" s="3"/>
      <c r="M819" s="3">
        <f t="shared" si="32"/>
        <v>0</v>
      </c>
      <c r="O819" s="5"/>
      <c r="S819" s="6"/>
    </row>
    <row r="820" spans="1:19" customFormat="1" x14ac:dyDescent="0.45">
      <c r="A820">
        <v>196880</v>
      </c>
      <c r="B820" t="s">
        <v>18028</v>
      </c>
      <c r="C820" t="s">
        <v>18029</v>
      </c>
      <c r="D820">
        <v>1</v>
      </c>
      <c r="F820" s="126"/>
      <c r="G820" s="3">
        <v>0</v>
      </c>
      <c r="H820" s="3">
        <v>0</v>
      </c>
      <c r="I820" s="3">
        <v>0</v>
      </c>
      <c r="J820" s="3">
        <v>0</v>
      </c>
      <c r="K820" s="3">
        <f t="shared" si="31"/>
        <v>0</v>
      </c>
      <c r="L820" s="3"/>
      <c r="M820" s="3">
        <f t="shared" si="32"/>
        <v>0</v>
      </c>
      <c r="O820" s="5"/>
      <c r="S820" s="6"/>
    </row>
    <row r="821" spans="1:19" customFormat="1" x14ac:dyDescent="0.45">
      <c r="A821">
        <v>196946</v>
      </c>
      <c r="B821" t="s">
        <v>18030</v>
      </c>
      <c r="C821" t="s">
        <v>18031</v>
      </c>
      <c r="D821">
        <v>3</v>
      </c>
      <c r="F821" s="126"/>
      <c r="G821" s="7">
        <v>0</v>
      </c>
      <c r="H821" s="7">
        <v>0</v>
      </c>
      <c r="I821" s="7">
        <v>0</v>
      </c>
      <c r="J821" s="7">
        <v>0</v>
      </c>
      <c r="K821" s="3">
        <f t="shared" si="31"/>
        <v>0</v>
      </c>
      <c r="L821" s="3"/>
      <c r="M821" s="3">
        <f t="shared" si="32"/>
        <v>0</v>
      </c>
      <c r="O821" s="5"/>
      <c r="S821" s="6"/>
    </row>
    <row r="822" spans="1:19" customFormat="1" x14ac:dyDescent="0.45">
      <c r="A822">
        <v>197003</v>
      </c>
      <c r="B822" t="s">
        <v>18032</v>
      </c>
      <c r="C822" t="s">
        <v>18033</v>
      </c>
      <c r="D822">
        <v>7</v>
      </c>
      <c r="F822" s="126"/>
      <c r="G822" s="3">
        <v>0</v>
      </c>
      <c r="H822" s="3">
        <v>0</v>
      </c>
      <c r="I822" s="3">
        <v>0</v>
      </c>
      <c r="J822" s="3">
        <v>0</v>
      </c>
      <c r="K822" s="3">
        <f t="shared" si="31"/>
        <v>0</v>
      </c>
      <c r="L822" s="3"/>
      <c r="M822" s="3">
        <f t="shared" si="32"/>
        <v>0</v>
      </c>
      <c r="O822" s="5"/>
      <c r="S822" s="6"/>
    </row>
    <row r="823" spans="1:19" customFormat="1" x14ac:dyDescent="0.45">
      <c r="A823">
        <v>197107</v>
      </c>
      <c r="B823" t="s">
        <v>18034</v>
      </c>
      <c r="C823" t="s">
        <v>18035</v>
      </c>
      <c r="D823">
        <v>160</v>
      </c>
      <c r="E823" t="s">
        <v>16561</v>
      </c>
      <c r="F823" s="126"/>
      <c r="G823" s="3">
        <v>0</v>
      </c>
      <c r="H823" s="3">
        <v>0</v>
      </c>
      <c r="I823" s="3">
        <v>0</v>
      </c>
      <c r="J823" s="3">
        <v>0</v>
      </c>
      <c r="K823" s="3">
        <f t="shared" si="31"/>
        <v>0</v>
      </c>
      <c r="L823" s="3"/>
      <c r="M823" s="3">
        <f t="shared" si="32"/>
        <v>0</v>
      </c>
      <c r="O823" s="5"/>
      <c r="S823" s="6"/>
    </row>
    <row r="824" spans="1:19" customFormat="1" x14ac:dyDescent="0.45">
      <c r="A824">
        <v>197121</v>
      </c>
      <c r="B824" t="s">
        <v>18036</v>
      </c>
      <c r="C824" t="s">
        <v>16331</v>
      </c>
      <c r="D824">
        <v>3</v>
      </c>
      <c r="E824" t="s">
        <v>16331</v>
      </c>
      <c r="F824" s="126"/>
      <c r="G824" s="7">
        <v>0</v>
      </c>
      <c r="H824" s="7">
        <v>0</v>
      </c>
      <c r="I824" s="7">
        <v>0</v>
      </c>
      <c r="J824" s="7">
        <v>0</v>
      </c>
      <c r="K824" s="3">
        <f t="shared" si="31"/>
        <v>0</v>
      </c>
      <c r="L824" s="3"/>
      <c r="M824" s="3">
        <f t="shared" si="32"/>
        <v>0</v>
      </c>
      <c r="O824" s="5"/>
      <c r="S824" s="6"/>
    </row>
    <row r="825" spans="1:19" customFormat="1" x14ac:dyDescent="0.45">
      <c r="A825">
        <v>197136</v>
      </c>
      <c r="B825" t="s">
        <v>18037</v>
      </c>
      <c r="C825" t="s">
        <v>18038</v>
      </c>
      <c r="D825">
        <v>1</v>
      </c>
      <c r="F825" s="126"/>
      <c r="G825" s="3">
        <v>0</v>
      </c>
      <c r="H825" s="3">
        <v>0</v>
      </c>
      <c r="I825" s="3">
        <v>0</v>
      </c>
      <c r="J825" s="3">
        <v>0</v>
      </c>
      <c r="K825" s="3">
        <f t="shared" si="31"/>
        <v>0</v>
      </c>
      <c r="L825" s="3"/>
      <c r="M825" s="3">
        <f t="shared" si="32"/>
        <v>0</v>
      </c>
      <c r="O825" s="5"/>
      <c r="S825" s="6"/>
    </row>
    <row r="826" spans="1:19" customFormat="1" x14ac:dyDescent="0.45">
      <c r="A826">
        <v>197149</v>
      </c>
      <c r="B826" t="s">
        <v>18039</v>
      </c>
      <c r="C826" t="s">
        <v>16331</v>
      </c>
      <c r="D826">
        <v>4</v>
      </c>
      <c r="E826" t="s">
        <v>16331</v>
      </c>
      <c r="F826" s="126"/>
      <c r="G826" s="7">
        <v>0</v>
      </c>
      <c r="H826" s="7">
        <v>0</v>
      </c>
      <c r="I826" s="7">
        <v>0</v>
      </c>
      <c r="J826" s="7">
        <v>0</v>
      </c>
      <c r="K826" s="3">
        <f t="shared" si="31"/>
        <v>0</v>
      </c>
      <c r="L826" s="3"/>
      <c r="M826" s="3">
        <f t="shared" si="32"/>
        <v>0</v>
      </c>
      <c r="O826" s="5"/>
      <c r="S826" s="6"/>
    </row>
    <row r="827" spans="1:19" customFormat="1" x14ac:dyDescent="0.45">
      <c r="A827">
        <v>197176</v>
      </c>
      <c r="B827" t="s">
        <v>18040</v>
      </c>
      <c r="C827" t="s">
        <v>16331</v>
      </c>
      <c r="D827">
        <v>1</v>
      </c>
      <c r="E827" t="s">
        <v>16331</v>
      </c>
      <c r="F827" s="126"/>
      <c r="G827" s="7">
        <v>0</v>
      </c>
      <c r="H827" s="7">
        <v>0</v>
      </c>
      <c r="I827" s="7">
        <v>0</v>
      </c>
      <c r="J827" s="7">
        <v>0</v>
      </c>
      <c r="K827" s="3">
        <f t="shared" si="31"/>
        <v>0</v>
      </c>
      <c r="L827" s="3"/>
      <c r="M827" s="3">
        <f t="shared" si="32"/>
        <v>0</v>
      </c>
      <c r="O827" s="5"/>
      <c r="S827" s="6"/>
    </row>
    <row r="828" spans="1:19" customFormat="1" x14ac:dyDescent="0.45">
      <c r="A828">
        <v>197182</v>
      </c>
      <c r="B828" t="s">
        <v>18041</v>
      </c>
      <c r="C828" t="s">
        <v>16331</v>
      </c>
      <c r="D828">
        <v>0</v>
      </c>
      <c r="E828" t="s">
        <v>16331</v>
      </c>
      <c r="F828" s="126"/>
      <c r="G828" s="3"/>
      <c r="H828" s="3"/>
      <c r="I828" s="3"/>
      <c r="J828" s="3"/>
      <c r="K828" s="3">
        <f t="shared" si="31"/>
        <v>0</v>
      </c>
      <c r="L828" s="3"/>
      <c r="M828" s="3">
        <f t="shared" si="32"/>
        <v>0</v>
      </c>
      <c r="O828" s="5"/>
      <c r="S828" s="6"/>
    </row>
    <row r="829" spans="1:19" customFormat="1" x14ac:dyDescent="0.45">
      <c r="A829">
        <v>197193</v>
      </c>
      <c r="B829" t="s">
        <v>18042</v>
      </c>
      <c r="C829" t="s">
        <v>17099</v>
      </c>
      <c r="D829">
        <v>23</v>
      </c>
      <c r="E829" t="s">
        <v>16334</v>
      </c>
      <c r="F829" s="126"/>
      <c r="G829" s="3">
        <v>0</v>
      </c>
      <c r="H829" s="3">
        <v>0</v>
      </c>
      <c r="I829" s="3">
        <v>0</v>
      </c>
      <c r="J829" s="3">
        <v>0</v>
      </c>
      <c r="K829" s="3">
        <f t="shared" si="31"/>
        <v>0</v>
      </c>
      <c r="L829" s="3"/>
      <c r="M829" s="3">
        <f t="shared" si="32"/>
        <v>0</v>
      </c>
      <c r="O829" s="5"/>
      <c r="S829" s="6"/>
    </row>
    <row r="830" spans="1:19" customFormat="1" x14ac:dyDescent="0.45">
      <c r="A830">
        <v>197271</v>
      </c>
      <c r="B830" t="s">
        <v>18043</v>
      </c>
      <c r="C830" t="s">
        <v>16331</v>
      </c>
      <c r="D830">
        <v>2</v>
      </c>
      <c r="E830" t="s">
        <v>16331</v>
      </c>
      <c r="F830" s="126"/>
      <c r="G830" s="7">
        <v>0</v>
      </c>
      <c r="H830" s="7">
        <v>0</v>
      </c>
      <c r="I830" s="7">
        <v>0</v>
      </c>
      <c r="J830" s="7">
        <v>0</v>
      </c>
      <c r="K830" s="3">
        <f t="shared" si="31"/>
        <v>0</v>
      </c>
      <c r="L830" s="3"/>
      <c r="M830" s="3">
        <f t="shared" si="32"/>
        <v>0</v>
      </c>
      <c r="O830" s="5"/>
      <c r="S830" s="6"/>
    </row>
    <row r="831" spans="1:19" customFormat="1" x14ac:dyDescent="0.45">
      <c r="A831">
        <v>197286</v>
      </c>
      <c r="B831" t="s">
        <v>18044</v>
      </c>
      <c r="C831" t="s">
        <v>16331</v>
      </c>
      <c r="D831">
        <v>1</v>
      </c>
      <c r="E831" t="s">
        <v>16331</v>
      </c>
      <c r="F831" s="126"/>
      <c r="G831" s="7">
        <v>0</v>
      </c>
      <c r="H831" s="7">
        <v>0</v>
      </c>
      <c r="I831" s="7">
        <v>0</v>
      </c>
      <c r="J831" s="7">
        <v>0</v>
      </c>
      <c r="K831" s="3">
        <f t="shared" si="31"/>
        <v>0</v>
      </c>
      <c r="L831" s="3"/>
      <c r="M831" s="3">
        <f t="shared" si="32"/>
        <v>0</v>
      </c>
      <c r="O831" s="5"/>
      <c r="S831" s="6"/>
    </row>
    <row r="832" spans="1:19" customFormat="1" x14ac:dyDescent="0.45">
      <c r="A832">
        <v>197336</v>
      </c>
      <c r="B832" t="s">
        <v>18045</v>
      </c>
      <c r="C832" t="s">
        <v>18046</v>
      </c>
      <c r="D832">
        <v>0</v>
      </c>
      <c r="E832" t="s">
        <v>18047</v>
      </c>
      <c r="F832" s="126"/>
      <c r="G832" s="7">
        <v>0</v>
      </c>
      <c r="H832" s="7">
        <v>0</v>
      </c>
      <c r="I832" s="7">
        <v>0</v>
      </c>
      <c r="J832" s="7">
        <v>0</v>
      </c>
      <c r="K832" s="3">
        <f t="shared" si="31"/>
        <v>0</v>
      </c>
      <c r="L832" s="3"/>
      <c r="M832" s="3">
        <f t="shared" si="32"/>
        <v>0</v>
      </c>
      <c r="N832" s="7"/>
      <c r="O832" s="5"/>
      <c r="S832" s="6"/>
    </row>
    <row r="833" spans="1:23" customFormat="1" x14ac:dyDescent="0.45">
      <c r="A833">
        <v>197340</v>
      </c>
      <c r="B833" t="s">
        <v>18048</v>
      </c>
      <c r="C833" t="s">
        <v>18049</v>
      </c>
      <c r="D833">
        <v>42</v>
      </c>
      <c r="E833" t="s">
        <v>16417</v>
      </c>
      <c r="F833" s="126"/>
      <c r="G833" s="3">
        <v>0</v>
      </c>
      <c r="H833" s="3">
        <v>0</v>
      </c>
      <c r="I833" s="3">
        <v>0</v>
      </c>
      <c r="J833" s="3">
        <v>0</v>
      </c>
      <c r="K833" s="3">
        <f t="shared" si="31"/>
        <v>0</v>
      </c>
      <c r="L833" s="3"/>
      <c r="M833" s="3">
        <f t="shared" si="32"/>
        <v>0</v>
      </c>
      <c r="O833" s="5"/>
      <c r="S833" s="6"/>
    </row>
    <row r="834" spans="1:23" customFormat="1" x14ac:dyDescent="0.45">
      <c r="A834">
        <v>197342</v>
      </c>
      <c r="B834" t="s">
        <v>18050</v>
      </c>
      <c r="C834" t="s">
        <v>18051</v>
      </c>
      <c r="D834">
        <v>11</v>
      </c>
      <c r="F834" s="126"/>
      <c r="G834" s="7">
        <v>0</v>
      </c>
      <c r="H834" s="7">
        <v>0</v>
      </c>
      <c r="I834" s="7">
        <v>0</v>
      </c>
      <c r="J834" s="7">
        <v>0</v>
      </c>
      <c r="K834" s="3">
        <f t="shared" si="31"/>
        <v>0</v>
      </c>
      <c r="L834" s="3"/>
      <c r="M834" s="3">
        <f t="shared" si="32"/>
        <v>0</v>
      </c>
      <c r="O834" s="5"/>
      <c r="S834" s="6"/>
    </row>
    <row r="835" spans="1:23" customFormat="1" x14ac:dyDescent="0.45">
      <c r="A835">
        <v>197346</v>
      </c>
      <c r="B835" t="s">
        <v>18052</v>
      </c>
      <c r="C835" t="s">
        <v>18053</v>
      </c>
      <c r="D835">
        <v>1</v>
      </c>
      <c r="F835" s="126"/>
      <c r="K835" s="3">
        <f t="shared" si="31"/>
        <v>0</v>
      </c>
      <c r="L835" s="3"/>
      <c r="M835" s="3">
        <f t="shared" si="32"/>
        <v>0</v>
      </c>
      <c r="O835" s="5"/>
      <c r="S835" s="6"/>
    </row>
    <row r="836" spans="1:23" customFormat="1" x14ac:dyDescent="0.45">
      <c r="A836">
        <v>197385</v>
      </c>
      <c r="B836" t="s">
        <v>18054</v>
      </c>
      <c r="C836" t="s">
        <v>18055</v>
      </c>
      <c r="D836">
        <v>0</v>
      </c>
      <c r="E836" t="s">
        <v>16561</v>
      </c>
      <c r="F836" s="126"/>
      <c r="G836" s="7">
        <v>0</v>
      </c>
      <c r="H836" s="7">
        <v>0</v>
      </c>
      <c r="I836" s="7">
        <v>0</v>
      </c>
      <c r="J836" s="7">
        <v>0</v>
      </c>
      <c r="K836" s="3">
        <f t="shared" si="31"/>
        <v>0</v>
      </c>
      <c r="L836" s="3"/>
      <c r="M836" s="3">
        <f t="shared" si="32"/>
        <v>0</v>
      </c>
      <c r="N836" s="7"/>
      <c r="O836" s="5"/>
      <c r="S836" s="6"/>
    </row>
    <row r="837" spans="1:23" customFormat="1" x14ac:dyDescent="0.45">
      <c r="A837">
        <v>197422</v>
      </c>
      <c r="B837" t="s">
        <v>18056</v>
      </c>
      <c r="C837" t="s">
        <v>18057</v>
      </c>
      <c r="D837">
        <v>4</v>
      </c>
      <c r="E837" t="s">
        <v>16334</v>
      </c>
      <c r="F837" s="126"/>
      <c r="K837" s="3">
        <f t="shared" si="31"/>
        <v>0</v>
      </c>
      <c r="L837" s="3"/>
      <c r="M837" s="3">
        <f t="shared" si="32"/>
        <v>0</v>
      </c>
      <c r="O837" s="5"/>
      <c r="S837" s="6"/>
    </row>
    <row r="838" spans="1:23" customFormat="1" x14ac:dyDescent="0.45">
      <c r="A838">
        <v>197438</v>
      </c>
      <c r="B838" t="s">
        <v>18058</v>
      </c>
      <c r="C838" t="s">
        <v>18059</v>
      </c>
      <c r="D838">
        <v>3</v>
      </c>
      <c r="F838" s="126"/>
      <c r="G838" s="7">
        <v>0</v>
      </c>
      <c r="H838" s="7">
        <v>0</v>
      </c>
      <c r="I838" s="7">
        <v>0</v>
      </c>
      <c r="J838" s="7">
        <v>0</v>
      </c>
      <c r="K838" s="3">
        <f t="shared" si="31"/>
        <v>0</v>
      </c>
      <c r="L838" s="3"/>
      <c r="M838" s="3">
        <f t="shared" si="32"/>
        <v>0</v>
      </c>
      <c r="O838" s="5"/>
      <c r="S838" s="6"/>
    </row>
    <row r="839" spans="1:23" customFormat="1" x14ac:dyDescent="0.45">
      <c r="A839">
        <v>197492</v>
      </c>
      <c r="B839" t="s">
        <v>18060</v>
      </c>
      <c r="C839" t="s">
        <v>16331</v>
      </c>
      <c r="D839">
        <v>1</v>
      </c>
      <c r="E839" t="s">
        <v>16331</v>
      </c>
      <c r="F839" s="126"/>
      <c r="G839" s="7">
        <v>0</v>
      </c>
      <c r="H839" s="7">
        <v>0</v>
      </c>
      <c r="I839" s="7">
        <v>0</v>
      </c>
      <c r="J839" s="7">
        <v>0</v>
      </c>
      <c r="K839" s="3">
        <f t="shared" si="31"/>
        <v>0</v>
      </c>
      <c r="L839" s="3"/>
      <c r="M839" s="3">
        <f t="shared" si="32"/>
        <v>0</v>
      </c>
      <c r="O839" s="5"/>
      <c r="S839" s="6"/>
    </row>
    <row r="840" spans="1:23" x14ac:dyDescent="0.45">
      <c r="A840" s="124">
        <v>231631</v>
      </c>
      <c r="B840" s="124" t="s">
        <v>18061</v>
      </c>
      <c r="C840" s="124" t="s">
        <v>18062</v>
      </c>
      <c r="D840" s="124">
        <v>3</v>
      </c>
      <c r="E840" s="124" t="s">
        <v>16334</v>
      </c>
      <c r="F840" s="126">
        <v>1.6999999999999999E-3</v>
      </c>
      <c r="G840" s="126">
        <v>0.04</v>
      </c>
      <c r="H840" s="126">
        <v>1.4999999999999999E-2</v>
      </c>
      <c r="I840" s="127"/>
      <c r="J840" s="127"/>
      <c r="K840" s="126">
        <f t="shared" si="31"/>
        <v>5.5E-2</v>
      </c>
      <c r="L840" s="3"/>
      <c r="M840" s="126">
        <f t="shared" si="32"/>
        <v>5.67E-2</v>
      </c>
      <c r="O840" s="125" t="s">
        <v>18063</v>
      </c>
      <c r="P840" s="128" t="s">
        <v>26918</v>
      </c>
      <c r="Q840" s="124">
        <f>120085+4409</f>
        <v>124494</v>
      </c>
      <c r="R840" s="124" t="s">
        <v>16348</v>
      </c>
      <c r="S840" s="130">
        <v>21347</v>
      </c>
      <c r="T840" s="129">
        <f>S840/Q840</f>
        <v>0.17147011100936591</v>
      </c>
      <c r="V840" s="125" t="s">
        <v>18064</v>
      </c>
      <c r="W840" s="124" t="s">
        <v>17130</v>
      </c>
    </row>
    <row r="841" spans="1:23" customFormat="1" x14ac:dyDescent="0.45">
      <c r="A841">
        <v>198020</v>
      </c>
      <c r="B841" t="s">
        <v>18065</v>
      </c>
      <c r="C841" t="s">
        <v>18066</v>
      </c>
      <c r="D841">
        <v>0</v>
      </c>
      <c r="E841" t="s">
        <v>16561</v>
      </c>
      <c r="F841" s="126"/>
      <c r="K841" s="3">
        <f t="shared" si="31"/>
        <v>0</v>
      </c>
      <c r="L841" s="3"/>
      <c r="M841" s="3">
        <f t="shared" si="32"/>
        <v>0</v>
      </c>
      <c r="O841" s="5"/>
      <c r="S841" s="6"/>
    </row>
    <row r="842" spans="1:23" customFormat="1" x14ac:dyDescent="0.45">
      <c r="A842">
        <v>198023</v>
      </c>
      <c r="B842" t="s">
        <v>18067</v>
      </c>
      <c r="C842" t="s">
        <v>18068</v>
      </c>
      <c r="D842">
        <v>3</v>
      </c>
      <c r="F842" s="126"/>
      <c r="G842" s="7">
        <v>0</v>
      </c>
      <c r="H842" s="7">
        <v>0</v>
      </c>
      <c r="I842" s="7">
        <v>0</v>
      </c>
      <c r="J842" s="7">
        <v>0</v>
      </c>
      <c r="K842" s="3">
        <f t="shared" si="31"/>
        <v>0</v>
      </c>
      <c r="L842" s="3"/>
      <c r="M842" s="3">
        <f t="shared" si="32"/>
        <v>0</v>
      </c>
      <c r="O842" s="5"/>
      <c r="S842" s="6"/>
    </row>
    <row r="843" spans="1:23" customFormat="1" x14ac:dyDescent="0.45">
      <c r="A843">
        <v>198042</v>
      </c>
      <c r="B843" t="s">
        <v>18069</v>
      </c>
      <c r="C843" t="s">
        <v>18070</v>
      </c>
      <c r="D843">
        <v>0</v>
      </c>
      <c r="E843" t="s">
        <v>16561</v>
      </c>
      <c r="F843" s="126"/>
      <c r="I843" s="7"/>
      <c r="K843" s="3">
        <v>0</v>
      </c>
      <c r="L843" s="3"/>
      <c r="M843" s="3">
        <f t="shared" si="32"/>
        <v>0</v>
      </c>
      <c r="O843" s="5"/>
      <c r="S843" s="6"/>
    </row>
    <row r="844" spans="1:23" customFormat="1" x14ac:dyDescent="0.45">
      <c r="A844">
        <v>198059</v>
      </c>
      <c r="B844" t="s">
        <v>18071</v>
      </c>
      <c r="C844" t="s">
        <v>16331</v>
      </c>
      <c r="D844">
        <v>2</v>
      </c>
      <c r="E844" t="s">
        <v>16331</v>
      </c>
      <c r="F844" s="126"/>
      <c r="G844" s="7">
        <v>0</v>
      </c>
      <c r="H844" s="7">
        <v>0</v>
      </c>
      <c r="I844" s="7">
        <v>0</v>
      </c>
      <c r="J844" s="7">
        <v>0</v>
      </c>
      <c r="K844" s="3">
        <f t="shared" ref="K844:K849" si="33">SUM(G844:J844)</f>
        <v>0</v>
      </c>
      <c r="L844" s="3"/>
      <c r="M844" s="3">
        <f t="shared" si="32"/>
        <v>0</v>
      </c>
      <c r="O844" s="5"/>
      <c r="S844" s="6"/>
    </row>
    <row r="845" spans="1:23" customFormat="1" x14ac:dyDescent="0.45">
      <c r="A845">
        <v>198060</v>
      </c>
      <c r="B845" t="s">
        <v>18072</v>
      </c>
      <c r="C845" t="s">
        <v>18073</v>
      </c>
      <c r="D845">
        <v>3</v>
      </c>
      <c r="F845" s="126"/>
      <c r="G845" s="7">
        <v>0</v>
      </c>
      <c r="H845" s="7">
        <v>0</v>
      </c>
      <c r="I845" s="7">
        <v>0</v>
      </c>
      <c r="J845" s="7">
        <v>0</v>
      </c>
      <c r="K845" s="3">
        <f t="shared" si="33"/>
        <v>0</v>
      </c>
      <c r="L845" s="3"/>
      <c r="M845" s="3">
        <f t="shared" si="32"/>
        <v>0</v>
      </c>
      <c r="O845" s="5"/>
      <c r="S845" s="6"/>
    </row>
    <row r="846" spans="1:23" customFormat="1" x14ac:dyDescent="0.45">
      <c r="A846">
        <v>198090</v>
      </c>
      <c r="B846" t="s">
        <v>18074</v>
      </c>
      <c r="C846" t="s">
        <v>18075</v>
      </c>
      <c r="D846">
        <v>2</v>
      </c>
      <c r="F846" s="126"/>
      <c r="G846" s="3">
        <v>0</v>
      </c>
      <c r="H846" s="3">
        <v>0</v>
      </c>
      <c r="I846" s="3">
        <v>0</v>
      </c>
      <c r="J846" s="3">
        <v>0</v>
      </c>
      <c r="K846" s="3">
        <f t="shared" si="33"/>
        <v>0</v>
      </c>
      <c r="L846" s="3"/>
      <c r="M846" s="3">
        <f t="shared" si="32"/>
        <v>0</v>
      </c>
      <c r="O846" s="5"/>
      <c r="S846" s="6"/>
    </row>
    <row r="847" spans="1:23" customFormat="1" x14ac:dyDescent="0.45">
      <c r="A847">
        <v>202359</v>
      </c>
      <c r="B847" t="s">
        <v>18076</v>
      </c>
      <c r="C847" t="s">
        <v>18077</v>
      </c>
      <c r="D847">
        <v>3</v>
      </c>
      <c r="F847" s="126"/>
      <c r="K847" s="3">
        <f t="shared" si="33"/>
        <v>0</v>
      </c>
      <c r="L847" s="3"/>
      <c r="M847" s="3">
        <f t="shared" si="32"/>
        <v>0</v>
      </c>
      <c r="O847" s="5"/>
      <c r="S847" s="6"/>
    </row>
    <row r="848" spans="1:23" x14ac:dyDescent="0.45">
      <c r="A848" s="124">
        <v>812808</v>
      </c>
      <c r="B848" s="124" t="s">
        <v>18078</v>
      </c>
      <c r="C848" s="124" t="s">
        <v>18079</v>
      </c>
      <c r="D848" s="124">
        <v>1</v>
      </c>
      <c r="E848" s="124" t="s">
        <v>16334</v>
      </c>
      <c r="F848" s="126">
        <v>1.6999999999999999E-3</v>
      </c>
      <c r="G848" s="135">
        <v>0.03</v>
      </c>
      <c r="H848" s="137">
        <v>1.4999999999999999E-2</v>
      </c>
      <c r="I848" s="135">
        <v>0</v>
      </c>
      <c r="J848" s="135">
        <v>0</v>
      </c>
      <c r="K848" s="126">
        <f t="shared" si="33"/>
        <v>4.4999999999999998E-2</v>
      </c>
      <c r="L848" s="3"/>
      <c r="M848" s="126">
        <f t="shared" si="32"/>
        <v>4.6699999999999998E-2</v>
      </c>
      <c r="O848" s="125" t="s">
        <v>18080</v>
      </c>
      <c r="P848" s="128" t="s">
        <v>26918</v>
      </c>
      <c r="Q848" s="124">
        <f>91170+9027</f>
        <v>100197</v>
      </c>
      <c r="R848" s="124" t="s">
        <v>16348</v>
      </c>
      <c r="S848" s="132">
        <v>89712</v>
      </c>
      <c r="T848" s="129">
        <f>S848/Q848</f>
        <v>0.8953561483876763</v>
      </c>
      <c r="V848" s="125" t="s">
        <v>18081</v>
      </c>
      <c r="W848" s="124" t="s">
        <v>18082</v>
      </c>
    </row>
    <row r="849" spans="1:22" customFormat="1" x14ac:dyDescent="0.45">
      <c r="A849">
        <v>204687</v>
      </c>
      <c r="B849" t="s">
        <v>18083</v>
      </c>
      <c r="C849" t="s">
        <v>18084</v>
      </c>
      <c r="D849">
        <v>0</v>
      </c>
      <c r="E849" t="s">
        <v>16561</v>
      </c>
      <c r="F849" s="126"/>
      <c r="K849" s="3">
        <f t="shared" si="33"/>
        <v>0</v>
      </c>
      <c r="L849" s="3"/>
      <c r="M849" s="3">
        <f t="shared" si="32"/>
        <v>0</v>
      </c>
      <c r="O849" s="5"/>
      <c r="S849" s="6"/>
    </row>
    <row r="850" spans="1:22" x14ac:dyDescent="0.45">
      <c r="A850" s="124">
        <v>947126</v>
      </c>
      <c r="B850" s="124" t="s">
        <v>18085</v>
      </c>
      <c r="C850" s="124" t="s">
        <v>18086</v>
      </c>
      <c r="D850" s="124">
        <v>1</v>
      </c>
      <c r="E850" s="124" t="s">
        <v>16334</v>
      </c>
      <c r="F850" s="126">
        <v>1.6999999999999999E-3</v>
      </c>
      <c r="G850" s="126"/>
      <c r="H850" s="126"/>
      <c r="I850" s="127">
        <v>2.9499999999999998E-2</v>
      </c>
      <c r="J850" s="127">
        <v>0.01</v>
      </c>
      <c r="K850" s="126">
        <f>SUM(I850:J850)</f>
        <v>3.95E-2</v>
      </c>
      <c r="L850" s="3"/>
      <c r="M850" s="126">
        <f t="shared" si="32"/>
        <v>4.1200000000000001E-2</v>
      </c>
      <c r="O850" s="131" t="s">
        <v>18087</v>
      </c>
      <c r="P850" s="128" t="s">
        <v>26918</v>
      </c>
      <c r="Q850" s="130">
        <f>40431+70315</f>
        <v>110746</v>
      </c>
      <c r="R850" s="124" t="s">
        <v>16348</v>
      </c>
      <c r="S850" s="132">
        <v>24371</v>
      </c>
      <c r="T850" s="129">
        <f>S850/Q850</f>
        <v>0.22006212413992379</v>
      </c>
      <c r="V850" s="125" t="s">
        <v>18088</v>
      </c>
    </row>
    <row r="851" spans="1:22" customFormat="1" x14ac:dyDescent="0.45">
      <c r="A851">
        <v>207468</v>
      </c>
      <c r="B851" t="s">
        <v>18089</v>
      </c>
      <c r="C851" t="s">
        <v>16331</v>
      </c>
      <c r="D851">
        <v>1</v>
      </c>
      <c r="E851" t="s">
        <v>16331</v>
      </c>
      <c r="F851" s="126"/>
      <c r="K851" s="3">
        <f t="shared" ref="K851:K888" si="34">SUM(G851:J851)</f>
        <v>0</v>
      </c>
      <c r="L851" s="3"/>
      <c r="M851" s="3">
        <f t="shared" si="32"/>
        <v>0</v>
      </c>
      <c r="O851" s="5"/>
      <c r="S851" s="6"/>
    </row>
    <row r="852" spans="1:22" customFormat="1" x14ac:dyDescent="0.45">
      <c r="A852">
        <v>207470</v>
      </c>
      <c r="B852" t="s">
        <v>18090</v>
      </c>
      <c r="C852" t="s">
        <v>16331</v>
      </c>
      <c r="D852">
        <v>4</v>
      </c>
      <c r="E852" t="s">
        <v>16331</v>
      </c>
      <c r="F852" s="126"/>
      <c r="G852" s="7">
        <v>0</v>
      </c>
      <c r="H852" s="7">
        <v>0</v>
      </c>
      <c r="I852" s="7">
        <v>0</v>
      </c>
      <c r="J852" s="7">
        <v>0</v>
      </c>
      <c r="K852" s="3">
        <f t="shared" si="34"/>
        <v>0</v>
      </c>
      <c r="L852" s="3"/>
      <c r="M852" s="3">
        <f t="shared" si="32"/>
        <v>0</v>
      </c>
      <c r="O852" s="5"/>
      <c r="S852" s="6"/>
    </row>
    <row r="853" spans="1:22" customFormat="1" x14ac:dyDescent="0.45">
      <c r="A853">
        <v>207474</v>
      </c>
      <c r="B853" t="s">
        <v>18091</v>
      </c>
      <c r="C853" t="s">
        <v>18092</v>
      </c>
      <c r="D853">
        <v>9</v>
      </c>
      <c r="E853" t="s">
        <v>16334</v>
      </c>
      <c r="F853" s="126"/>
      <c r="K853" s="3">
        <f t="shared" si="34"/>
        <v>0</v>
      </c>
      <c r="L853" s="3"/>
      <c r="M853" s="3">
        <f t="shared" si="32"/>
        <v>0</v>
      </c>
      <c r="O853" s="5"/>
      <c r="S853" s="6"/>
    </row>
    <row r="854" spans="1:22" customFormat="1" x14ac:dyDescent="0.45">
      <c r="A854">
        <v>207483</v>
      </c>
      <c r="B854" t="s">
        <v>18093</v>
      </c>
      <c r="C854" s="2" t="s">
        <v>18094</v>
      </c>
      <c r="D854">
        <v>2</v>
      </c>
      <c r="F854" s="126"/>
      <c r="G854" s="3">
        <v>0</v>
      </c>
      <c r="H854" s="3">
        <v>0</v>
      </c>
      <c r="I854" s="3">
        <v>0</v>
      </c>
      <c r="J854" s="3">
        <v>0</v>
      </c>
      <c r="K854" s="3">
        <f t="shared" si="34"/>
        <v>0</v>
      </c>
      <c r="L854" s="3"/>
      <c r="M854" s="3">
        <f t="shared" si="32"/>
        <v>0</v>
      </c>
      <c r="O854" s="5"/>
      <c r="S854" s="6"/>
    </row>
    <row r="855" spans="1:22" customFormat="1" x14ac:dyDescent="0.45">
      <c r="A855">
        <v>207490</v>
      </c>
      <c r="B855" t="s">
        <v>18095</v>
      </c>
      <c r="C855" t="s">
        <v>18096</v>
      </c>
      <c r="D855">
        <v>2</v>
      </c>
      <c r="E855" t="s">
        <v>16334</v>
      </c>
      <c r="F855" s="126"/>
      <c r="G855" s="7">
        <v>0</v>
      </c>
      <c r="H855" s="7">
        <v>0</v>
      </c>
      <c r="I855" s="7">
        <v>0</v>
      </c>
      <c r="J855" s="7">
        <v>0</v>
      </c>
      <c r="K855" s="3">
        <f t="shared" si="34"/>
        <v>0</v>
      </c>
      <c r="L855" s="3"/>
      <c r="M855" s="3">
        <f t="shared" si="32"/>
        <v>0</v>
      </c>
      <c r="O855" s="5"/>
      <c r="S855" s="6"/>
    </row>
    <row r="856" spans="1:22" customFormat="1" x14ac:dyDescent="0.45">
      <c r="A856">
        <v>207491</v>
      </c>
      <c r="B856" t="s">
        <v>18097</v>
      </c>
      <c r="C856" t="s">
        <v>18098</v>
      </c>
      <c r="D856">
        <v>1</v>
      </c>
      <c r="F856" s="126"/>
      <c r="G856" s="7">
        <v>0</v>
      </c>
      <c r="H856" s="7">
        <v>0</v>
      </c>
      <c r="I856" s="7">
        <v>0</v>
      </c>
      <c r="J856" s="7">
        <v>0</v>
      </c>
      <c r="K856" s="3">
        <f t="shared" si="34"/>
        <v>0</v>
      </c>
      <c r="L856" s="3"/>
      <c r="M856" s="3">
        <f t="shared" si="32"/>
        <v>0</v>
      </c>
      <c r="O856" s="5"/>
      <c r="S856" s="6"/>
    </row>
    <row r="857" spans="1:22" customFormat="1" x14ac:dyDescent="0.45">
      <c r="A857">
        <v>207494</v>
      </c>
      <c r="B857" t="s">
        <v>18099</v>
      </c>
      <c r="C857" t="s">
        <v>18100</v>
      </c>
      <c r="D857">
        <v>3</v>
      </c>
      <c r="F857" s="126"/>
      <c r="G857" s="3">
        <v>0</v>
      </c>
      <c r="H857" s="3">
        <v>0</v>
      </c>
      <c r="I857" s="3">
        <v>0</v>
      </c>
      <c r="J857" s="3">
        <v>0</v>
      </c>
      <c r="K857" s="3">
        <f t="shared" si="34"/>
        <v>0</v>
      </c>
      <c r="L857" s="3"/>
      <c r="M857" s="3">
        <f t="shared" si="32"/>
        <v>0</v>
      </c>
      <c r="O857" s="5"/>
      <c r="S857" s="6"/>
    </row>
    <row r="858" spans="1:22" customFormat="1" x14ac:dyDescent="0.45">
      <c r="A858">
        <v>207503</v>
      </c>
      <c r="B858" t="s">
        <v>18101</v>
      </c>
      <c r="C858" t="s">
        <v>18102</v>
      </c>
      <c r="D858">
        <v>1</v>
      </c>
      <c r="F858" s="126"/>
      <c r="G858" s="7">
        <v>0</v>
      </c>
      <c r="H858" s="7">
        <v>0</v>
      </c>
      <c r="I858" s="7">
        <v>0</v>
      </c>
      <c r="J858" s="7">
        <v>0</v>
      </c>
      <c r="K858" s="3">
        <f t="shared" si="34"/>
        <v>0</v>
      </c>
      <c r="L858" s="3"/>
      <c r="M858" s="3">
        <f t="shared" si="32"/>
        <v>0</v>
      </c>
      <c r="O858" s="5"/>
      <c r="S858" s="6"/>
    </row>
    <row r="859" spans="1:22" customFormat="1" x14ac:dyDescent="0.45">
      <c r="A859">
        <v>207506</v>
      </c>
      <c r="B859" t="s">
        <v>18103</v>
      </c>
      <c r="C859" t="s">
        <v>18104</v>
      </c>
      <c r="D859">
        <v>6</v>
      </c>
      <c r="F859" s="126"/>
      <c r="G859" s="7">
        <v>0</v>
      </c>
      <c r="H859" s="7">
        <v>0</v>
      </c>
      <c r="I859" s="7">
        <v>0</v>
      </c>
      <c r="J859" s="7">
        <v>0</v>
      </c>
      <c r="K859" s="3">
        <f t="shared" si="34"/>
        <v>0</v>
      </c>
      <c r="L859" s="3"/>
      <c r="M859" s="3">
        <f t="shared" si="32"/>
        <v>0</v>
      </c>
      <c r="O859" s="5"/>
      <c r="S859" s="6"/>
    </row>
    <row r="860" spans="1:22" customFormat="1" x14ac:dyDescent="0.45">
      <c r="A860">
        <v>207508</v>
      </c>
      <c r="B860" t="s">
        <v>18105</v>
      </c>
      <c r="C860" t="s">
        <v>18106</v>
      </c>
      <c r="D860">
        <v>3</v>
      </c>
      <c r="F860" s="126"/>
      <c r="G860" s="7">
        <v>0</v>
      </c>
      <c r="H860" s="7">
        <v>0</v>
      </c>
      <c r="I860" s="7">
        <v>0</v>
      </c>
      <c r="J860" s="7">
        <v>0</v>
      </c>
      <c r="K860" s="3">
        <f t="shared" si="34"/>
        <v>0</v>
      </c>
      <c r="L860" s="3"/>
      <c r="M860" s="3">
        <f t="shared" si="32"/>
        <v>0</v>
      </c>
      <c r="O860" s="5"/>
      <c r="S860" s="6"/>
    </row>
    <row r="861" spans="1:22" customFormat="1" x14ac:dyDescent="0.45">
      <c r="A861">
        <v>207527</v>
      </c>
      <c r="B861" t="s">
        <v>18107</v>
      </c>
      <c r="C861" t="s">
        <v>16331</v>
      </c>
      <c r="D861">
        <v>1</v>
      </c>
      <c r="E861" t="s">
        <v>16331</v>
      </c>
      <c r="F861" s="126"/>
      <c r="G861" s="7">
        <v>0</v>
      </c>
      <c r="H861" s="7">
        <v>0</v>
      </c>
      <c r="I861" s="7">
        <v>0</v>
      </c>
      <c r="J861" s="7">
        <v>0</v>
      </c>
      <c r="K861" s="3">
        <f t="shared" si="34"/>
        <v>0</v>
      </c>
      <c r="L861" s="3"/>
      <c r="M861" s="3">
        <f t="shared" si="32"/>
        <v>0</v>
      </c>
      <c r="O861" s="5"/>
      <c r="S861" s="6"/>
    </row>
    <row r="862" spans="1:22" customFormat="1" x14ac:dyDescent="0.45">
      <c r="A862">
        <v>207536</v>
      </c>
      <c r="B862" t="s">
        <v>18108</v>
      </c>
      <c r="C862" t="s">
        <v>16331</v>
      </c>
      <c r="D862">
        <v>2</v>
      </c>
      <c r="E862" t="s">
        <v>16331</v>
      </c>
      <c r="F862" s="126"/>
      <c r="G862" s="7">
        <v>0</v>
      </c>
      <c r="H862" s="7">
        <v>0</v>
      </c>
      <c r="I862" s="7">
        <v>0</v>
      </c>
      <c r="J862" s="7">
        <v>0</v>
      </c>
      <c r="K862" s="3">
        <f t="shared" si="34"/>
        <v>0</v>
      </c>
      <c r="L862" s="3"/>
      <c r="M862" s="3">
        <f t="shared" si="32"/>
        <v>0</v>
      </c>
      <c r="O862" s="5"/>
      <c r="S862" s="6"/>
    </row>
    <row r="863" spans="1:22" customFormat="1" x14ac:dyDescent="0.45">
      <c r="A863">
        <v>207560</v>
      </c>
      <c r="B863" t="s">
        <v>18109</v>
      </c>
      <c r="C863" t="s">
        <v>18110</v>
      </c>
      <c r="D863">
        <v>4</v>
      </c>
      <c r="F863" s="126"/>
      <c r="G863" s="3">
        <v>0</v>
      </c>
      <c r="H863" s="3">
        <v>0</v>
      </c>
      <c r="I863" s="3">
        <v>0</v>
      </c>
      <c r="J863" s="3">
        <v>0</v>
      </c>
      <c r="K863" s="3">
        <f t="shared" si="34"/>
        <v>0</v>
      </c>
      <c r="L863" s="3"/>
      <c r="M863" s="3">
        <f t="shared" si="32"/>
        <v>0</v>
      </c>
      <c r="O863" s="5"/>
      <c r="S863" s="6"/>
    </row>
    <row r="864" spans="1:22" customFormat="1" x14ac:dyDescent="0.45">
      <c r="A864">
        <v>207647</v>
      </c>
      <c r="B864" t="s">
        <v>18111</v>
      </c>
      <c r="C864" t="s">
        <v>18112</v>
      </c>
      <c r="D864">
        <v>4</v>
      </c>
      <c r="F864" s="126"/>
      <c r="K864" s="3">
        <f t="shared" si="34"/>
        <v>0</v>
      </c>
      <c r="L864" s="3"/>
      <c r="M864" s="3">
        <f t="shared" si="32"/>
        <v>0</v>
      </c>
      <c r="O864" s="5"/>
      <c r="S864" s="6"/>
    </row>
    <row r="865" spans="1:22" customFormat="1" x14ac:dyDescent="0.45">
      <c r="A865">
        <v>207663</v>
      </c>
      <c r="B865" t="s">
        <v>18113</v>
      </c>
      <c r="C865" s="2" t="s">
        <v>18114</v>
      </c>
      <c r="D865">
        <v>2</v>
      </c>
      <c r="F865" s="126"/>
      <c r="G865" s="7">
        <v>0</v>
      </c>
      <c r="H865" s="7">
        <v>0</v>
      </c>
      <c r="I865" s="7">
        <v>0</v>
      </c>
      <c r="J865" s="7">
        <v>0</v>
      </c>
      <c r="K865" s="3">
        <f t="shared" si="34"/>
        <v>0</v>
      </c>
      <c r="L865" s="3"/>
      <c r="M865" s="3">
        <f t="shared" si="32"/>
        <v>0</v>
      </c>
      <c r="N865" s="7"/>
      <c r="O865" s="5"/>
      <c r="S865" s="6"/>
    </row>
    <row r="866" spans="1:22" customFormat="1" x14ac:dyDescent="0.45">
      <c r="A866">
        <v>207708</v>
      </c>
      <c r="B866" t="s">
        <v>18115</v>
      </c>
      <c r="C866" t="s">
        <v>16331</v>
      </c>
      <c r="D866">
        <v>5</v>
      </c>
      <c r="E866" t="s">
        <v>16331</v>
      </c>
      <c r="F866" s="126"/>
      <c r="G866" s="7">
        <v>0</v>
      </c>
      <c r="H866" s="7">
        <v>0</v>
      </c>
      <c r="I866" s="7">
        <v>0</v>
      </c>
      <c r="J866" s="7">
        <v>0</v>
      </c>
      <c r="K866" s="3">
        <f t="shared" si="34"/>
        <v>0</v>
      </c>
      <c r="L866" s="3"/>
      <c r="M866" s="3">
        <f t="shared" si="32"/>
        <v>0</v>
      </c>
      <c r="O866" s="5"/>
      <c r="S866" s="6"/>
    </row>
    <row r="867" spans="1:22" customFormat="1" x14ac:dyDescent="0.45">
      <c r="A867">
        <v>207816</v>
      </c>
      <c r="B867" t="s">
        <v>18116</v>
      </c>
      <c r="C867" s="2" t="s">
        <v>16331</v>
      </c>
      <c r="D867">
        <v>0</v>
      </c>
      <c r="E867" t="s">
        <v>16331</v>
      </c>
      <c r="F867" s="126"/>
      <c r="G867" s="3"/>
      <c r="K867" s="3">
        <f t="shared" si="34"/>
        <v>0</v>
      </c>
      <c r="L867" s="3"/>
      <c r="M867" s="3">
        <f t="shared" si="32"/>
        <v>0</v>
      </c>
      <c r="O867" s="5"/>
      <c r="S867" s="6"/>
    </row>
    <row r="868" spans="1:22" customFormat="1" x14ac:dyDescent="0.45">
      <c r="A868">
        <v>207972</v>
      </c>
      <c r="B868" t="s">
        <v>18117</v>
      </c>
      <c r="C868" t="s">
        <v>18118</v>
      </c>
      <c r="D868">
        <v>0</v>
      </c>
      <c r="E868" t="s">
        <v>16561</v>
      </c>
      <c r="F868" s="126"/>
      <c r="G868" s="7">
        <v>0</v>
      </c>
      <c r="H868" s="7">
        <v>0</v>
      </c>
      <c r="I868" s="7">
        <v>0</v>
      </c>
      <c r="J868" s="7">
        <v>0</v>
      </c>
      <c r="K868" s="3">
        <f t="shared" si="34"/>
        <v>0</v>
      </c>
      <c r="L868" s="3"/>
      <c r="M868" s="3">
        <f t="shared" si="32"/>
        <v>0</v>
      </c>
      <c r="N868" s="7"/>
      <c r="O868" s="5"/>
      <c r="S868" s="6"/>
    </row>
    <row r="869" spans="1:22" customFormat="1" x14ac:dyDescent="0.45">
      <c r="A869">
        <v>208467</v>
      </c>
      <c r="B869" t="s">
        <v>18119</v>
      </c>
      <c r="C869" s="2" t="s">
        <v>18120</v>
      </c>
      <c r="D869">
        <v>9</v>
      </c>
      <c r="F869" s="126"/>
      <c r="G869" s="3">
        <v>0</v>
      </c>
      <c r="H869" s="3">
        <v>0</v>
      </c>
      <c r="I869" s="3">
        <v>0</v>
      </c>
      <c r="J869" s="3">
        <v>0</v>
      </c>
      <c r="K869" s="3">
        <f t="shared" si="34"/>
        <v>0</v>
      </c>
      <c r="L869" s="3"/>
      <c r="M869" s="3">
        <f t="shared" si="32"/>
        <v>0</v>
      </c>
      <c r="O869" s="5"/>
      <c r="S869" s="6"/>
    </row>
    <row r="870" spans="1:22" customFormat="1" x14ac:dyDescent="0.45">
      <c r="A870">
        <v>208500</v>
      </c>
      <c r="B870" t="s">
        <v>18121</v>
      </c>
      <c r="C870" t="s">
        <v>18122</v>
      </c>
      <c r="D870">
        <v>1</v>
      </c>
      <c r="F870" s="126"/>
      <c r="G870" s="7">
        <v>0</v>
      </c>
      <c r="H870" s="7">
        <v>0</v>
      </c>
      <c r="I870" s="7">
        <v>0</v>
      </c>
      <c r="J870" s="7">
        <v>0</v>
      </c>
      <c r="K870" s="3">
        <f t="shared" si="34"/>
        <v>0</v>
      </c>
      <c r="L870" s="3"/>
      <c r="M870" s="3">
        <f t="shared" si="32"/>
        <v>0</v>
      </c>
      <c r="O870" s="5"/>
      <c r="S870" s="6"/>
    </row>
    <row r="871" spans="1:22" customFormat="1" x14ac:dyDescent="0.45">
      <c r="A871">
        <v>208672</v>
      </c>
      <c r="B871" t="s">
        <v>18123</v>
      </c>
      <c r="C871" t="s">
        <v>16331</v>
      </c>
      <c r="D871">
        <v>1</v>
      </c>
      <c r="E871" t="s">
        <v>16331</v>
      </c>
      <c r="F871" s="126"/>
      <c r="G871" s="7">
        <v>0</v>
      </c>
      <c r="H871" s="7">
        <v>0</v>
      </c>
      <c r="I871" s="7">
        <v>0</v>
      </c>
      <c r="J871" s="7">
        <v>0</v>
      </c>
      <c r="K871" s="3">
        <f t="shared" si="34"/>
        <v>0</v>
      </c>
      <c r="L871" s="3"/>
      <c r="M871" s="3">
        <f t="shared" si="32"/>
        <v>0</v>
      </c>
      <c r="O871" s="5"/>
      <c r="S871" s="6"/>
    </row>
    <row r="872" spans="1:22" customFormat="1" x14ac:dyDescent="0.45">
      <c r="A872">
        <v>208681</v>
      </c>
      <c r="B872" t="s">
        <v>18124</v>
      </c>
      <c r="C872" t="s">
        <v>18125</v>
      </c>
      <c r="D872">
        <v>1</v>
      </c>
      <c r="F872" s="126"/>
      <c r="G872" s="7">
        <v>0</v>
      </c>
      <c r="H872" s="7">
        <v>0</v>
      </c>
      <c r="I872" s="7">
        <v>0</v>
      </c>
      <c r="J872" s="7">
        <v>0</v>
      </c>
      <c r="K872" s="3">
        <f t="shared" si="34"/>
        <v>0</v>
      </c>
      <c r="L872" s="3"/>
      <c r="M872" s="3">
        <f t="shared" si="32"/>
        <v>0</v>
      </c>
      <c r="O872" s="5"/>
      <c r="S872" s="6"/>
    </row>
    <row r="873" spans="1:22" customFormat="1" x14ac:dyDescent="0.45">
      <c r="A873">
        <v>208951</v>
      </c>
      <c r="B873" t="s">
        <v>18126</v>
      </c>
      <c r="C873" t="s">
        <v>16331</v>
      </c>
      <c r="D873">
        <v>2</v>
      </c>
      <c r="E873" t="s">
        <v>16331</v>
      </c>
      <c r="F873" s="126"/>
      <c r="G873" s="7">
        <v>0</v>
      </c>
      <c r="H873" s="7">
        <v>0</v>
      </c>
      <c r="I873" s="7">
        <v>0</v>
      </c>
      <c r="J873" s="7">
        <v>0</v>
      </c>
      <c r="K873" s="3">
        <f t="shared" si="34"/>
        <v>0</v>
      </c>
      <c r="L873" s="3"/>
      <c r="M873" s="3">
        <f t="shared" si="32"/>
        <v>0</v>
      </c>
      <c r="O873" s="5"/>
      <c r="S873" s="6"/>
    </row>
    <row r="874" spans="1:22" customFormat="1" x14ac:dyDescent="0.45">
      <c r="A874">
        <v>209047</v>
      </c>
      <c r="B874" t="s">
        <v>18127</v>
      </c>
      <c r="C874" t="s">
        <v>16331</v>
      </c>
      <c r="D874">
        <v>1</v>
      </c>
      <c r="E874" t="s">
        <v>16331</v>
      </c>
      <c r="F874" s="126"/>
      <c r="G874" s="3">
        <v>0</v>
      </c>
      <c r="H874" s="3">
        <v>0</v>
      </c>
      <c r="I874" s="3">
        <v>0</v>
      </c>
      <c r="J874" s="3">
        <v>0</v>
      </c>
      <c r="K874" s="3">
        <f t="shared" si="34"/>
        <v>0</v>
      </c>
      <c r="L874" s="3"/>
      <c r="M874" s="3">
        <f t="shared" si="32"/>
        <v>0</v>
      </c>
      <c r="O874" s="5"/>
      <c r="S874" s="6"/>
    </row>
    <row r="875" spans="1:22" customFormat="1" x14ac:dyDescent="0.45">
      <c r="A875">
        <v>209313</v>
      </c>
      <c r="B875" t="s">
        <v>18128</v>
      </c>
      <c r="C875" t="s">
        <v>16331</v>
      </c>
      <c r="D875">
        <v>0</v>
      </c>
      <c r="E875" t="s">
        <v>16331</v>
      </c>
      <c r="F875" s="126"/>
      <c r="K875" s="3">
        <f t="shared" si="34"/>
        <v>0</v>
      </c>
      <c r="L875" s="3"/>
      <c r="M875" s="3">
        <f t="shared" si="32"/>
        <v>0</v>
      </c>
      <c r="O875" s="5"/>
      <c r="S875" s="6"/>
    </row>
    <row r="876" spans="1:22" customFormat="1" x14ac:dyDescent="0.45">
      <c r="A876">
        <v>209423</v>
      </c>
      <c r="B876" t="s">
        <v>18129</v>
      </c>
      <c r="C876" t="s">
        <v>16331</v>
      </c>
      <c r="D876">
        <v>2</v>
      </c>
      <c r="E876" t="s">
        <v>16331</v>
      </c>
      <c r="F876" s="126"/>
      <c r="G876" s="7">
        <v>0</v>
      </c>
      <c r="H876" s="7">
        <v>0</v>
      </c>
      <c r="I876" s="7">
        <v>0</v>
      </c>
      <c r="J876" s="7">
        <v>0</v>
      </c>
      <c r="K876" s="3">
        <f t="shared" si="34"/>
        <v>0</v>
      </c>
      <c r="L876" s="3"/>
      <c r="M876" s="3">
        <f t="shared" si="32"/>
        <v>0</v>
      </c>
      <c r="O876" s="5"/>
      <c r="S876" s="6"/>
    </row>
    <row r="877" spans="1:22" customFormat="1" x14ac:dyDescent="0.45">
      <c r="A877">
        <v>209429</v>
      </c>
      <c r="B877" t="s">
        <v>18130</v>
      </c>
      <c r="C877" t="s">
        <v>18131</v>
      </c>
      <c r="D877">
        <v>5</v>
      </c>
      <c r="E877" t="s">
        <v>16334</v>
      </c>
      <c r="F877" s="126"/>
      <c r="K877" s="3">
        <f t="shared" si="34"/>
        <v>0</v>
      </c>
      <c r="L877" s="3"/>
      <c r="M877" s="3">
        <f t="shared" si="32"/>
        <v>0</v>
      </c>
      <c r="O877" s="5"/>
      <c r="S877" s="6"/>
    </row>
    <row r="878" spans="1:22" customFormat="1" x14ac:dyDescent="0.45">
      <c r="A878">
        <v>209446</v>
      </c>
      <c r="B878" t="s">
        <v>18132</v>
      </c>
      <c r="C878" t="s">
        <v>18133</v>
      </c>
      <c r="D878">
        <v>4</v>
      </c>
      <c r="E878" t="s">
        <v>18134</v>
      </c>
      <c r="F878" s="126"/>
      <c r="K878" s="3">
        <f t="shared" si="34"/>
        <v>0</v>
      </c>
      <c r="L878" s="3"/>
      <c r="M878" s="3">
        <f t="shared" si="32"/>
        <v>0</v>
      </c>
      <c r="O878" s="5"/>
      <c r="S878" s="6"/>
    </row>
    <row r="879" spans="1:22" customFormat="1" x14ac:dyDescent="0.45">
      <c r="A879">
        <v>209450</v>
      </c>
      <c r="B879" t="s">
        <v>18135</v>
      </c>
      <c r="C879" t="s">
        <v>16331</v>
      </c>
      <c r="D879">
        <v>4</v>
      </c>
      <c r="E879" t="s">
        <v>16331</v>
      </c>
      <c r="F879" s="126"/>
      <c r="K879" s="3">
        <f t="shared" si="34"/>
        <v>0</v>
      </c>
      <c r="L879" s="3"/>
      <c r="M879" s="3">
        <f t="shared" ref="M879:M888" si="35">K879+F879</f>
        <v>0</v>
      </c>
      <c r="O879" s="5"/>
      <c r="S879" s="6"/>
    </row>
    <row r="880" spans="1:22" x14ac:dyDescent="0.45">
      <c r="A880" s="124">
        <v>781330</v>
      </c>
      <c r="B880" s="124" t="s">
        <v>18136</v>
      </c>
      <c r="C880" s="125" t="s">
        <v>18137</v>
      </c>
      <c r="D880" s="124">
        <v>1</v>
      </c>
      <c r="E880" s="124" t="s">
        <v>16334</v>
      </c>
      <c r="F880" s="126">
        <v>1.6999999999999999E-3</v>
      </c>
      <c r="G880" s="126">
        <v>0.02</v>
      </c>
      <c r="H880" s="126">
        <v>0.01</v>
      </c>
      <c r="I880" s="127">
        <v>0</v>
      </c>
      <c r="J880" s="127">
        <v>0</v>
      </c>
      <c r="K880" s="126">
        <f t="shared" si="34"/>
        <v>0.03</v>
      </c>
      <c r="L880" s="3"/>
      <c r="M880" s="126">
        <f t="shared" si="35"/>
        <v>3.1699999999999999E-2</v>
      </c>
      <c r="O880" s="131" t="s">
        <v>18138</v>
      </c>
      <c r="P880" s="128" t="s">
        <v>26918</v>
      </c>
      <c r="Q880" s="124">
        <f>61389+944</f>
        <v>62333</v>
      </c>
      <c r="R880" s="124" t="s">
        <v>16348</v>
      </c>
      <c r="S880" s="132">
        <v>301</v>
      </c>
      <c r="T880" s="129">
        <f>S880/Q880</f>
        <v>4.8289028283573709E-3</v>
      </c>
      <c r="V880" s="125" t="s">
        <v>18139</v>
      </c>
    </row>
    <row r="881" spans="1:22" customFormat="1" x14ac:dyDescent="0.45">
      <c r="A881">
        <v>209525</v>
      </c>
      <c r="B881" t="s">
        <v>18140</v>
      </c>
      <c r="C881" t="s">
        <v>18141</v>
      </c>
      <c r="D881">
        <v>3</v>
      </c>
      <c r="E881" t="s">
        <v>16334</v>
      </c>
      <c r="F881" s="126"/>
      <c r="G881" s="7">
        <v>0</v>
      </c>
      <c r="H881" s="7">
        <v>0</v>
      </c>
      <c r="I881" s="7">
        <v>0</v>
      </c>
      <c r="J881" s="7">
        <v>0</v>
      </c>
      <c r="K881" s="3">
        <f t="shared" si="34"/>
        <v>0</v>
      </c>
      <c r="L881" s="3"/>
      <c r="M881" s="3">
        <f t="shared" si="35"/>
        <v>0</v>
      </c>
      <c r="O881" s="5"/>
      <c r="S881" s="6"/>
    </row>
    <row r="882" spans="1:22" customFormat="1" x14ac:dyDescent="0.45">
      <c r="A882">
        <v>209529</v>
      </c>
      <c r="B882" t="s">
        <v>18142</v>
      </c>
      <c r="C882" t="s">
        <v>18143</v>
      </c>
      <c r="D882">
        <v>4</v>
      </c>
      <c r="F882" s="126"/>
      <c r="G882" s="7">
        <v>0</v>
      </c>
      <c r="H882" s="7">
        <v>0</v>
      </c>
      <c r="I882" s="7">
        <v>0</v>
      </c>
      <c r="J882" s="7">
        <v>0</v>
      </c>
      <c r="K882" s="3">
        <f t="shared" si="34"/>
        <v>0</v>
      </c>
      <c r="L882" s="3"/>
      <c r="M882" s="3">
        <f t="shared" si="35"/>
        <v>0</v>
      </c>
      <c r="O882" s="5"/>
      <c r="S882" s="6"/>
    </row>
    <row r="883" spans="1:22" x14ac:dyDescent="0.45">
      <c r="A883" s="124">
        <v>670205</v>
      </c>
      <c r="B883" s="124" t="s">
        <v>18144</v>
      </c>
      <c r="C883" s="124" t="s">
        <v>18145</v>
      </c>
      <c r="D883" s="124">
        <v>2</v>
      </c>
      <c r="E883" s="124" t="s">
        <v>16334</v>
      </c>
      <c r="F883" s="126">
        <v>1.6999999999999999E-3</v>
      </c>
      <c r="G883" s="126">
        <v>2.5000000000000001E-2</v>
      </c>
      <c r="H883" s="126">
        <v>0.01</v>
      </c>
      <c r="I883" s="127">
        <v>0</v>
      </c>
      <c r="J883" s="127">
        <v>0</v>
      </c>
      <c r="K883" s="126">
        <f t="shared" si="34"/>
        <v>3.5000000000000003E-2</v>
      </c>
      <c r="L883" s="3"/>
      <c r="M883" s="126">
        <f t="shared" si="35"/>
        <v>3.6700000000000003E-2</v>
      </c>
      <c r="N883" s="124" t="s">
        <v>18146</v>
      </c>
      <c r="O883" s="131" t="s">
        <v>18146</v>
      </c>
      <c r="P883" s="128" t="s">
        <v>26918</v>
      </c>
      <c r="Q883" s="124">
        <f>123765+79982</f>
        <v>203747</v>
      </c>
      <c r="R883" s="124" t="s">
        <v>16348</v>
      </c>
      <c r="S883" s="132">
        <v>113845</v>
      </c>
      <c r="T883" s="129">
        <f>S883/Q883</f>
        <v>0.55875669335008615</v>
      </c>
      <c r="V883" s="125" t="s">
        <v>18147</v>
      </c>
    </row>
    <row r="884" spans="1:22" customFormat="1" x14ac:dyDescent="0.45">
      <c r="A884">
        <v>209535</v>
      </c>
      <c r="B884" t="s">
        <v>18148</v>
      </c>
      <c r="C884" t="s">
        <v>18149</v>
      </c>
      <c r="D884">
        <v>4</v>
      </c>
      <c r="F884" s="126"/>
      <c r="K884" s="3">
        <f t="shared" si="34"/>
        <v>0</v>
      </c>
      <c r="L884" s="3"/>
      <c r="M884" s="3">
        <f t="shared" si="35"/>
        <v>0</v>
      </c>
      <c r="O884" s="5"/>
      <c r="S884" s="6"/>
    </row>
    <row r="885" spans="1:22" customFormat="1" x14ac:dyDescent="0.45">
      <c r="A885">
        <v>209562</v>
      </c>
      <c r="B885" t="s">
        <v>18150</v>
      </c>
      <c r="C885" t="s">
        <v>16331</v>
      </c>
      <c r="D885">
        <v>2</v>
      </c>
      <c r="E885" t="s">
        <v>16331</v>
      </c>
      <c r="F885" s="126"/>
      <c r="G885" s="7">
        <v>0</v>
      </c>
      <c r="H885" s="7">
        <v>0</v>
      </c>
      <c r="I885" s="7">
        <v>0</v>
      </c>
      <c r="J885" s="7">
        <v>0</v>
      </c>
      <c r="K885" s="3">
        <f t="shared" si="34"/>
        <v>0</v>
      </c>
      <c r="L885" s="3"/>
      <c r="M885" s="3">
        <f t="shared" si="35"/>
        <v>0</v>
      </c>
      <c r="O885" s="5"/>
      <c r="S885" s="6"/>
    </row>
    <row r="886" spans="1:22" customFormat="1" x14ac:dyDescent="0.45">
      <c r="A886">
        <v>209724</v>
      </c>
      <c r="B886" t="s">
        <v>18151</v>
      </c>
      <c r="C886" t="s">
        <v>18152</v>
      </c>
      <c r="D886">
        <v>3</v>
      </c>
      <c r="F886" s="126"/>
      <c r="K886" s="3">
        <f t="shared" si="34"/>
        <v>0</v>
      </c>
      <c r="L886" s="3"/>
      <c r="M886" s="3">
        <f t="shared" si="35"/>
        <v>0</v>
      </c>
      <c r="O886" s="5"/>
      <c r="S886" s="6"/>
    </row>
    <row r="887" spans="1:22" customFormat="1" x14ac:dyDescent="0.45">
      <c r="A887">
        <v>209819</v>
      </c>
      <c r="B887" t="s">
        <v>18153</v>
      </c>
      <c r="C887" t="s">
        <v>18154</v>
      </c>
      <c r="D887">
        <v>0</v>
      </c>
      <c r="E887" t="s">
        <v>16561</v>
      </c>
      <c r="F887" s="126"/>
      <c r="G887" s="7">
        <v>0</v>
      </c>
      <c r="H887" s="7">
        <v>0</v>
      </c>
      <c r="I887" s="7">
        <v>0</v>
      </c>
      <c r="J887" s="7">
        <v>0</v>
      </c>
      <c r="K887" s="3">
        <f t="shared" si="34"/>
        <v>0</v>
      </c>
      <c r="L887" s="3"/>
      <c r="M887" s="3">
        <f t="shared" si="35"/>
        <v>0</v>
      </c>
      <c r="N887" s="7"/>
      <c r="O887" s="5"/>
      <c r="S887" s="6"/>
    </row>
    <row r="888" spans="1:22" customFormat="1" x14ac:dyDescent="0.45">
      <c r="A888">
        <v>209848</v>
      </c>
      <c r="B888" t="s">
        <v>18155</v>
      </c>
      <c r="C888" t="s">
        <v>18156</v>
      </c>
      <c r="D888">
        <v>1</v>
      </c>
      <c r="F888" s="126"/>
      <c r="K888" s="3">
        <f t="shared" si="34"/>
        <v>0</v>
      </c>
      <c r="L888" s="3"/>
      <c r="M888" s="3">
        <f t="shared" si="35"/>
        <v>0</v>
      </c>
      <c r="O888" s="5"/>
      <c r="S888" s="6"/>
    </row>
    <row r="889" spans="1:22" customFormat="1" x14ac:dyDescent="0.45">
      <c r="A889">
        <v>138941</v>
      </c>
      <c r="B889" t="s">
        <v>18157</v>
      </c>
      <c r="C889" t="s">
        <v>18158</v>
      </c>
      <c r="D889">
        <v>4</v>
      </c>
      <c r="E889" t="s">
        <v>18159</v>
      </c>
      <c r="F889" s="126"/>
      <c r="G889" s="7"/>
      <c r="H889" s="3"/>
      <c r="I889" s="4"/>
      <c r="J889" s="4"/>
      <c r="K889" s="3"/>
      <c r="L889" s="3"/>
      <c r="M889" s="3"/>
      <c r="O889" s="2" t="s">
        <v>18160</v>
      </c>
      <c r="Q889" s="6">
        <v>444969</v>
      </c>
      <c r="R889" t="s">
        <v>16348</v>
      </c>
      <c r="S889" s="6">
        <v>444808</v>
      </c>
      <c r="T889" s="10">
        <f>S889/Q889</f>
        <v>0.99963817704154667</v>
      </c>
      <c r="V889" s="2" t="s">
        <v>18161</v>
      </c>
    </row>
    <row r="890" spans="1:22" customFormat="1" x14ac:dyDescent="0.45">
      <c r="A890">
        <v>210142</v>
      </c>
      <c r="B890" t="s">
        <v>18162</v>
      </c>
      <c r="C890" t="s">
        <v>16331</v>
      </c>
      <c r="D890">
        <v>1</v>
      </c>
      <c r="E890" t="s">
        <v>16331</v>
      </c>
      <c r="F890" s="126"/>
      <c r="G890" s="7">
        <v>0</v>
      </c>
      <c r="H890" s="7">
        <v>0</v>
      </c>
      <c r="I890" s="7">
        <v>0</v>
      </c>
      <c r="J890" s="7">
        <v>0</v>
      </c>
      <c r="K890" s="3">
        <f t="shared" ref="K890:K953" si="36">SUM(G890:J890)</f>
        <v>0</v>
      </c>
      <c r="L890" s="3"/>
      <c r="M890" s="3">
        <f t="shared" ref="M890:M953" si="37">K890+F890</f>
        <v>0</v>
      </c>
      <c r="O890" s="5"/>
      <c r="S890" s="6"/>
    </row>
    <row r="891" spans="1:22" customFormat="1" x14ac:dyDescent="0.45">
      <c r="A891">
        <v>210143</v>
      </c>
      <c r="B891" t="s">
        <v>18163</v>
      </c>
      <c r="C891" t="s">
        <v>16331</v>
      </c>
      <c r="D891">
        <v>2</v>
      </c>
      <c r="E891" t="s">
        <v>16331</v>
      </c>
      <c r="F891" s="126"/>
      <c r="G891" s="7">
        <v>0</v>
      </c>
      <c r="H891" s="7">
        <v>0</v>
      </c>
      <c r="I891" s="7">
        <v>0</v>
      </c>
      <c r="J891" s="7">
        <v>0</v>
      </c>
      <c r="K891" s="3">
        <f t="shared" si="36"/>
        <v>0</v>
      </c>
      <c r="L891" s="3"/>
      <c r="M891" s="3">
        <f t="shared" si="37"/>
        <v>0</v>
      </c>
      <c r="N891" s="7"/>
      <c r="O891" s="5"/>
      <c r="S891" s="6"/>
    </row>
    <row r="892" spans="1:22" customFormat="1" x14ac:dyDescent="0.45">
      <c r="A892">
        <v>210208</v>
      </c>
      <c r="B892" t="s">
        <v>18164</v>
      </c>
      <c r="C892" t="s">
        <v>16451</v>
      </c>
      <c r="D892">
        <v>4</v>
      </c>
      <c r="F892" s="126"/>
      <c r="K892" s="3">
        <f t="shared" si="36"/>
        <v>0</v>
      </c>
      <c r="L892" s="3"/>
      <c r="M892" s="3">
        <f t="shared" si="37"/>
        <v>0</v>
      </c>
      <c r="O892" s="5"/>
      <c r="S892" s="6"/>
    </row>
    <row r="893" spans="1:22" customFormat="1" x14ac:dyDescent="0.45">
      <c r="A893">
        <v>210326</v>
      </c>
      <c r="B893" t="s">
        <v>18165</v>
      </c>
      <c r="C893" t="s">
        <v>16331</v>
      </c>
      <c r="D893">
        <v>1</v>
      </c>
      <c r="E893" t="s">
        <v>16331</v>
      </c>
      <c r="F893" s="126"/>
      <c r="K893" s="3">
        <f t="shared" si="36"/>
        <v>0</v>
      </c>
      <c r="L893" s="3"/>
      <c r="M893" s="3">
        <f t="shared" si="37"/>
        <v>0</v>
      </c>
      <c r="O893" s="5"/>
      <c r="S893" s="6"/>
    </row>
    <row r="894" spans="1:22" customFormat="1" x14ac:dyDescent="0.45">
      <c r="A894">
        <v>210464</v>
      </c>
      <c r="B894" t="s">
        <v>18166</v>
      </c>
      <c r="C894" t="s">
        <v>18167</v>
      </c>
      <c r="D894">
        <v>1</v>
      </c>
      <c r="F894" s="126"/>
      <c r="G894" s="3">
        <v>0</v>
      </c>
      <c r="H894" s="3">
        <v>0</v>
      </c>
      <c r="I894" s="3">
        <v>0</v>
      </c>
      <c r="J894" s="3">
        <v>0</v>
      </c>
      <c r="K894" s="3">
        <f t="shared" si="36"/>
        <v>0</v>
      </c>
      <c r="L894" s="3"/>
      <c r="M894" s="3">
        <f t="shared" si="37"/>
        <v>0</v>
      </c>
      <c r="O894" s="5"/>
      <c r="S894" s="6"/>
    </row>
    <row r="895" spans="1:22" customFormat="1" x14ac:dyDescent="0.45">
      <c r="A895">
        <v>210513</v>
      </c>
      <c r="B895" t="s">
        <v>18168</v>
      </c>
      <c r="C895" t="s">
        <v>18169</v>
      </c>
      <c r="D895">
        <v>0</v>
      </c>
      <c r="E895" t="s">
        <v>16561</v>
      </c>
      <c r="F895" s="126"/>
      <c r="G895" s="7">
        <v>0</v>
      </c>
      <c r="H895" s="7">
        <v>0</v>
      </c>
      <c r="I895" s="7">
        <v>0</v>
      </c>
      <c r="J895" s="7">
        <v>0</v>
      </c>
      <c r="K895" s="3">
        <f t="shared" si="36"/>
        <v>0</v>
      </c>
      <c r="L895" s="3"/>
      <c r="M895" s="3">
        <f t="shared" si="37"/>
        <v>0</v>
      </c>
      <c r="N895" s="7"/>
      <c r="O895" s="5"/>
      <c r="S895" s="6"/>
    </row>
    <row r="896" spans="1:22" customFormat="1" x14ac:dyDescent="0.45">
      <c r="A896">
        <v>210697</v>
      </c>
      <c r="B896" t="s">
        <v>18170</v>
      </c>
      <c r="C896" t="s">
        <v>18171</v>
      </c>
      <c r="D896">
        <v>0</v>
      </c>
      <c r="E896" t="s">
        <v>16561</v>
      </c>
      <c r="F896" s="126"/>
      <c r="G896" s="3">
        <v>0</v>
      </c>
      <c r="H896" s="3">
        <v>0</v>
      </c>
      <c r="I896" s="3">
        <v>0</v>
      </c>
      <c r="J896" s="3">
        <v>0</v>
      </c>
      <c r="K896" s="3">
        <f t="shared" si="36"/>
        <v>0</v>
      </c>
      <c r="L896" s="3"/>
      <c r="M896" s="3">
        <f t="shared" si="37"/>
        <v>0</v>
      </c>
      <c r="O896" s="5"/>
      <c r="S896" s="6"/>
    </row>
    <row r="897" spans="1:22" customFormat="1" x14ac:dyDescent="0.45">
      <c r="A897">
        <v>210738</v>
      </c>
      <c r="B897" t="s">
        <v>18172</v>
      </c>
      <c r="C897" t="s">
        <v>18173</v>
      </c>
      <c r="D897">
        <v>1</v>
      </c>
      <c r="F897" s="126"/>
      <c r="G897" s="7">
        <v>0</v>
      </c>
      <c r="H897" s="7">
        <v>0</v>
      </c>
      <c r="I897" s="7">
        <v>0</v>
      </c>
      <c r="J897" s="7">
        <v>0</v>
      </c>
      <c r="K897" s="3">
        <f t="shared" si="36"/>
        <v>0</v>
      </c>
      <c r="L897" s="3"/>
      <c r="M897" s="3">
        <f t="shared" si="37"/>
        <v>0</v>
      </c>
      <c r="O897" s="5"/>
      <c r="S897" s="6"/>
    </row>
    <row r="898" spans="1:22" customFormat="1" x14ac:dyDescent="0.45">
      <c r="A898">
        <v>210740</v>
      </c>
      <c r="B898" t="s">
        <v>18174</v>
      </c>
      <c r="C898" t="s">
        <v>18175</v>
      </c>
      <c r="D898">
        <v>3</v>
      </c>
      <c r="F898" s="126"/>
      <c r="G898" s="3">
        <v>0</v>
      </c>
      <c r="H898" s="3">
        <v>0</v>
      </c>
      <c r="I898" s="3">
        <v>0</v>
      </c>
      <c r="J898" s="3">
        <v>0</v>
      </c>
      <c r="K898" s="3">
        <f t="shared" si="36"/>
        <v>0</v>
      </c>
      <c r="L898" s="3"/>
      <c r="M898" s="3">
        <f t="shared" si="37"/>
        <v>0</v>
      </c>
      <c r="O898" s="5"/>
      <c r="S898" s="6"/>
    </row>
    <row r="899" spans="1:22" customFormat="1" x14ac:dyDescent="0.45">
      <c r="A899">
        <v>210765</v>
      </c>
      <c r="B899" t="s">
        <v>18176</v>
      </c>
      <c r="C899" t="s">
        <v>18177</v>
      </c>
      <c r="D899">
        <v>4</v>
      </c>
      <c r="F899" s="126"/>
      <c r="G899" s="7">
        <v>0</v>
      </c>
      <c r="H899" s="7">
        <v>0</v>
      </c>
      <c r="I899" s="7">
        <v>0</v>
      </c>
      <c r="J899" s="7">
        <v>0</v>
      </c>
      <c r="K899" s="3">
        <f t="shared" si="36"/>
        <v>0</v>
      </c>
      <c r="L899" s="3"/>
      <c r="M899" s="3">
        <f t="shared" si="37"/>
        <v>0</v>
      </c>
      <c r="O899" s="5"/>
      <c r="S899" s="6"/>
    </row>
    <row r="900" spans="1:22" customFormat="1" x14ac:dyDescent="0.45">
      <c r="A900">
        <v>210782</v>
      </c>
      <c r="B900" t="s">
        <v>18178</v>
      </c>
      <c r="C900" t="s">
        <v>18179</v>
      </c>
      <c r="D900">
        <v>19</v>
      </c>
      <c r="F900" s="126"/>
      <c r="G900" s="7">
        <v>0</v>
      </c>
      <c r="H900" s="7">
        <v>0</v>
      </c>
      <c r="I900" s="7">
        <v>0</v>
      </c>
      <c r="J900" s="7">
        <v>0</v>
      </c>
      <c r="K900" s="3">
        <f t="shared" si="36"/>
        <v>0</v>
      </c>
      <c r="L900" s="3"/>
      <c r="M900" s="3">
        <f t="shared" si="37"/>
        <v>0</v>
      </c>
      <c r="O900" s="5"/>
      <c r="S900" s="6"/>
    </row>
    <row r="901" spans="1:22" customFormat="1" x14ac:dyDescent="0.45">
      <c r="A901">
        <v>211075</v>
      </c>
      <c r="B901" t="s">
        <v>18180</v>
      </c>
      <c r="C901" t="s">
        <v>18181</v>
      </c>
      <c r="D901">
        <v>0</v>
      </c>
      <c r="E901" t="s">
        <v>16561</v>
      </c>
      <c r="F901" s="126"/>
      <c r="G901" s="7">
        <v>0</v>
      </c>
      <c r="H901" s="7">
        <v>0</v>
      </c>
      <c r="I901" s="7">
        <v>0</v>
      </c>
      <c r="J901" s="7">
        <v>0</v>
      </c>
      <c r="K901" s="3">
        <f t="shared" si="36"/>
        <v>0</v>
      </c>
      <c r="L901" s="3"/>
      <c r="M901" s="3">
        <f t="shared" si="37"/>
        <v>0</v>
      </c>
      <c r="O901" s="5"/>
      <c r="S901" s="6"/>
    </row>
    <row r="902" spans="1:22" customFormat="1" x14ac:dyDescent="0.45">
      <c r="A902">
        <v>211088</v>
      </c>
      <c r="B902" t="s">
        <v>18182</v>
      </c>
      <c r="C902" t="s">
        <v>18183</v>
      </c>
      <c r="D902">
        <v>12</v>
      </c>
      <c r="F902" s="126"/>
      <c r="G902" s="3">
        <v>0</v>
      </c>
      <c r="H902" s="3">
        <v>0</v>
      </c>
      <c r="I902" s="3">
        <v>0</v>
      </c>
      <c r="J902" s="3">
        <v>0</v>
      </c>
      <c r="K902" s="3">
        <f t="shared" si="36"/>
        <v>0</v>
      </c>
      <c r="L902" s="3"/>
      <c r="M902" s="3">
        <f t="shared" si="37"/>
        <v>0</v>
      </c>
      <c r="O902" s="5"/>
      <c r="S902" s="6"/>
    </row>
    <row r="903" spans="1:22" customFormat="1" x14ac:dyDescent="0.45">
      <c r="A903">
        <v>211183</v>
      </c>
      <c r="B903" t="s">
        <v>18184</v>
      </c>
      <c r="C903" t="s">
        <v>16331</v>
      </c>
      <c r="D903">
        <v>3</v>
      </c>
      <c r="E903" t="s">
        <v>16331</v>
      </c>
      <c r="F903" s="126"/>
      <c r="G903" s="7">
        <v>0</v>
      </c>
      <c r="H903" s="7">
        <v>0</v>
      </c>
      <c r="I903" s="7">
        <v>0</v>
      </c>
      <c r="J903" s="7">
        <v>0</v>
      </c>
      <c r="K903" s="3">
        <f t="shared" si="36"/>
        <v>0</v>
      </c>
      <c r="L903" s="3"/>
      <c r="M903" s="3">
        <f t="shared" si="37"/>
        <v>0</v>
      </c>
      <c r="O903" s="5"/>
      <c r="S903" s="6"/>
    </row>
    <row r="904" spans="1:22" customFormat="1" x14ac:dyDescent="0.45">
      <c r="A904">
        <v>211314</v>
      </c>
      <c r="B904" t="s">
        <v>18185</v>
      </c>
      <c r="C904" t="s">
        <v>18186</v>
      </c>
      <c r="D904">
        <v>16</v>
      </c>
      <c r="F904" s="126"/>
      <c r="G904" s="7">
        <v>0</v>
      </c>
      <c r="H904" s="7">
        <v>0</v>
      </c>
      <c r="I904" s="7">
        <v>0</v>
      </c>
      <c r="J904" s="7">
        <v>0</v>
      </c>
      <c r="K904" s="3">
        <f t="shared" si="36"/>
        <v>0</v>
      </c>
      <c r="L904" s="3"/>
      <c r="M904" s="3">
        <f t="shared" si="37"/>
        <v>0</v>
      </c>
      <c r="O904" s="5"/>
      <c r="S904" s="6"/>
    </row>
    <row r="905" spans="1:22" customFormat="1" x14ac:dyDescent="0.45">
      <c r="A905">
        <v>211337</v>
      </c>
      <c r="B905" t="s">
        <v>18187</v>
      </c>
      <c r="C905" t="s">
        <v>18188</v>
      </c>
      <c r="D905">
        <v>0</v>
      </c>
      <c r="E905" t="s">
        <v>16561</v>
      </c>
      <c r="F905" s="126"/>
      <c r="G905" s="7">
        <v>0</v>
      </c>
      <c r="H905" s="7">
        <v>0</v>
      </c>
      <c r="I905" s="7">
        <v>0</v>
      </c>
      <c r="J905" s="7">
        <v>0</v>
      </c>
      <c r="K905" s="3">
        <f t="shared" si="36"/>
        <v>0</v>
      </c>
      <c r="L905" s="3"/>
      <c r="M905" s="3">
        <f t="shared" si="37"/>
        <v>0</v>
      </c>
      <c r="N905" s="7"/>
      <c r="O905" s="5"/>
      <c r="S905" s="6"/>
    </row>
    <row r="906" spans="1:22" customFormat="1" x14ac:dyDescent="0.45">
      <c r="A906">
        <v>211626</v>
      </c>
      <c r="B906" t="s">
        <v>18189</v>
      </c>
      <c r="C906" t="s">
        <v>16331</v>
      </c>
      <c r="D906">
        <v>9</v>
      </c>
      <c r="E906" t="s">
        <v>16331</v>
      </c>
      <c r="F906" s="126"/>
      <c r="G906" s="7">
        <v>0</v>
      </c>
      <c r="H906" s="7">
        <v>0</v>
      </c>
      <c r="I906" s="7">
        <v>0</v>
      </c>
      <c r="J906" s="7">
        <v>0</v>
      </c>
      <c r="K906" s="3">
        <f t="shared" si="36"/>
        <v>0</v>
      </c>
      <c r="L906" s="3"/>
      <c r="M906" s="3">
        <f t="shared" si="37"/>
        <v>0</v>
      </c>
      <c r="O906" s="5"/>
      <c r="S906" s="6"/>
    </row>
    <row r="907" spans="1:22" x14ac:dyDescent="0.45">
      <c r="A907" s="124">
        <v>211646</v>
      </c>
      <c r="B907" s="124" t="s">
        <v>18190</v>
      </c>
      <c r="C907" s="124" t="s">
        <v>16331</v>
      </c>
      <c r="D907" s="124">
        <v>94</v>
      </c>
      <c r="E907" s="124" t="s">
        <v>16417</v>
      </c>
      <c r="F907" s="126">
        <v>1.2500000000000001E-2</v>
      </c>
      <c r="G907" s="136"/>
      <c r="H907" s="135">
        <v>0</v>
      </c>
      <c r="I907" s="136">
        <f>5.75%/2</f>
        <v>2.8750000000000001E-2</v>
      </c>
      <c r="J907" s="135">
        <v>0</v>
      </c>
      <c r="K907" s="126">
        <f t="shared" si="36"/>
        <v>2.8750000000000001E-2</v>
      </c>
      <c r="L907" s="3"/>
      <c r="M907" s="126">
        <f t="shared" si="37"/>
        <v>4.1250000000000002E-2</v>
      </c>
      <c r="N907" s="124" t="s">
        <v>16728</v>
      </c>
      <c r="O907" s="125" t="s">
        <v>16729</v>
      </c>
      <c r="P907" s="125" t="s">
        <v>16730</v>
      </c>
      <c r="Q907" s="130">
        <v>684629000</v>
      </c>
      <c r="R907" s="124" t="s">
        <v>16</v>
      </c>
      <c r="S907" s="130">
        <v>517960000</v>
      </c>
      <c r="T907" s="129">
        <f>Table34[[#This Row],[Total Asset]]/Table34[[#This Row],[Net Asset]]</f>
        <v>1.3217796741061085</v>
      </c>
      <c r="V907" s="125" t="s">
        <v>16731</v>
      </c>
    </row>
    <row r="908" spans="1:22" customFormat="1" x14ac:dyDescent="0.45">
      <c r="A908">
        <v>211720</v>
      </c>
      <c r="B908" t="s">
        <v>18191</v>
      </c>
      <c r="C908" t="s">
        <v>18192</v>
      </c>
      <c r="D908">
        <v>5</v>
      </c>
      <c r="F908" s="126"/>
      <c r="K908" s="3">
        <f t="shared" si="36"/>
        <v>0</v>
      </c>
      <c r="L908" s="3"/>
      <c r="M908" s="3">
        <f t="shared" si="37"/>
        <v>0</v>
      </c>
      <c r="O908" s="5"/>
      <c r="S908" s="6"/>
    </row>
    <row r="909" spans="1:22" customFormat="1" x14ac:dyDescent="0.45">
      <c r="A909">
        <v>211875</v>
      </c>
      <c r="B909" t="s">
        <v>18193</v>
      </c>
      <c r="C909" t="s">
        <v>16331</v>
      </c>
      <c r="D909">
        <v>8</v>
      </c>
      <c r="E909" t="s">
        <v>16331</v>
      </c>
      <c r="F909" s="126"/>
      <c r="G909" s="7">
        <v>0</v>
      </c>
      <c r="H909" s="7">
        <v>0</v>
      </c>
      <c r="I909" s="7">
        <v>0</v>
      </c>
      <c r="J909" s="7">
        <v>0</v>
      </c>
      <c r="K909" s="3">
        <f t="shared" si="36"/>
        <v>0</v>
      </c>
      <c r="L909" s="3"/>
      <c r="M909" s="3">
        <f t="shared" si="37"/>
        <v>0</v>
      </c>
      <c r="O909" s="5"/>
      <c r="S909" s="6"/>
    </row>
    <row r="910" spans="1:22" customFormat="1" x14ac:dyDescent="0.45">
      <c r="A910">
        <v>211885</v>
      </c>
      <c r="B910" t="s">
        <v>18194</v>
      </c>
      <c r="C910" t="s">
        <v>16549</v>
      </c>
      <c r="D910">
        <v>7</v>
      </c>
      <c r="F910" s="126"/>
      <c r="G910" s="3">
        <v>0</v>
      </c>
      <c r="H910" s="3">
        <v>0</v>
      </c>
      <c r="I910" s="3">
        <v>0</v>
      </c>
      <c r="J910" s="3">
        <v>0</v>
      </c>
      <c r="K910" s="3">
        <f t="shared" si="36"/>
        <v>0</v>
      </c>
      <c r="L910" s="3"/>
      <c r="M910" s="3">
        <f t="shared" si="37"/>
        <v>0</v>
      </c>
      <c r="O910" s="5"/>
      <c r="S910" s="6"/>
    </row>
    <row r="911" spans="1:22" customFormat="1" x14ac:dyDescent="0.45">
      <c r="A911">
        <v>211978</v>
      </c>
      <c r="B911" t="s">
        <v>18195</v>
      </c>
      <c r="C911" t="s">
        <v>18196</v>
      </c>
      <c r="D911">
        <v>11</v>
      </c>
      <c r="F911" s="126"/>
      <c r="K911" s="3">
        <f t="shared" si="36"/>
        <v>0</v>
      </c>
      <c r="L911" s="3"/>
      <c r="M911" s="3">
        <f t="shared" si="37"/>
        <v>0</v>
      </c>
      <c r="O911" s="5"/>
      <c r="S911" s="6"/>
    </row>
    <row r="912" spans="1:22" customFormat="1" x14ac:dyDescent="0.45">
      <c r="A912">
        <v>212754</v>
      </c>
      <c r="B912" t="s">
        <v>18197</v>
      </c>
      <c r="C912" t="s">
        <v>16331</v>
      </c>
      <c r="D912">
        <v>5</v>
      </c>
      <c r="E912" t="s">
        <v>16331</v>
      </c>
      <c r="F912" s="126"/>
      <c r="G912" s="3">
        <v>0</v>
      </c>
      <c r="H912" s="3">
        <v>0</v>
      </c>
      <c r="I912" s="3">
        <v>0</v>
      </c>
      <c r="J912" s="3">
        <v>0</v>
      </c>
      <c r="K912" s="3">
        <f t="shared" si="36"/>
        <v>0</v>
      </c>
      <c r="L912" s="3"/>
      <c r="M912" s="3">
        <f t="shared" si="37"/>
        <v>0</v>
      </c>
      <c r="O912" s="5"/>
      <c r="S912" s="6"/>
    </row>
    <row r="913" spans="1:23" x14ac:dyDescent="0.45">
      <c r="A913" s="124">
        <v>463179</v>
      </c>
      <c r="B913" s="124" t="s">
        <v>18198</v>
      </c>
      <c r="C913" s="124" t="s">
        <v>18199</v>
      </c>
      <c r="D913" s="124">
        <v>4</v>
      </c>
      <c r="E913" s="124" t="s">
        <v>16334</v>
      </c>
      <c r="F913" s="126">
        <v>1.6999999999999999E-3</v>
      </c>
      <c r="G913" s="126">
        <v>2.5000000000000001E-2</v>
      </c>
      <c r="H913" s="126">
        <v>1.4999999999999999E-2</v>
      </c>
      <c r="I913" s="127"/>
      <c r="J913" s="127">
        <v>0</v>
      </c>
      <c r="K913" s="126">
        <f t="shared" si="36"/>
        <v>0.04</v>
      </c>
      <c r="L913" s="3"/>
      <c r="M913" s="126">
        <f t="shared" si="37"/>
        <v>4.1700000000000001E-2</v>
      </c>
      <c r="O913" s="131" t="s">
        <v>18200</v>
      </c>
      <c r="P913" s="128" t="s">
        <v>26918</v>
      </c>
      <c r="Q913" s="124">
        <f>299323+26952</f>
        <v>326275</v>
      </c>
      <c r="R913" s="124" t="s">
        <v>16348</v>
      </c>
      <c r="S913" s="132">
        <v>219924</v>
      </c>
      <c r="T913" s="129">
        <f>S913/Q913</f>
        <v>0.67404490077388701</v>
      </c>
      <c r="V913" s="125" t="s">
        <v>18201</v>
      </c>
      <c r="W913" s="124" t="s">
        <v>18082</v>
      </c>
    </row>
    <row r="914" spans="1:23" customFormat="1" x14ac:dyDescent="0.45">
      <c r="A914">
        <v>212874</v>
      </c>
      <c r="B914" t="s">
        <v>18202</v>
      </c>
      <c r="C914" t="s">
        <v>16331</v>
      </c>
      <c r="D914">
        <v>0</v>
      </c>
      <c r="E914" t="s">
        <v>16331</v>
      </c>
      <c r="F914" s="126"/>
      <c r="G914" s="7">
        <v>0</v>
      </c>
      <c r="H914" s="7">
        <v>0</v>
      </c>
      <c r="I914" s="7">
        <v>0</v>
      </c>
      <c r="J914" s="7">
        <v>0</v>
      </c>
      <c r="K914" s="3">
        <f t="shared" si="36"/>
        <v>0</v>
      </c>
      <c r="L914" s="3"/>
      <c r="M914" s="3">
        <f t="shared" si="37"/>
        <v>0</v>
      </c>
      <c r="O914" s="5"/>
      <c r="S914" s="6"/>
    </row>
    <row r="915" spans="1:23" customFormat="1" x14ac:dyDescent="0.45">
      <c r="A915">
        <v>212923</v>
      </c>
      <c r="B915" t="s">
        <v>18203</v>
      </c>
      <c r="C915" t="s">
        <v>18204</v>
      </c>
      <c r="D915">
        <v>8</v>
      </c>
      <c r="F915" s="126"/>
      <c r="G915" s="7">
        <v>0</v>
      </c>
      <c r="H915" s="7">
        <v>0</v>
      </c>
      <c r="I915" s="7">
        <v>0</v>
      </c>
      <c r="J915" s="7">
        <v>0</v>
      </c>
      <c r="K915" s="3">
        <f t="shared" si="36"/>
        <v>0</v>
      </c>
      <c r="L915" s="3"/>
      <c r="M915" s="3">
        <f t="shared" si="37"/>
        <v>0</v>
      </c>
      <c r="O915" s="5"/>
      <c r="S915" s="6"/>
    </row>
    <row r="916" spans="1:23" customFormat="1" x14ac:dyDescent="0.45">
      <c r="A916">
        <v>212972</v>
      </c>
      <c r="B916" t="s">
        <v>18205</v>
      </c>
      <c r="C916" t="s">
        <v>18206</v>
      </c>
      <c r="D916">
        <v>9</v>
      </c>
      <c r="F916" s="126"/>
      <c r="G916" s="3">
        <v>0</v>
      </c>
      <c r="H916" s="3">
        <v>0</v>
      </c>
      <c r="I916" s="3">
        <v>0</v>
      </c>
      <c r="J916" s="3">
        <v>0</v>
      </c>
      <c r="K916" s="3">
        <f t="shared" si="36"/>
        <v>0</v>
      </c>
      <c r="L916" s="3"/>
      <c r="M916" s="3">
        <f t="shared" si="37"/>
        <v>0</v>
      </c>
      <c r="O916" s="5"/>
      <c r="S916" s="6"/>
    </row>
    <row r="917" spans="1:23" customFormat="1" x14ac:dyDescent="0.45">
      <c r="A917">
        <v>213144</v>
      </c>
      <c r="B917" t="s">
        <v>18207</v>
      </c>
      <c r="C917" t="s">
        <v>16331</v>
      </c>
      <c r="D917">
        <v>1</v>
      </c>
      <c r="E917" t="s">
        <v>16331</v>
      </c>
      <c r="F917" s="126"/>
      <c r="G917" s="7">
        <v>0</v>
      </c>
      <c r="H917" s="7">
        <v>0</v>
      </c>
      <c r="I917" s="7">
        <v>0</v>
      </c>
      <c r="J917" s="7">
        <v>0</v>
      </c>
      <c r="K917" s="3">
        <f t="shared" si="36"/>
        <v>0</v>
      </c>
      <c r="L917" s="3"/>
      <c r="M917" s="3">
        <f t="shared" si="37"/>
        <v>0</v>
      </c>
      <c r="N917" s="7"/>
      <c r="O917" s="5"/>
      <c r="S917" s="6"/>
    </row>
    <row r="918" spans="1:23" customFormat="1" x14ac:dyDescent="0.45">
      <c r="A918">
        <v>213148</v>
      </c>
      <c r="B918" t="s">
        <v>18208</v>
      </c>
      <c r="C918" t="s">
        <v>18209</v>
      </c>
      <c r="D918">
        <v>3</v>
      </c>
      <c r="F918" s="126"/>
      <c r="G918" s="7">
        <v>0</v>
      </c>
      <c r="H918" s="7">
        <v>0</v>
      </c>
      <c r="I918" s="7">
        <v>0</v>
      </c>
      <c r="J918" s="7">
        <v>0</v>
      </c>
      <c r="K918" s="3">
        <f t="shared" si="36"/>
        <v>0</v>
      </c>
      <c r="L918" s="3"/>
      <c r="M918" s="3">
        <f t="shared" si="37"/>
        <v>0</v>
      </c>
      <c r="O918" s="5"/>
      <c r="S918" s="6"/>
    </row>
    <row r="919" spans="1:23" customFormat="1" x14ac:dyDescent="0.45">
      <c r="A919">
        <v>213159</v>
      </c>
      <c r="B919" t="s">
        <v>18210</v>
      </c>
      <c r="C919" t="s">
        <v>16331</v>
      </c>
      <c r="D919">
        <v>3</v>
      </c>
      <c r="E919" t="s">
        <v>16331</v>
      </c>
      <c r="F919" s="126"/>
      <c r="G919" s="7">
        <v>0</v>
      </c>
      <c r="H919" s="7">
        <v>0</v>
      </c>
      <c r="I919" s="7">
        <v>0</v>
      </c>
      <c r="J919" s="7">
        <v>0</v>
      </c>
      <c r="K919" s="3">
        <f t="shared" si="36"/>
        <v>0</v>
      </c>
      <c r="L919" s="3"/>
      <c r="M919" s="3">
        <f t="shared" si="37"/>
        <v>0</v>
      </c>
      <c r="O919" s="5"/>
      <c r="S919" s="6"/>
    </row>
    <row r="920" spans="1:23" customFormat="1" x14ac:dyDescent="0.45">
      <c r="A920">
        <v>213326</v>
      </c>
      <c r="B920" t="s">
        <v>18211</v>
      </c>
      <c r="C920" t="s">
        <v>18212</v>
      </c>
      <c r="D920">
        <v>2</v>
      </c>
      <c r="F920" s="126"/>
      <c r="K920" s="3">
        <f t="shared" si="36"/>
        <v>0</v>
      </c>
      <c r="L920" s="3"/>
      <c r="M920" s="3">
        <f t="shared" si="37"/>
        <v>0</v>
      </c>
      <c r="O920" s="5"/>
      <c r="S920" s="6"/>
    </row>
    <row r="921" spans="1:23" customFormat="1" x14ac:dyDescent="0.45">
      <c r="A921">
        <v>213724</v>
      </c>
      <c r="B921" t="s">
        <v>18213</v>
      </c>
      <c r="C921" t="s">
        <v>18214</v>
      </c>
      <c r="D921">
        <v>25</v>
      </c>
      <c r="F921" s="126"/>
      <c r="G921" s="7">
        <v>0</v>
      </c>
      <c r="H921" s="7">
        <v>0</v>
      </c>
      <c r="I921" s="7">
        <v>0</v>
      </c>
      <c r="J921" s="7">
        <v>0</v>
      </c>
      <c r="K921" s="3">
        <f t="shared" si="36"/>
        <v>0</v>
      </c>
      <c r="L921" s="3"/>
      <c r="M921" s="3">
        <f t="shared" si="37"/>
        <v>0</v>
      </c>
      <c r="O921" s="5"/>
      <c r="S921" s="6"/>
    </row>
    <row r="922" spans="1:23" customFormat="1" x14ac:dyDescent="0.45">
      <c r="A922">
        <v>213848</v>
      </c>
      <c r="B922" t="s">
        <v>18215</v>
      </c>
      <c r="C922" t="s">
        <v>16331</v>
      </c>
      <c r="D922">
        <v>5</v>
      </c>
      <c r="E922" t="s">
        <v>16331</v>
      </c>
      <c r="F922" s="126"/>
      <c r="G922" s="7">
        <v>0</v>
      </c>
      <c r="H922" s="7">
        <v>0</v>
      </c>
      <c r="I922" s="7">
        <v>0</v>
      </c>
      <c r="J922" s="7">
        <v>0</v>
      </c>
      <c r="K922" s="3">
        <f t="shared" si="36"/>
        <v>0</v>
      </c>
      <c r="L922" s="3"/>
      <c r="M922" s="3">
        <f t="shared" si="37"/>
        <v>0</v>
      </c>
      <c r="O922" s="5"/>
      <c r="S922" s="6"/>
    </row>
    <row r="923" spans="1:23" customFormat="1" x14ac:dyDescent="0.45">
      <c r="A923">
        <v>214036</v>
      </c>
      <c r="B923" t="s">
        <v>18216</v>
      </c>
      <c r="C923" t="s">
        <v>16331</v>
      </c>
      <c r="D923">
        <v>4</v>
      </c>
      <c r="E923" t="s">
        <v>16331</v>
      </c>
      <c r="F923" s="126"/>
      <c r="G923" s="7">
        <v>0</v>
      </c>
      <c r="H923" s="7">
        <v>0</v>
      </c>
      <c r="I923" s="7">
        <v>0</v>
      </c>
      <c r="J923" s="7">
        <v>0</v>
      </c>
      <c r="K923" s="3">
        <f t="shared" si="36"/>
        <v>0</v>
      </c>
      <c r="L923" s="3"/>
      <c r="M923" s="3">
        <f t="shared" si="37"/>
        <v>0</v>
      </c>
      <c r="O923" s="5"/>
      <c r="S923" s="6"/>
    </row>
    <row r="924" spans="1:23" customFormat="1" x14ac:dyDescent="0.45">
      <c r="A924">
        <v>214037</v>
      </c>
      <c r="B924" t="s">
        <v>18217</v>
      </c>
      <c r="C924" t="s">
        <v>18218</v>
      </c>
      <c r="D924">
        <v>0</v>
      </c>
      <c r="E924" t="s">
        <v>16561</v>
      </c>
      <c r="F924" s="126"/>
      <c r="K924" s="3">
        <f t="shared" si="36"/>
        <v>0</v>
      </c>
      <c r="L924" s="3"/>
      <c r="M924" s="3">
        <f t="shared" si="37"/>
        <v>0</v>
      </c>
      <c r="O924" s="5"/>
      <c r="S924" s="6"/>
    </row>
    <row r="925" spans="1:23" ht="24" customHeight="1" x14ac:dyDescent="0.45">
      <c r="A925" s="124">
        <v>103677</v>
      </c>
      <c r="B925" s="124" t="s">
        <v>18219</v>
      </c>
      <c r="C925" s="124" t="s">
        <v>18220</v>
      </c>
      <c r="D925" s="124">
        <v>1</v>
      </c>
      <c r="E925" s="124" t="s">
        <v>16334</v>
      </c>
      <c r="F925" s="126">
        <v>1.6999999999999999E-3</v>
      </c>
      <c r="G925" s="126">
        <f>(300*10)/100000</f>
        <v>0.03</v>
      </c>
      <c r="H925" s="126">
        <v>5.0000000000000001E-3</v>
      </c>
      <c r="I925" s="127">
        <v>0</v>
      </c>
      <c r="J925" s="127">
        <v>0</v>
      </c>
      <c r="K925" s="126">
        <f t="shared" si="36"/>
        <v>3.4999999999999996E-2</v>
      </c>
      <c r="L925" s="9"/>
      <c r="M925" s="126">
        <f t="shared" si="37"/>
        <v>3.6699999999999997E-2</v>
      </c>
      <c r="N925" s="135" t="s">
        <v>18221</v>
      </c>
      <c r="O925" s="138" t="s">
        <v>18222</v>
      </c>
      <c r="P925" s="128" t="s">
        <v>26918</v>
      </c>
      <c r="Q925" s="130" t="s">
        <v>18223</v>
      </c>
      <c r="R925" s="130" t="s">
        <v>16348</v>
      </c>
      <c r="S925" s="130" t="s">
        <v>18224</v>
      </c>
      <c r="T925" s="130" t="s">
        <v>18224</v>
      </c>
      <c r="U925" s="130"/>
      <c r="V925" s="124" t="s">
        <v>18225</v>
      </c>
      <c r="W925" s="124" t="s">
        <v>17021</v>
      </c>
    </row>
    <row r="926" spans="1:23" customFormat="1" x14ac:dyDescent="0.45">
      <c r="A926">
        <v>214536</v>
      </c>
      <c r="B926" t="s">
        <v>18226</v>
      </c>
      <c r="C926" t="s">
        <v>18227</v>
      </c>
      <c r="D926">
        <v>2</v>
      </c>
      <c r="F926" s="126"/>
      <c r="G926" s="7">
        <v>0</v>
      </c>
      <c r="H926" s="7">
        <v>0</v>
      </c>
      <c r="I926" s="7">
        <v>0</v>
      </c>
      <c r="J926" s="7">
        <v>0</v>
      </c>
      <c r="K926" s="3">
        <f t="shared" si="36"/>
        <v>0</v>
      </c>
      <c r="L926" s="3"/>
      <c r="M926" s="3">
        <f t="shared" si="37"/>
        <v>0</v>
      </c>
      <c r="O926" s="5"/>
      <c r="S926" s="6"/>
    </row>
    <row r="927" spans="1:23" customFormat="1" x14ac:dyDescent="0.45">
      <c r="A927">
        <v>216219</v>
      </c>
      <c r="B927" t="s">
        <v>18228</v>
      </c>
      <c r="C927" t="s">
        <v>16331</v>
      </c>
      <c r="D927">
        <v>5</v>
      </c>
      <c r="E927" t="s">
        <v>16331</v>
      </c>
      <c r="F927" s="126"/>
      <c r="G927" s="7">
        <v>0</v>
      </c>
      <c r="H927" s="7">
        <v>0</v>
      </c>
      <c r="I927" s="7">
        <v>0</v>
      </c>
      <c r="J927" s="7">
        <v>0</v>
      </c>
      <c r="K927" s="3">
        <f t="shared" si="36"/>
        <v>0</v>
      </c>
      <c r="L927" s="3"/>
      <c r="M927" s="3">
        <f t="shared" si="37"/>
        <v>0</v>
      </c>
      <c r="O927" s="5"/>
      <c r="S927" s="6"/>
    </row>
    <row r="928" spans="1:23" customFormat="1" x14ac:dyDescent="0.45">
      <c r="A928">
        <v>216642</v>
      </c>
      <c r="B928" t="s">
        <v>18229</v>
      </c>
      <c r="C928" t="s">
        <v>16331</v>
      </c>
      <c r="D928">
        <v>1</v>
      </c>
      <c r="E928" t="s">
        <v>16331</v>
      </c>
      <c r="F928" s="126"/>
      <c r="G928" s="7">
        <v>0</v>
      </c>
      <c r="H928" s="7">
        <v>0</v>
      </c>
      <c r="I928" s="7">
        <v>0</v>
      </c>
      <c r="J928" s="7">
        <v>0</v>
      </c>
      <c r="K928" s="3">
        <f t="shared" si="36"/>
        <v>0</v>
      </c>
      <c r="L928" s="3"/>
      <c r="M928" s="3">
        <f t="shared" si="37"/>
        <v>0</v>
      </c>
      <c r="O928" s="5"/>
      <c r="S928" s="6"/>
    </row>
    <row r="929" spans="1:23" customFormat="1" x14ac:dyDescent="0.45">
      <c r="A929">
        <v>216704</v>
      </c>
      <c r="B929" t="s">
        <v>18230</v>
      </c>
      <c r="C929" t="s">
        <v>18231</v>
      </c>
      <c r="D929">
        <v>198</v>
      </c>
      <c r="E929" t="s">
        <v>16334</v>
      </c>
      <c r="F929" s="126"/>
      <c r="G929" s="7">
        <v>0</v>
      </c>
      <c r="H929" s="7">
        <v>0</v>
      </c>
      <c r="I929" s="7">
        <v>0</v>
      </c>
      <c r="J929" s="7">
        <v>0</v>
      </c>
      <c r="K929" s="3">
        <f t="shared" si="36"/>
        <v>0</v>
      </c>
      <c r="L929" s="3"/>
      <c r="M929" s="3">
        <f t="shared" si="37"/>
        <v>0</v>
      </c>
      <c r="O929" s="5"/>
      <c r="S929" s="6"/>
    </row>
    <row r="930" spans="1:23" customFormat="1" x14ac:dyDescent="0.45">
      <c r="A930">
        <v>216729</v>
      </c>
      <c r="B930" t="s">
        <v>18232</v>
      </c>
      <c r="C930" t="s">
        <v>18233</v>
      </c>
      <c r="D930">
        <v>0</v>
      </c>
      <c r="E930" t="s">
        <v>16561</v>
      </c>
      <c r="F930" s="126"/>
      <c r="G930" s="7">
        <v>0</v>
      </c>
      <c r="H930" s="7">
        <v>0</v>
      </c>
      <c r="I930" s="7">
        <v>0</v>
      </c>
      <c r="J930" s="7">
        <v>0</v>
      </c>
      <c r="K930" s="3">
        <f t="shared" si="36"/>
        <v>0</v>
      </c>
      <c r="L930" s="3"/>
      <c r="M930" s="3">
        <f t="shared" si="37"/>
        <v>0</v>
      </c>
      <c r="N930" s="7"/>
      <c r="O930" s="5"/>
      <c r="S930" s="6"/>
    </row>
    <row r="931" spans="1:23" customFormat="1" x14ac:dyDescent="0.45">
      <c r="A931">
        <v>216772</v>
      </c>
      <c r="B931" t="s">
        <v>18234</v>
      </c>
      <c r="C931" t="s">
        <v>18235</v>
      </c>
      <c r="D931">
        <v>1</v>
      </c>
      <c r="E931" t="s">
        <v>18236</v>
      </c>
      <c r="F931" s="126"/>
      <c r="G931" s="7">
        <v>0</v>
      </c>
      <c r="H931" s="7">
        <v>0</v>
      </c>
      <c r="I931" s="7">
        <v>0</v>
      </c>
      <c r="J931" s="7">
        <v>0</v>
      </c>
      <c r="K931" s="3">
        <f t="shared" si="36"/>
        <v>0</v>
      </c>
      <c r="L931" s="3"/>
      <c r="M931" s="3">
        <f t="shared" si="37"/>
        <v>0</v>
      </c>
      <c r="N931" s="7"/>
      <c r="O931" s="5"/>
      <c r="S931" s="6"/>
    </row>
    <row r="932" spans="1:23" customFormat="1" x14ac:dyDescent="0.45">
      <c r="A932">
        <v>217383</v>
      </c>
      <c r="B932" t="s">
        <v>18237</v>
      </c>
      <c r="C932" t="s">
        <v>18238</v>
      </c>
      <c r="D932">
        <v>6</v>
      </c>
      <c r="F932" s="126"/>
      <c r="G932" s="7">
        <v>0</v>
      </c>
      <c r="H932" s="7">
        <v>0</v>
      </c>
      <c r="I932" s="7">
        <v>0</v>
      </c>
      <c r="J932" s="7">
        <v>0</v>
      </c>
      <c r="K932" s="3">
        <f t="shared" si="36"/>
        <v>0</v>
      </c>
      <c r="L932" s="3"/>
      <c r="M932" s="3">
        <f t="shared" si="37"/>
        <v>0</v>
      </c>
      <c r="O932" s="5"/>
      <c r="S932" s="6"/>
    </row>
    <row r="933" spans="1:23" customFormat="1" x14ac:dyDescent="0.45">
      <c r="A933">
        <v>217689</v>
      </c>
      <c r="B933" t="s">
        <v>18239</v>
      </c>
      <c r="C933" t="s">
        <v>18240</v>
      </c>
      <c r="D933">
        <v>0</v>
      </c>
      <c r="E933" t="s">
        <v>16561</v>
      </c>
      <c r="F933" s="126"/>
      <c r="G933" s="7">
        <v>0</v>
      </c>
      <c r="H933" s="7">
        <v>0</v>
      </c>
      <c r="I933" s="7">
        <v>0</v>
      </c>
      <c r="J933" s="7">
        <v>0</v>
      </c>
      <c r="K933" s="3">
        <f t="shared" si="36"/>
        <v>0</v>
      </c>
      <c r="L933" s="3"/>
      <c r="M933" s="3">
        <f t="shared" si="37"/>
        <v>0</v>
      </c>
      <c r="N933" s="7"/>
      <c r="O933" s="5"/>
      <c r="S933" s="6"/>
    </row>
    <row r="934" spans="1:23" x14ac:dyDescent="0.45">
      <c r="A934" s="124">
        <v>765112</v>
      </c>
      <c r="B934" s="124" t="s">
        <v>18241</v>
      </c>
      <c r="C934" s="124" t="s">
        <v>18242</v>
      </c>
      <c r="D934" s="124">
        <v>415</v>
      </c>
      <c r="E934" s="124" t="s">
        <v>16417</v>
      </c>
      <c r="F934" s="126">
        <v>4.5999999999999999E-3</v>
      </c>
      <c r="G934" s="126">
        <v>1.95E-2</v>
      </c>
      <c r="H934" s="126">
        <v>2.5000000000000001E-3</v>
      </c>
      <c r="I934" s="127">
        <v>0</v>
      </c>
      <c r="J934" s="127">
        <v>0</v>
      </c>
      <c r="K934" s="126">
        <f t="shared" si="36"/>
        <v>2.1999999999999999E-2</v>
      </c>
      <c r="L934" s="3"/>
      <c r="M934" s="126">
        <f t="shared" si="37"/>
        <v>2.6599999999999999E-2</v>
      </c>
      <c r="O934" s="125" t="s">
        <v>16420</v>
      </c>
      <c r="Q934" s="130">
        <v>340877000000</v>
      </c>
      <c r="R934" s="130" t="s">
        <v>16</v>
      </c>
      <c r="S934" s="130">
        <v>25971000000</v>
      </c>
      <c r="T934" s="129">
        <f>S934/Q934</f>
        <v>7.6188771903061808E-2</v>
      </c>
      <c r="U934" s="130"/>
      <c r="V934" s="125" t="s">
        <v>18243</v>
      </c>
    </row>
    <row r="935" spans="1:23" customFormat="1" x14ac:dyDescent="0.45">
      <c r="A935">
        <v>217853</v>
      </c>
      <c r="B935" t="s">
        <v>18244</v>
      </c>
      <c r="C935" t="s">
        <v>18245</v>
      </c>
      <c r="D935">
        <v>3</v>
      </c>
      <c r="F935" s="126"/>
      <c r="G935" s="7">
        <v>0</v>
      </c>
      <c r="H935" s="7">
        <v>0</v>
      </c>
      <c r="I935" s="7">
        <v>0</v>
      </c>
      <c r="J935" s="7">
        <v>0</v>
      </c>
      <c r="K935" s="3">
        <f t="shared" si="36"/>
        <v>0</v>
      </c>
      <c r="L935" s="3"/>
      <c r="M935" s="3">
        <f t="shared" si="37"/>
        <v>0</v>
      </c>
      <c r="O935" s="5"/>
      <c r="S935" s="6"/>
    </row>
    <row r="936" spans="1:23" x14ac:dyDescent="0.45">
      <c r="A936" s="124">
        <v>134753</v>
      </c>
      <c r="B936" s="124" t="s">
        <v>18246</v>
      </c>
      <c r="C936" s="124" t="s">
        <v>18247</v>
      </c>
      <c r="D936" s="124">
        <v>226</v>
      </c>
      <c r="E936" s="124" t="s">
        <v>16417</v>
      </c>
      <c r="F936" s="126">
        <v>1.6400000000000001E-2</v>
      </c>
      <c r="G936" s="126">
        <v>0.03</v>
      </c>
      <c r="H936" s="126">
        <v>5.0000000000000001E-3</v>
      </c>
      <c r="I936" s="127">
        <v>0</v>
      </c>
      <c r="J936" s="127">
        <v>0</v>
      </c>
      <c r="K936" s="126">
        <f t="shared" si="36"/>
        <v>3.4999999999999996E-2</v>
      </c>
      <c r="L936" s="3"/>
      <c r="M936" s="126">
        <f t="shared" si="37"/>
        <v>5.1400000000000001E-2</v>
      </c>
      <c r="O936" s="125" t="s">
        <v>18248</v>
      </c>
      <c r="P936" s="124" t="s">
        <v>18248</v>
      </c>
      <c r="Q936" s="130">
        <v>11524000</v>
      </c>
      <c r="R936" s="130" t="s">
        <v>16348</v>
      </c>
      <c r="S936" s="130">
        <v>10845000</v>
      </c>
      <c r="T936" s="130">
        <f>S936/Q936</f>
        <v>0.94107948628948279</v>
      </c>
      <c r="U936" s="130"/>
      <c r="V936" s="125" t="s">
        <v>18249</v>
      </c>
    </row>
    <row r="937" spans="1:23" customFormat="1" x14ac:dyDescent="0.45">
      <c r="A937">
        <v>218103</v>
      </c>
      <c r="B937" t="s">
        <v>18250</v>
      </c>
      <c r="C937" t="s">
        <v>16331</v>
      </c>
      <c r="D937">
        <v>4</v>
      </c>
      <c r="E937" t="s">
        <v>16331</v>
      </c>
      <c r="F937" s="126"/>
      <c r="G937" s="7">
        <v>0</v>
      </c>
      <c r="H937" s="7">
        <v>0</v>
      </c>
      <c r="I937" s="7">
        <v>0</v>
      </c>
      <c r="J937" s="7">
        <v>0</v>
      </c>
      <c r="K937" s="3">
        <f t="shared" si="36"/>
        <v>0</v>
      </c>
      <c r="L937" s="3"/>
      <c r="M937" s="3">
        <f t="shared" si="37"/>
        <v>0</v>
      </c>
      <c r="O937" s="5"/>
      <c r="S937" s="6"/>
    </row>
    <row r="938" spans="1:23" customFormat="1" x14ac:dyDescent="0.45">
      <c r="A938">
        <v>218265</v>
      </c>
      <c r="B938" t="s">
        <v>18251</v>
      </c>
      <c r="C938" t="s">
        <v>18252</v>
      </c>
      <c r="D938">
        <v>2</v>
      </c>
      <c r="F938" s="126"/>
      <c r="K938" s="3">
        <f t="shared" si="36"/>
        <v>0</v>
      </c>
      <c r="L938" s="3"/>
      <c r="M938" s="3">
        <f t="shared" si="37"/>
        <v>0</v>
      </c>
      <c r="O938" s="5"/>
      <c r="S938" s="6"/>
    </row>
    <row r="939" spans="1:23" customFormat="1" x14ac:dyDescent="0.45">
      <c r="A939">
        <v>218281</v>
      </c>
      <c r="B939" t="s">
        <v>18253</v>
      </c>
      <c r="C939" t="s">
        <v>16331</v>
      </c>
      <c r="D939">
        <v>1</v>
      </c>
      <c r="E939" t="s">
        <v>16331</v>
      </c>
      <c r="F939" s="126"/>
      <c r="G939" s="7">
        <v>0</v>
      </c>
      <c r="H939" s="7">
        <v>0</v>
      </c>
      <c r="I939" s="7">
        <v>0</v>
      </c>
      <c r="J939" s="7">
        <v>0</v>
      </c>
      <c r="K939" s="3">
        <f t="shared" si="36"/>
        <v>0</v>
      </c>
      <c r="L939" s="3"/>
      <c r="M939" s="3">
        <f t="shared" si="37"/>
        <v>0</v>
      </c>
      <c r="O939" s="5"/>
      <c r="S939" s="6"/>
    </row>
    <row r="940" spans="1:23" customFormat="1" x14ac:dyDescent="0.45">
      <c r="A940">
        <v>218325</v>
      </c>
      <c r="B940" t="s">
        <v>18254</v>
      </c>
      <c r="C940" t="s">
        <v>18255</v>
      </c>
      <c r="D940">
        <v>1</v>
      </c>
      <c r="F940" s="126"/>
      <c r="K940" s="3">
        <f t="shared" si="36"/>
        <v>0</v>
      </c>
      <c r="L940" s="3"/>
      <c r="M940" s="3">
        <f t="shared" si="37"/>
        <v>0</v>
      </c>
      <c r="O940" s="5"/>
      <c r="S940" s="6"/>
    </row>
    <row r="941" spans="1:23" customFormat="1" x14ac:dyDescent="0.45">
      <c r="A941">
        <v>218613</v>
      </c>
      <c r="B941" t="s">
        <v>18256</v>
      </c>
      <c r="C941" t="s">
        <v>18257</v>
      </c>
      <c r="D941">
        <v>46</v>
      </c>
      <c r="E941" t="s">
        <v>16417</v>
      </c>
      <c r="F941" s="126"/>
      <c r="G941" s="7">
        <v>0</v>
      </c>
      <c r="H941" s="7">
        <v>0</v>
      </c>
      <c r="I941" s="7">
        <v>0</v>
      </c>
      <c r="J941" s="7">
        <v>0</v>
      </c>
      <c r="K941" s="3">
        <f t="shared" si="36"/>
        <v>0</v>
      </c>
      <c r="L941" s="3"/>
      <c r="M941" s="3">
        <f t="shared" si="37"/>
        <v>0</v>
      </c>
      <c r="N941" s="7"/>
      <c r="O941" s="5"/>
      <c r="S941" s="6"/>
    </row>
    <row r="942" spans="1:23" customFormat="1" x14ac:dyDescent="0.45">
      <c r="A942">
        <v>218668</v>
      </c>
      <c r="B942" t="s">
        <v>18258</v>
      </c>
      <c r="C942" t="s">
        <v>16331</v>
      </c>
      <c r="D942">
        <v>1</v>
      </c>
      <c r="E942" t="s">
        <v>16331</v>
      </c>
      <c r="F942" s="126"/>
      <c r="G942" s="7">
        <v>0</v>
      </c>
      <c r="H942" s="7">
        <v>0</v>
      </c>
      <c r="I942" s="7">
        <v>0</v>
      </c>
      <c r="J942" s="7">
        <v>0</v>
      </c>
      <c r="K942" s="3">
        <f t="shared" si="36"/>
        <v>0</v>
      </c>
      <c r="L942" s="3"/>
      <c r="M942" s="3">
        <f t="shared" si="37"/>
        <v>0</v>
      </c>
      <c r="O942" s="5"/>
      <c r="S942" s="6"/>
    </row>
    <row r="943" spans="1:23" x14ac:dyDescent="0.45">
      <c r="A943" s="124">
        <v>942618</v>
      </c>
      <c r="B943" s="124" t="s">
        <v>18259</v>
      </c>
      <c r="C943" s="124" t="s">
        <v>18260</v>
      </c>
      <c r="D943" s="124">
        <v>1</v>
      </c>
      <c r="E943" s="124" t="s">
        <v>16334</v>
      </c>
      <c r="F943" s="126">
        <v>1.6999999999999999E-3</v>
      </c>
      <c r="G943" s="126"/>
      <c r="H943" s="126"/>
      <c r="I943" s="127">
        <f>(995+2500)/100000+2%+1.5%</f>
        <v>6.9949999999999998E-2</v>
      </c>
      <c r="J943" s="127">
        <v>1.4999999999999999E-2</v>
      </c>
      <c r="K943" s="126">
        <f t="shared" si="36"/>
        <v>8.4949999999999998E-2</v>
      </c>
      <c r="L943" s="3"/>
      <c r="M943" s="126">
        <f t="shared" si="37"/>
        <v>8.6649999999999991E-2</v>
      </c>
      <c r="O943" s="131" t="s">
        <v>18261</v>
      </c>
      <c r="P943" s="128" t="s">
        <v>26918</v>
      </c>
      <c r="Q943" s="130">
        <f>27427+93039</f>
        <v>120466</v>
      </c>
      <c r="R943" s="124" t="s">
        <v>16348</v>
      </c>
      <c r="S943" s="132">
        <v>25350</v>
      </c>
      <c r="T943" s="129">
        <f>S943/Q943</f>
        <v>0.21043281921870072</v>
      </c>
      <c r="V943" s="125" t="s">
        <v>18262</v>
      </c>
      <c r="W943" s="124" t="s">
        <v>18263</v>
      </c>
    </row>
    <row r="944" spans="1:23" customFormat="1" x14ac:dyDescent="0.45">
      <c r="A944">
        <v>218805</v>
      </c>
      <c r="B944" t="s">
        <v>18264</v>
      </c>
      <c r="C944" t="s">
        <v>18265</v>
      </c>
      <c r="D944">
        <v>1</v>
      </c>
      <c r="F944" s="126"/>
      <c r="G944" s="7">
        <v>0</v>
      </c>
      <c r="H944" s="7">
        <v>0</v>
      </c>
      <c r="I944" s="7">
        <v>0</v>
      </c>
      <c r="J944" s="7">
        <v>0</v>
      </c>
      <c r="K944" s="3">
        <f t="shared" si="36"/>
        <v>0</v>
      </c>
      <c r="L944" s="3"/>
      <c r="M944" s="3">
        <f t="shared" si="37"/>
        <v>0</v>
      </c>
      <c r="O944" s="5"/>
      <c r="S944" s="6"/>
    </row>
    <row r="945" spans="1:23" customFormat="1" x14ac:dyDescent="0.45">
      <c r="A945">
        <v>219306</v>
      </c>
      <c r="B945" t="s">
        <v>18266</v>
      </c>
      <c r="C945" t="s">
        <v>18267</v>
      </c>
      <c r="D945">
        <v>1</v>
      </c>
      <c r="F945" s="126"/>
      <c r="G945" s="3">
        <v>0</v>
      </c>
      <c r="H945" s="3">
        <v>0</v>
      </c>
      <c r="I945" s="3">
        <v>0</v>
      </c>
      <c r="J945" s="3">
        <v>0</v>
      </c>
      <c r="K945" s="3">
        <f t="shared" si="36"/>
        <v>0</v>
      </c>
      <c r="L945" s="3"/>
      <c r="M945" s="3">
        <f t="shared" si="37"/>
        <v>0</v>
      </c>
      <c r="O945" s="5"/>
      <c r="S945" s="6"/>
    </row>
    <row r="946" spans="1:23" customFormat="1" x14ac:dyDescent="0.45">
      <c r="A946">
        <v>219600</v>
      </c>
      <c r="B946" t="s">
        <v>18268</v>
      </c>
      <c r="C946" t="s">
        <v>16331</v>
      </c>
      <c r="D946">
        <v>1</v>
      </c>
      <c r="E946" t="s">
        <v>16331</v>
      </c>
      <c r="F946" s="126"/>
      <c r="G946" s="7">
        <v>0</v>
      </c>
      <c r="H946" s="7">
        <v>0</v>
      </c>
      <c r="I946" s="7">
        <v>0</v>
      </c>
      <c r="J946" s="7">
        <v>0</v>
      </c>
      <c r="K946" s="3">
        <f t="shared" si="36"/>
        <v>0</v>
      </c>
      <c r="L946" s="3"/>
      <c r="M946" s="3">
        <f t="shared" si="37"/>
        <v>0</v>
      </c>
      <c r="O946" s="5"/>
      <c r="S946" s="6"/>
    </row>
    <row r="947" spans="1:23" customFormat="1" x14ac:dyDescent="0.45">
      <c r="A947">
        <v>219670</v>
      </c>
      <c r="B947" t="s">
        <v>18269</v>
      </c>
      <c r="C947" t="s">
        <v>16331</v>
      </c>
      <c r="D947">
        <v>1</v>
      </c>
      <c r="E947" t="s">
        <v>16331</v>
      </c>
      <c r="F947" s="126"/>
      <c r="G947" s="7">
        <v>0</v>
      </c>
      <c r="H947" s="7">
        <v>0</v>
      </c>
      <c r="I947" s="7">
        <v>0</v>
      </c>
      <c r="J947" s="7">
        <v>0</v>
      </c>
      <c r="K947" s="3">
        <f t="shared" si="36"/>
        <v>0</v>
      </c>
      <c r="L947" s="3"/>
      <c r="M947" s="3">
        <f t="shared" si="37"/>
        <v>0</v>
      </c>
      <c r="O947" s="5"/>
      <c r="S947" s="6"/>
    </row>
    <row r="948" spans="1:23" customFormat="1" x14ac:dyDescent="0.45">
      <c r="A948">
        <v>219675</v>
      </c>
      <c r="B948" t="s">
        <v>18270</v>
      </c>
      <c r="C948" t="s">
        <v>18271</v>
      </c>
      <c r="D948">
        <v>0</v>
      </c>
      <c r="E948" t="s">
        <v>16561</v>
      </c>
      <c r="F948" s="126"/>
      <c r="G948" s="7">
        <v>0</v>
      </c>
      <c r="H948" s="3">
        <v>0</v>
      </c>
      <c r="I948" s="3">
        <v>0</v>
      </c>
      <c r="J948">
        <v>0</v>
      </c>
      <c r="K948" s="3">
        <f t="shared" si="36"/>
        <v>0</v>
      </c>
      <c r="L948" s="3"/>
      <c r="M948" s="3">
        <f t="shared" si="37"/>
        <v>0</v>
      </c>
      <c r="O948" s="5"/>
      <c r="S948" s="6"/>
    </row>
    <row r="949" spans="1:23" x14ac:dyDescent="0.45">
      <c r="A949" s="124">
        <v>402423</v>
      </c>
      <c r="B949" s="124" t="s">
        <v>18272</v>
      </c>
      <c r="C949" s="124" t="s">
        <v>18273</v>
      </c>
      <c r="D949" s="124">
        <v>1</v>
      </c>
      <c r="E949" s="124" t="s">
        <v>16334</v>
      </c>
      <c r="F949" s="126">
        <v>1.6999999999999999E-3</v>
      </c>
      <c r="G949" s="139">
        <f>(2500+5000)/100000</f>
        <v>7.4999999999999997E-2</v>
      </c>
      <c r="H949" s="126">
        <v>8.0000000000000002E-3</v>
      </c>
      <c r="I949" s="127"/>
      <c r="J949" s="127"/>
      <c r="K949" s="126">
        <f t="shared" si="36"/>
        <v>8.299999999999999E-2</v>
      </c>
      <c r="L949" s="3"/>
      <c r="M949" s="126">
        <f t="shared" si="37"/>
        <v>8.4699999999999984E-2</v>
      </c>
      <c r="N949" s="135"/>
      <c r="O949" s="125" t="s">
        <v>18274</v>
      </c>
      <c r="P949" s="128" t="s">
        <v>26918</v>
      </c>
      <c r="Q949" s="130">
        <f>1203862+1856</f>
        <v>1205718</v>
      </c>
      <c r="R949" s="124" t="s">
        <v>16348</v>
      </c>
      <c r="S949" s="130">
        <v>1014898</v>
      </c>
      <c r="T949" s="129">
        <f>S949/Q949</f>
        <v>0.84173745436329228</v>
      </c>
      <c r="V949" s="125" t="s">
        <v>18275</v>
      </c>
      <c r="W949" s="124" t="s">
        <v>17021</v>
      </c>
    </row>
    <row r="950" spans="1:23" customFormat="1" x14ac:dyDescent="0.45">
      <c r="A950">
        <v>220125</v>
      </c>
      <c r="B950" t="s">
        <v>18276</v>
      </c>
      <c r="C950" t="s">
        <v>18277</v>
      </c>
      <c r="D950">
        <v>4</v>
      </c>
      <c r="F950" s="126"/>
      <c r="G950" s="7">
        <v>0</v>
      </c>
      <c r="H950" s="7">
        <v>0</v>
      </c>
      <c r="I950" s="7">
        <v>0</v>
      </c>
      <c r="J950" s="7">
        <v>0</v>
      </c>
      <c r="K950" s="3">
        <f t="shared" si="36"/>
        <v>0</v>
      </c>
      <c r="L950" s="3"/>
      <c r="M950" s="3">
        <f t="shared" si="37"/>
        <v>0</v>
      </c>
      <c r="O950" s="5"/>
      <c r="S950" s="6"/>
    </row>
    <row r="951" spans="1:23" customFormat="1" x14ac:dyDescent="0.45">
      <c r="A951">
        <v>220234</v>
      </c>
      <c r="B951" t="s">
        <v>18278</v>
      </c>
      <c r="C951" t="s">
        <v>16331</v>
      </c>
      <c r="D951">
        <v>2</v>
      </c>
      <c r="E951" t="s">
        <v>16331</v>
      </c>
      <c r="F951" s="126"/>
      <c r="G951" s="7">
        <v>0</v>
      </c>
      <c r="H951" s="7">
        <v>0</v>
      </c>
      <c r="I951" s="7">
        <v>0</v>
      </c>
      <c r="J951" s="7">
        <v>0</v>
      </c>
      <c r="K951" s="3">
        <f t="shared" si="36"/>
        <v>0</v>
      </c>
      <c r="L951" s="3"/>
      <c r="M951" s="3">
        <f t="shared" si="37"/>
        <v>0</v>
      </c>
      <c r="O951" s="5"/>
      <c r="S951" s="6"/>
    </row>
    <row r="952" spans="1:23" customFormat="1" x14ac:dyDescent="0.45">
      <c r="A952">
        <v>220500</v>
      </c>
      <c r="B952" t="s">
        <v>18279</v>
      </c>
      <c r="C952" t="s">
        <v>16331</v>
      </c>
      <c r="D952">
        <v>2</v>
      </c>
      <c r="E952" t="s">
        <v>16331</v>
      </c>
      <c r="F952" s="126"/>
      <c r="G952" s="7">
        <v>0</v>
      </c>
      <c r="H952" s="7">
        <v>0</v>
      </c>
      <c r="I952" s="7">
        <v>0</v>
      </c>
      <c r="J952" s="7">
        <v>0</v>
      </c>
      <c r="K952" s="3">
        <f t="shared" si="36"/>
        <v>0</v>
      </c>
      <c r="L952" s="3"/>
      <c r="M952" s="3">
        <f t="shared" si="37"/>
        <v>0</v>
      </c>
      <c r="O952" s="5"/>
      <c r="S952" s="6"/>
    </row>
    <row r="953" spans="1:23" customFormat="1" x14ac:dyDescent="0.45">
      <c r="A953">
        <v>220559</v>
      </c>
      <c r="B953" t="s">
        <v>18280</v>
      </c>
      <c r="C953" t="s">
        <v>16331</v>
      </c>
      <c r="D953">
        <v>5</v>
      </c>
      <c r="E953" t="s">
        <v>16331</v>
      </c>
      <c r="F953" s="126"/>
      <c r="K953" s="3">
        <f t="shared" si="36"/>
        <v>0</v>
      </c>
      <c r="L953" s="3"/>
      <c r="M953" s="3">
        <f t="shared" si="37"/>
        <v>0</v>
      </c>
      <c r="O953" s="5"/>
      <c r="S953" s="6"/>
    </row>
    <row r="954" spans="1:23" customFormat="1" x14ac:dyDescent="0.45">
      <c r="A954">
        <v>220603</v>
      </c>
      <c r="B954" t="s">
        <v>18281</v>
      </c>
      <c r="C954" t="s">
        <v>16451</v>
      </c>
      <c r="D954">
        <v>4</v>
      </c>
      <c r="F954" s="126"/>
      <c r="K954" s="3">
        <f t="shared" ref="K954:K1017" si="38">SUM(G954:J954)</f>
        <v>0</v>
      </c>
      <c r="L954" s="3"/>
      <c r="M954" s="3">
        <f t="shared" ref="M954:M1017" si="39">K954+F954</f>
        <v>0</v>
      </c>
      <c r="O954" s="5"/>
      <c r="S954" s="6"/>
    </row>
    <row r="955" spans="1:23" customFormat="1" x14ac:dyDescent="0.45">
      <c r="A955">
        <v>220963</v>
      </c>
      <c r="B955" t="s">
        <v>18282</v>
      </c>
      <c r="C955" t="s">
        <v>16331</v>
      </c>
      <c r="D955">
        <v>1</v>
      </c>
      <c r="E955" t="s">
        <v>16331</v>
      </c>
      <c r="F955" s="126"/>
      <c r="G955" s="7">
        <v>0</v>
      </c>
      <c r="H955" s="7">
        <v>0</v>
      </c>
      <c r="I955" s="7">
        <v>0</v>
      </c>
      <c r="J955" s="7">
        <v>0</v>
      </c>
      <c r="K955" s="3">
        <f t="shared" si="38"/>
        <v>0</v>
      </c>
      <c r="L955" s="3"/>
      <c r="M955" s="3">
        <f t="shared" si="39"/>
        <v>0</v>
      </c>
      <c r="O955" s="5"/>
      <c r="S955" s="6"/>
    </row>
    <row r="956" spans="1:23" customFormat="1" x14ac:dyDescent="0.45">
      <c r="A956">
        <v>221076</v>
      </c>
      <c r="B956" t="s">
        <v>18283</v>
      </c>
      <c r="C956" t="s">
        <v>16331</v>
      </c>
      <c r="D956">
        <v>5</v>
      </c>
      <c r="E956" t="s">
        <v>16331</v>
      </c>
      <c r="F956" s="126"/>
      <c r="G956" s="7">
        <v>0</v>
      </c>
      <c r="H956" s="7">
        <v>0</v>
      </c>
      <c r="I956" s="7">
        <v>0</v>
      </c>
      <c r="J956" s="7">
        <v>0</v>
      </c>
      <c r="K956" s="3">
        <f t="shared" si="38"/>
        <v>0</v>
      </c>
      <c r="L956" s="3"/>
      <c r="M956" s="3">
        <f t="shared" si="39"/>
        <v>0</v>
      </c>
      <c r="O956" s="5"/>
      <c r="S956" s="6"/>
    </row>
    <row r="957" spans="1:23" customFormat="1" x14ac:dyDescent="0.45">
      <c r="A957">
        <v>221278</v>
      </c>
      <c r="B957" t="s">
        <v>18284</v>
      </c>
      <c r="C957" t="s">
        <v>18285</v>
      </c>
      <c r="D957">
        <v>4</v>
      </c>
      <c r="F957" s="126"/>
      <c r="G957" s="7">
        <v>0</v>
      </c>
      <c r="H957" s="7">
        <v>0</v>
      </c>
      <c r="I957" s="7">
        <v>0</v>
      </c>
      <c r="J957" s="7">
        <v>0</v>
      </c>
      <c r="K957" s="3">
        <f t="shared" si="38"/>
        <v>0</v>
      </c>
      <c r="L957" s="3"/>
      <c r="M957" s="3">
        <f t="shared" si="39"/>
        <v>0</v>
      </c>
      <c r="O957" s="5"/>
      <c r="S957" s="6"/>
    </row>
    <row r="958" spans="1:23" customFormat="1" x14ac:dyDescent="0.45">
      <c r="A958">
        <v>221294</v>
      </c>
      <c r="B958" t="s">
        <v>18286</v>
      </c>
      <c r="C958" t="s">
        <v>16331</v>
      </c>
      <c r="D958">
        <v>1</v>
      </c>
      <c r="E958" t="s">
        <v>16331</v>
      </c>
      <c r="F958" s="126"/>
      <c r="G958" s="7">
        <v>0</v>
      </c>
      <c r="H958" s="7">
        <v>0</v>
      </c>
      <c r="I958" s="7">
        <v>0</v>
      </c>
      <c r="J958" s="7">
        <v>0</v>
      </c>
      <c r="K958" s="3">
        <f t="shared" si="38"/>
        <v>0</v>
      </c>
      <c r="L958" s="3"/>
      <c r="M958" s="3">
        <f t="shared" si="39"/>
        <v>0</v>
      </c>
      <c r="O958" s="5"/>
      <c r="S958" s="6"/>
    </row>
    <row r="959" spans="1:23" customFormat="1" x14ac:dyDescent="0.45">
      <c r="A959">
        <v>221308</v>
      </c>
      <c r="B959" t="s">
        <v>18287</v>
      </c>
      <c r="C959" t="s">
        <v>18288</v>
      </c>
      <c r="D959">
        <v>2</v>
      </c>
      <c r="F959" s="126"/>
      <c r="G959" s="7">
        <v>0</v>
      </c>
      <c r="H959" s="7">
        <v>0</v>
      </c>
      <c r="I959" s="7">
        <v>0</v>
      </c>
      <c r="J959" s="7">
        <v>0</v>
      </c>
      <c r="K959" s="3">
        <f t="shared" si="38"/>
        <v>0</v>
      </c>
      <c r="L959" s="3"/>
      <c r="M959" s="3">
        <f t="shared" si="39"/>
        <v>0</v>
      </c>
      <c r="O959" s="5"/>
      <c r="S959" s="6"/>
    </row>
    <row r="960" spans="1:23" x14ac:dyDescent="0.45">
      <c r="A960" s="124">
        <v>572966</v>
      </c>
      <c r="B960" s="124" t="s">
        <v>18289</v>
      </c>
      <c r="C960" s="124" t="s">
        <v>18290</v>
      </c>
      <c r="D960" s="124">
        <v>13</v>
      </c>
      <c r="E960" s="124" t="s">
        <v>16334</v>
      </c>
      <c r="F960" s="126">
        <v>1.6999999999999999E-3</v>
      </c>
      <c r="G960" s="126">
        <v>0.02</v>
      </c>
      <c r="H960" s="126">
        <v>7.4999999999999997E-3</v>
      </c>
      <c r="I960" s="127">
        <v>0</v>
      </c>
      <c r="J960" s="127">
        <v>0</v>
      </c>
      <c r="K960" s="126">
        <f t="shared" si="38"/>
        <v>2.75E-2</v>
      </c>
      <c r="L960" s="3"/>
      <c r="M960" s="126">
        <f t="shared" si="39"/>
        <v>2.92E-2</v>
      </c>
      <c r="O960" s="131" t="s">
        <v>18291</v>
      </c>
      <c r="P960" s="128" t="s">
        <v>26918</v>
      </c>
      <c r="Q960" s="130">
        <f>850278+521865</f>
        <v>1372143</v>
      </c>
      <c r="R960" s="124" t="s">
        <v>16348</v>
      </c>
      <c r="S960" s="132">
        <v>302700</v>
      </c>
      <c r="T960" s="129">
        <f>S960/Q960</f>
        <v>0.22060382919272992</v>
      </c>
      <c r="V960" s="125" t="s">
        <v>18292</v>
      </c>
    </row>
    <row r="961" spans="1:19" customFormat="1" x14ac:dyDescent="0.45">
      <c r="A961">
        <v>221379</v>
      </c>
      <c r="B961" t="s">
        <v>18293</v>
      </c>
      <c r="C961" t="s">
        <v>18231</v>
      </c>
      <c r="D961">
        <v>0</v>
      </c>
      <c r="F961" s="126"/>
      <c r="G961" s="7">
        <v>0</v>
      </c>
      <c r="H961" s="7">
        <v>0</v>
      </c>
      <c r="I961" s="7">
        <v>0</v>
      </c>
      <c r="J961" s="7">
        <v>0</v>
      </c>
      <c r="K961" s="3">
        <f t="shared" si="38"/>
        <v>0</v>
      </c>
      <c r="L961" s="3"/>
      <c r="M961" s="3">
        <f t="shared" si="39"/>
        <v>0</v>
      </c>
      <c r="O961" s="5"/>
      <c r="S961" s="6"/>
    </row>
    <row r="962" spans="1:19" customFormat="1" x14ac:dyDescent="0.45">
      <c r="A962">
        <v>221411</v>
      </c>
      <c r="B962" t="s">
        <v>18294</v>
      </c>
      <c r="C962" t="s">
        <v>18295</v>
      </c>
      <c r="D962">
        <v>2</v>
      </c>
      <c r="E962" t="s">
        <v>18296</v>
      </c>
      <c r="F962" s="126"/>
      <c r="G962" s="7">
        <v>0</v>
      </c>
      <c r="H962" s="7">
        <v>0</v>
      </c>
      <c r="I962" s="7">
        <v>0</v>
      </c>
      <c r="J962" s="7">
        <v>0</v>
      </c>
      <c r="K962" s="3">
        <f t="shared" si="38"/>
        <v>0</v>
      </c>
      <c r="L962" s="3"/>
      <c r="M962" s="3">
        <f t="shared" si="39"/>
        <v>0</v>
      </c>
      <c r="N962" s="7"/>
      <c r="O962" s="5"/>
      <c r="S962" s="6"/>
    </row>
    <row r="963" spans="1:19" customFormat="1" x14ac:dyDescent="0.45">
      <c r="A963">
        <v>221468</v>
      </c>
      <c r="B963" t="s">
        <v>18297</v>
      </c>
      <c r="C963" t="s">
        <v>18298</v>
      </c>
      <c r="D963">
        <v>7</v>
      </c>
      <c r="F963" s="126"/>
      <c r="G963" s="7">
        <v>0</v>
      </c>
      <c r="H963" s="7">
        <v>0</v>
      </c>
      <c r="I963" s="7">
        <v>0</v>
      </c>
      <c r="J963" s="7">
        <v>0</v>
      </c>
      <c r="K963" s="3">
        <f t="shared" si="38"/>
        <v>0</v>
      </c>
      <c r="L963" s="3"/>
      <c r="M963" s="3">
        <f t="shared" si="39"/>
        <v>0</v>
      </c>
      <c r="N963" s="7"/>
      <c r="O963" s="5"/>
      <c r="S963" s="6"/>
    </row>
    <row r="964" spans="1:19" customFormat="1" x14ac:dyDescent="0.45">
      <c r="A964">
        <v>221540</v>
      </c>
      <c r="B964" t="s">
        <v>18299</v>
      </c>
      <c r="C964" t="s">
        <v>16331</v>
      </c>
      <c r="D964">
        <v>2</v>
      </c>
      <c r="E964" t="s">
        <v>16331</v>
      </c>
      <c r="F964" s="126"/>
      <c r="G964" s="7">
        <v>0</v>
      </c>
      <c r="H964" s="7">
        <v>0</v>
      </c>
      <c r="I964" s="7">
        <v>0</v>
      </c>
      <c r="J964" s="7">
        <v>0</v>
      </c>
      <c r="K964" s="3">
        <f t="shared" si="38"/>
        <v>0</v>
      </c>
      <c r="L964" s="3"/>
      <c r="M964" s="3">
        <f t="shared" si="39"/>
        <v>0</v>
      </c>
      <c r="O964" s="5"/>
      <c r="S964" s="6"/>
    </row>
    <row r="965" spans="1:19" customFormat="1" x14ac:dyDescent="0.45">
      <c r="A965">
        <v>221553</v>
      </c>
      <c r="B965" t="s">
        <v>18300</v>
      </c>
      <c r="C965" t="s">
        <v>18301</v>
      </c>
      <c r="D965">
        <v>1</v>
      </c>
      <c r="E965" t="s">
        <v>16561</v>
      </c>
      <c r="F965" s="126"/>
      <c r="G965" s="7">
        <v>0</v>
      </c>
      <c r="H965" s="7">
        <v>0</v>
      </c>
      <c r="I965" s="7">
        <v>0</v>
      </c>
      <c r="J965" s="7">
        <v>0</v>
      </c>
      <c r="K965" s="3">
        <f t="shared" si="38"/>
        <v>0</v>
      </c>
      <c r="L965" s="3"/>
      <c r="M965" s="3">
        <f t="shared" si="39"/>
        <v>0</v>
      </c>
      <c r="N965" s="7"/>
      <c r="O965" s="5"/>
      <c r="S965" s="6"/>
    </row>
    <row r="966" spans="1:19" customFormat="1" x14ac:dyDescent="0.45">
      <c r="A966">
        <v>221594</v>
      </c>
      <c r="B966" t="s">
        <v>18302</v>
      </c>
      <c r="C966" t="s">
        <v>16331</v>
      </c>
      <c r="D966">
        <v>6</v>
      </c>
      <c r="E966" t="s">
        <v>16331</v>
      </c>
      <c r="F966" s="126"/>
      <c r="G966" s="7">
        <v>0</v>
      </c>
      <c r="H966" s="7">
        <v>0</v>
      </c>
      <c r="I966" s="7">
        <v>0</v>
      </c>
      <c r="J966" s="7">
        <v>0</v>
      </c>
      <c r="K966" s="3">
        <f t="shared" si="38"/>
        <v>0</v>
      </c>
      <c r="L966" s="3"/>
      <c r="M966" s="3">
        <f t="shared" si="39"/>
        <v>0</v>
      </c>
      <c r="O966" s="5"/>
      <c r="S966" s="6"/>
    </row>
    <row r="967" spans="1:19" customFormat="1" x14ac:dyDescent="0.45">
      <c r="A967">
        <v>221649</v>
      </c>
      <c r="B967" t="s">
        <v>18303</v>
      </c>
      <c r="C967" t="s">
        <v>16331</v>
      </c>
      <c r="D967">
        <v>3</v>
      </c>
      <c r="E967" t="s">
        <v>16331</v>
      </c>
      <c r="F967" s="126"/>
      <c r="K967" s="3">
        <f t="shared" si="38"/>
        <v>0</v>
      </c>
      <c r="L967" s="3"/>
      <c r="M967" s="3">
        <f t="shared" si="39"/>
        <v>0</v>
      </c>
      <c r="O967" s="5"/>
      <c r="S967" s="6"/>
    </row>
    <row r="968" spans="1:19" customFormat="1" x14ac:dyDescent="0.45">
      <c r="A968">
        <v>221653</v>
      </c>
      <c r="B968" t="s">
        <v>18304</v>
      </c>
      <c r="C968" t="s">
        <v>16331</v>
      </c>
      <c r="D968">
        <v>2</v>
      </c>
      <c r="E968" t="s">
        <v>16331</v>
      </c>
      <c r="F968" s="126"/>
      <c r="G968" s="7">
        <v>0</v>
      </c>
      <c r="H968" s="7">
        <v>0</v>
      </c>
      <c r="I968" s="7">
        <v>0</v>
      </c>
      <c r="J968" s="7">
        <v>0</v>
      </c>
      <c r="K968" s="3">
        <f t="shared" si="38"/>
        <v>0</v>
      </c>
      <c r="L968" s="3"/>
      <c r="M968" s="3">
        <f t="shared" si="39"/>
        <v>0</v>
      </c>
      <c r="O968" s="5"/>
      <c r="S968" s="6"/>
    </row>
    <row r="969" spans="1:19" customFormat="1" x14ac:dyDescent="0.45">
      <c r="A969">
        <v>221867</v>
      </c>
      <c r="B969" t="s">
        <v>18305</v>
      </c>
      <c r="C969" t="s">
        <v>16331</v>
      </c>
      <c r="D969">
        <v>6</v>
      </c>
      <c r="E969" t="s">
        <v>16331</v>
      </c>
      <c r="F969" s="126"/>
      <c r="G969" s="7">
        <v>0</v>
      </c>
      <c r="H969" s="7">
        <v>0</v>
      </c>
      <c r="I969" s="7">
        <v>0</v>
      </c>
      <c r="J969" s="7">
        <v>0</v>
      </c>
      <c r="K969" s="3">
        <f t="shared" si="38"/>
        <v>0</v>
      </c>
      <c r="L969" s="3"/>
      <c r="M969" s="3">
        <f t="shared" si="39"/>
        <v>0</v>
      </c>
      <c r="O969" s="5"/>
      <c r="S969" s="6"/>
    </row>
    <row r="970" spans="1:19" customFormat="1" x14ac:dyDescent="0.45">
      <c r="A970">
        <v>222033</v>
      </c>
      <c r="B970" t="s">
        <v>18306</v>
      </c>
      <c r="C970" t="s">
        <v>18307</v>
      </c>
      <c r="D970">
        <v>1</v>
      </c>
      <c r="F970" s="126"/>
      <c r="G970" s="7">
        <v>0</v>
      </c>
      <c r="H970" s="7">
        <v>0</v>
      </c>
      <c r="I970" s="7">
        <v>0</v>
      </c>
      <c r="J970" s="7">
        <v>0</v>
      </c>
      <c r="K970" s="3">
        <f t="shared" si="38"/>
        <v>0</v>
      </c>
      <c r="L970" s="3"/>
      <c r="M970" s="3">
        <f t="shared" si="39"/>
        <v>0</v>
      </c>
      <c r="O970" s="5"/>
      <c r="S970" s="6"/>
    </row>
    <row r="971" spans="1:19" customFormat="1" x14ac:dyDescent="0.45">
      <c r="A971">
        <v>222066</v>
      </c>
      <c r="B971" t="s">
        <v>18308</v>
      </c>
      <c r="C971" t="s">
        <v>18309</v>
      </c>
      <c r="D971">
        <v>5</v>
      </c>
      <c r="F971" s="126"/>
      <c r="G971" s="7">
        <v>0</v>
      </c>
      <c r="H971" s="7">
        <v>0</v>
      </c>
      <c r="I971" s="7">
        <v>0</v>
      </c>
      <c r="J971" s="7">
        <v>0</v>
      </c>
      <c r="K971" s="3">
        <f t="shared" si="38"/>
        <v>0</v>
      </c>
      <c r="L971" s="3"/>
      <c r="M971" s="3">
        <f t="shared" si="39"/>
        <v>0</v>
      </c>
      <c r="O971" s="5"/>
      <c r="S971" s="6"/>
    </row>
    <row r="972" spans="1:19" customFormat="1" x14ac:dyDescent="0.45">
      <c r="A972">
        <v>222122</v>
      </c>
      <c r="B972" t="s">
        <v>18310</v>
      </c>
      <c r="C972" t="s">
        <v>18311</v>
      </c>
      <c r="D972">
        <v>4</v>
      </c>
      <c r="F972" s="126"/>
      <c r="K972" s="3">
        <f t="shared" si="38"/>
        <v>0</v>
      </c>
      <c r="L972" s="3"/>
      <c r="M972" s="3">
        <f t="shared" si="39"/>
        <v>0</v>
      </c>
      <c r="O972" s="5"/>
      <c r="S972" s="6"/>
    </row>
    <row r="973" spans="1:19" customFormat="1" x14ac:dyDescent="0.45">
      <c r="A973">
        <v>222123</v>
      </c>
      <c r="B973" t="s">
        <v>18312</v>
      </c>
      <c r="C973" t="s">
        <v>18313</v>
      </c>
      <c r="D973">
        <v>2</v>
      </c>
      <c r="F973" s="126"/>
      <c r="G973" s="7">
        <v>0</v>
      </c>
      <c r="H973" s="7">
        <v>0</v>
      </c>
      <c r="I973" s="7">
        <v>0</v>
      </c>
      <c r="J973" s="7">
        <v>0</v>
      </c>
      <c r="K973" s="3">
        <f t="shared" si="38"/>
        <v>0</v>
      </c>
      <c r="L973" s="3"/>
      <c r="M973" s="3">
        <f t="shared" si="39"/>
        <v>0</v>
      </c>
      <c r="O973" s="5"/>
      <c r="S973" s="6"/>
    </row>
    <row r="974" spans="1:19" customFormat="1" x14ac:dyDescent="0.45">
      <c r="A974">
        <v>222166</v>
      </c>
      <c r="B974" t="s">
        <v>18314</v>
      </c>
      <c r="C974" t="s">
        <v>18315</v>
      </c>
      <c r="D974">
        <v>2</v>
      </c>
      <c r="F974" s="126"/>
      <c r="G974" s="3">
        <v>0</v>
      </c>
      <c r="H974" s="3">
        <v>0</v>
      </c>
      <c r="I974" s="3">
        <v>0</v>
      </c>
      <c r="J974" s="3">
        <v>0</v>
      </c>
      <c r="K974" s="3">
        <f t="shared" si="38"/>
        <v>0</v>
      </c>
      <c r="L974" s="3"/>
      <c r="M974" s="3">
        <f t="shared" si="39"/>
        <v>0</v>
      </c>
      <c r="O974" s="5"/>
      <c r="S974" s="6"/>
    </row>
    <row r="975" spans="1:19" customFormat="1" x14ac:dyDescent="0.45">
      <c r="A975">
        <v>222287</v>
      </c>
      <c r="B975" t="s">
        <v>18316</v>
      </c>
      <c r="C975" t="s">
        <v>16331</v>
      </c>
      <c r="D975">
        <v>2</v>
      </c>
      <c r="E975" t="s">
        <v>16331</v>
      </c>
      <c r="F975" s="126"/>
      <c r="G975" s="7">
        <v>0</v>
      </c>
      <c r="H975" s="7">
        <v>0</v>
      </c>
      <c r="I975" s="7">
        <v>0</v>
      </c>
      <c r="J975" s="7">
        <v>0</v>
      </c>
      <c r="K975" s="3">
        <f t="shared" si="38"/>
        <v>0</v>
      </c>
      <c r="L975" s="3"/>
      <c r="M975" s="3">
        <f t="shared" si="39"/>
        <v>0</v>
      </c>
      <c r="O975" s="5"/>
      <c r="S975" s="6"/>
    </row>
    <row r="976" spans="1:19" customFormat="1" x14ac:dyDescent="0.45">
      <c r="A976">
        <v>222303</v>
      </c>
      <c r="B976" t="s">
        <v>18317</v>
      </c>
      <c r="C976" t="s">
        <v>16331</v>
      </c>
      <c r="D976">
        <v>1</v>
      </c>
      <c r="E976" t="s">
        <v>16331</v>
      </c>
      <c r="F976" s="126"/>
      <c r="G976" s="7">
        <v>0</v>
      </c>
      <c r="H976" s="7">
        <v>0</v>
      </c>
      <c r="I976" s="7">
        <v>0</v>
      </c>
      <c r="J976" s="7">
        <v>0</v>
      </c>
      <c r="K976" s="3">
        <f t="shared" si="38"/>
        <v>0</v>
      </c>
      <c r="L976" s="3"/>
      <c r="M976" s="3">
        <f t="shared" si="39"/>
        <v>0</v>
      </c>
      <c r="O976" s="5"/>
      <c r="S976" s="6"/>
    </row>
    <row r="977" spans="1:19" customFormat="1" x14ac:dyDescent="0.45">
      <c r="A977">
        <v>222325</v>
      </c>
      <c r="B977" t="s">
        <v>18318</v>
      </c>
      <c r="C977" t="s">
        <v>18319</v>
      </c>
      <c r="D977">
        <v>3</v>
      </c>
      <c r="F977" s="126"/>
      <c r="G977" s="7">
        <v>0</v>
      </c>
      <c r="H977" s="7">
        <v>0</v>
      </c>
      <c r="I977" s="7">
        <v>0</v>
      </c>
      <c r="J977" s="7">
        <v>0</v>
      </c>
      <c r="K977" s="3">
        <f t="shared" si="38"/>
        <v>0</v>
      </c>
      <c r="L977" s="3"/>
      <c r="M977" s="3">
        <f t="shared" si="39"/>
        <v>0</v>
      </c>
      <c r="O977" s="5"/>
      <c r="S977" s="6"/>
    </row>
    <row r="978" spans="1:19" customFormat="1" x14ac:dyDescent="0.45">
      <c r="A978">
        <v>222342</v>
      </c>
      <c r="B978" t="s">
        <v>18320</v>
      </c>
      <c r="C978" t="s">
        <v>18321</v>
      </c>
      <c r="D978">
        <v>4</v>
      </c>
      <c r="F978" s="126"/>
      <c r="G978" s="3">
        <v>0</v>
      </c>
      <c r="H978" s="3">
        <v>0</v>
      </c>
      <c r="I978" s="3">
        <v>0</v>
      </c>
      <c r="J978" s="3">
        <v>0</v>
      </c>
      <c r="K978" s="3">
        <f t="shared" si="38"/>
        <v>0</v>
      </c>
      <c r="L978" s="3"/>
      <c r="M978" s="3">
        <f t="shared" si="39"/>
        <v>0</v>
      </c>
      <c r="O978" s="5"/>
      <c r="S978" s="6"/>
    </row>
    <row r="979" spans="1:19" customFormat="1" x14ac:dyDescent="0.45">
      <c r="A979">
        <v>222411</v>
      </c>
      <c r="B979" t="s">
        <v>18322</v>
      </c>
      <c r="C979" t="s">
        <v>18245</v>
      </c>
      <c r="D979">
        <v>9</v>
      </c>
      <c r="F979" s="126"/>
      <c r="G979" s="7">
        <v>0</v>
      </c>
      <c r="H979" s="7">
        <v>0</v>
      </c>
      <c r="I979" s="7">
        <v>0</v>
      </c>
      <c r="J979" s="7">
        <v>0</v>
      </c>
      <c r="K979" s="3">
        <f t="shared" si="38"/>
        <v>0</v>
      </c>
      <c r="L979" s="3"/>
      <c r="M979" s="3">
        <f t="shared" si="39"/>
        <v>0</v>
      </c>
      <c r="O979" s="5"/>
      <c r="S979" s="6"/>
    </row>
    <row r="980" spans="1:19" customFormat="1" x14ac:dyDescent="0.45">
      <c r="A980">
        <v>222458</v>
      </c>
      <c r="B980" t="s">
        <v>18323</v>
      </c>
      <c r="C980" t="s">
        <v>18324</v>
      </c>
      <c r="D980">
        <v>3</v>
      </c>
      <c r="F980" s="126"/>
      <c r="G980" s="3">
        <v>0</v>
      </c>
      <c r="H980" s="3">
        <v>0</v>
      </c>
      <c r="I980" s="3">
        <v>0</v>
      </c>
      <c r="J980" s="3">
        <v>0</v>
      </c>
      <c r="K980" s="3">
        <f t="shared" si="38"/>
        <v>0</v>
      </c>
      <c r="L980" s="3"/>
      <c r="M980" s="3">
        <f t="shared" si="39"/>
        <v>0</v>
      </c>
      <c r="O980" s="5"/>
      <c r="S980" s="6"/>
    </row>
    <row r="981" spans="1:19" customFormat="1" x14ac:dyDescent="0.45">
      <c r="A981">
        <v>222501</v>
      </c>
      <c r="B981" t="s">
        <v>18325</v>
      </c>
      <c r="C981" t="s">
        <v>18326</v>
      </c>
      <c r="D981">
        <v>6</v>
      </c>
      <c r="F981" s="126"/>
      <c r="G981" s="7">
        <v>0</v>
      </c>
      <c r="H981" s="7">
        <v>0</v>
      </c>
      <c r="I981" s="7">
        <v>0</v>
      </c>
      <c r="J981" s="7">
        <v>0</v>
      </c>
      <c r="K981" s="3">
        <f t="shared" si="38"/>
        <v>0</v>
      </c>
      <c r="L981" s="3"/>
      <c r="M981" s="3">
        <f t="shared" si="39"/>
        <v>0</v>
      </c>
      <c r="N981" s="7"/>
      <c r="O981" s="5"/>
      <c r="S981" s="6"/>
    </row>
    <row r="982" spans="1:19" customFormat="1" x14ac:dyDescent="0.45">
      <c r="A982">
        <v>222562</v>
      </c>
      <c r="B982" t="s">
        <v>18327</v>
      </c>
      <c r="C982" t="s">
        <v>18328</v>
      </c>
      <c r="D982">
        <v>1</v>
      </c>
      <c r="F982" s="126"/>
      <c r="G982" s="7">
        <v>0</v>
      </c>
      <c r="H982" s="7">
        <v>0</v>
      </c>
      <c r="I982" s="7">
        <v>0</v>
      </c>
      <c r="J982" s="7">
        <v>0</v>
      </c>
      <c r="K982" s="3">
        <f t="shared" si="38"/>
        <v>0</v>
      </c>
      <c r="L982" s="3"/>
      <c r="M982" s="3">
        <f t="shared" si="39"/>
        <v>0</v>
      </c>
      <c r="O982" s="5"/>
      <c r="S982" s="6"/>
    </row>
    <row r="983" spans="1:19" customFormat="1" x14ac:dyDescent="0.45">
      <c r="A983">
        <v>222564</v>
      </c>
      <c r="B983" t="s">
        <v>18329</v>
      </c>
      <c r="C983" t="s">
        <v>18330</v>
      </c>
      <c r="D983">
        <v>3</v>
      </c>
      <c r="F983" s="126"/>
      <c r="G983" s="7">
        <v>0</v>
      </c>
      <c r="H983" s="7">
        <v>0</v>
      </c>
      <c r="I983" s="7">
        <v>0</v>
      </c>
      <c r="J983" s="7">
        <v>0</v>
      </c>
      <c r="K983" s="3">
        <f t="shared" si="38"/>
        <v>0</v>
      </c>
      <c r="L983" s="3"/>
      <c r="M983" s="3">
        <f t="shared" si="39"/>
        <v>0</v>
      </c>
      <c r="O983" s="5"/>
      <c r="S983" s="6"/>
    </row>
    <row r="984" spans="1:19" customFormat="1" x14ac:dyDescent="0.45">
      <c r="A984">
        <v>222570</v>
      </c>
      <c r="B984" t="s">
        <v>18331</v>
      </c>
      <c r="C984" t="s">
        <v>18332</v>
      </c>
      <c r="D984">
        <v>2</v>
      </c>
      <c r="F984" s="126"/>
      <c r="G984" s="7">
        <v>0</v>
      </c>
      <c r="H984" s="7">
        <v>0</v>
      </c>
      <c r="I984" s="7">
        <v>0</v>
      </c>
      <c r="J984" s="7">
        <v>0</v>
      </c>
      <c r="K984" s="3">
        <f t="shared" si="38"/>
        <v>0</v>
      </c>
      <c r="L984" s="3"/>
      <c r="M984" s="3">
        <f t="shared" si="39"/>
        <v>0</v>
      </c>
      <c r="N984" s="7"/>
      <c r="O984" s="5"/>
      <c r="S984" s="6"/>
    </row>
    <row r="985" spans="1:19" customFormat="1" x14ac:dyDescent="0.45">
      <c r="A985">
        <v>222594</v>
      </c>
      <c r="B985" t="s">
        <v>18333</v>
      </c>
      <c r="C985" t="s">
        <v>18334</v>
      </c>
      <c r="D985">
        <v>2</v>
      </c>
      <c r="F985" s="126"/>
      <c r="K985" s="3">
        <f t="shared" si="38"/>
        <v>0</v>
      </c>
      <c r="L985" s="3"/>
      <c r="M985" s="3">
        <f t="shared" si="39"/>
        <v>0</v>
      </c>
      <c r="O985" s="5"/>
      <c r="S985" s="6"/>
    </row>
    <row r="986" spans="1:19" customFormat="1" x14ac:dyDescent="0.45">
      <c r="A986">
        <v>222626</v>
      </c>
      <c r="B986" t="s">
        <v>18335</v>
      </c>
      <c r="C986" t="s">
        <v>18336</v>
      </c>
      <c r="D986">
        <v>2</v>
      </c>
      <c r="F986" s="126"/>
      <c r="K986" s="3">
        <f t="shared" si="38"/>
        <v>0</v>
      </c>
      <c r="L986" s="3"/>
      <c r="M986" s="3">
        <f t="shared" si="39"/>
        <v>0</v>
      </c>
      <c r="O986" s="2" t="s">
        <v>16501</v>
      </c>
      <c r="S986" s="6"/>
    </row>
    <row r="987" spans="1:19" customFormat="1" x14ac:dyDescent="0.45">
      <c r="A987">
        <v>222906</v>
      </c>
      <c r="B987" t="s">
        <v>18337</v>
      </c>
      <c r="C987" t="s">
        <v>18338</v>
      </c>
      <c r="D987">
        <v>1</v>
      </c>
      <c r="F987" s="126"/>
      <c r="K987" s="3">
        <f t="shared" si="38"/>
        <v>0</v>
      </c>
      <c r="L987" s="3"/>
      <c r="M987" s="3">
        <f t="shared" si="39"/>
        <v>0</v>
      </c>
      <c r="O987" s="5"/>
      <c r="S987" s="6"/>
    </row>
    <row r="988" spans="1:19" customFormat="1" x14ac:dyDescent="0.45">
      <c r="A988">
        <v>222923</v>
      </c>
      <c r="B988" t="s">
        <v>18339</v>
      </c>
      <c r="C988" t="s">
        <v>16331</v>
      </c>
      <c r="D988">
        <v>1</v>
      </c>
      <c r="E988" t="s">
        <v>16331</v>
      </c>
      <c r="F988" s="126"/>
      <c r="G988" s="3">
        <v>0</v>
      </c>
      <c r="H988" s="3">
        <v>0</v>
      </c>
      <c r="I988" s="3">
        <v>0</v>
      </c>
      <c r="J988" s="3">
        <v>0</v>
      </c>
      <c r="K988" s="3">
        <f t="shared" si="38"/>
        <v>0</v>
      </c>
      <c r="L988" s="3"/>
      <c r="M988" s="3">
        <f t="shared" si="39"/>
        <v>0</v>
      </c>
      <c r="O988" s="5"/>
      <c r="S988" s="6"/>
    </row>
    <row r="989" spans="1:19" customFormat="1" x14ac:dyDescent="0.45">
      <c r="A989">
        <v>222924</v>
      </c>
      <c r="B989" t="s">
        <v>18340</v>
      </c>
      <c r="C989" t="s">
        <v>18341</v>
      </c>
      <c r="D989">
        <v>5</v>
      </c>
      <c r="F989" s="126"/>
      <c r="G989" s="3">
        <v>0</v>
      </c>
      <c r="H989" s="3">
        <v>0</v>
      </c>
      <c r="I989" s="3">
        <v>0</v>
      </c>
      <c r="J989" s="3">
        <v>0</v>
      </c>
      <c r="K989" s="3">
        <f t="shared" si="38"/>
        <v>0</v>
      </c>
      <c r="L989" s="3"/>
      <c r="M989" s="3">
        <f t="shared" si="39"/>
        <v>0</v>
      </c>
      <c r="O989" s="5"/>
      <c r="S989" s="6"/>
    </row>
    <row r="990" spans="1:19" customFormat="1" x14ac:dyDescent="0.45">
      <c r="A990">
        <v>222974</v>
      </c>
      <c r="B990" t="s">
        <v>18342</v>
      </c>
      <c r="C990" t="s">
        <v>18343</v>
      </c>
      <c r="D990">
        <v>5</v>
      </c>
      <c r="F990" s="126"/>
      <c r="G990" s="3">
        <v>0</v>
      </c>
      <c r="H990" s="3">
        <v>0</v>
      </c>
      <c r="I990" s="3">
        <v>0</v>
      </c>
      <c r="J990" s="3">
        <v>0</v>
      </c>
      <c r="K990" s="3">
        <f t="shared" si="38"/>
        <v>0</v>
      </c>
      <c r="L990" s="3"/>
      <c r="M990" s="3">
        <f t="shared" si="39"/>
        <v>0</v>
      </c>
      <c r="O990" s="5"/>
      <c r="S990" s="6"/>
    </row>
    <row r="991" spans="1:19" customFormat="1" x14ac:dyDescent="0.45">
      <c r="A991">
        <v>222981</v>
      </c>
      <c r="B991" t="s">
        <v>18344</v>
      </c>
      <c r="C991" t="s">
        <v>18345</v>
      </c>
      <c r="D991">
        <v>1</v>
      </c>
      <c r="F991" s="126"/>
      <c r="G991" s="7">
        <v>0</v>
      </c>
      <c r="H991" s="7">
        <v>0</v>
      </c>
      <c r="I991" s="7">
        <v>0</v>
      </c>
      <c r="J991" s="7">
        <v>0</v>
      </c>
      <c r="K991" s="3">
        <f t="shared" si="38"/>
        <v>0</v>
      </c>
      <c r="L991" s="3"/>
      <c r="M991" s="3">
        <f t="shared" si="39"/>
        <v>0</v>
      </c>
      <c r="O991" s="5"/>
      <c r="S991" s="6"/>
    </row>
    <row r="992" spans="1:19" customFormat="1" x14ac:dyDescent="0.45">
      <c r="A992">
        <v>222993</v>
      </c>
      <c r="B992" t="s">
        <v>18346</v>
      </c>
      <c r="C992" t="s">
        <v>18347</v>
      </c>
      <c r="D992">
        <v>18</v>
      </c>
      <c r="F992" s="126"/>
      <c r="G992" s="7">
        <v>0</v>
      </c>
      <c r="H992" s="7">
        <v>0</v>
      </c>
      <c r="I992" s="7">
        <v>0</v>
      </c>
      <c r="J992" s="7">
        <v>0</v>
      </c>
      <c r="K992" s="3">
        <f t="shared" si="38"/>
        <v>0</v>
      </c>
      <c r="L992" s="3"/>
      <c r="M992" s="3">
        <f t="shared" si="39"/>
        <v>0</v>
      </c>
      <c r="O992" s="5"/>
      <c r="S992" s="6"/>
    </row>
    <row r="993" spans="1:22" customFormat="1" x14ac:dyDescent="0.45">
      <c r="A993">
        <v>223009</v>
      </c>
      <c r="B993" t="s">
        <v>18348</v>
      </c>
      <c r="C993" t="s">
        <v>18349</v>
      </c>
      <c r="D993">
        <v>1</v>
      </c>
      <c r="F993" s="126"/>
      <c r="K993" s="3">
        <f t="shared" si="38"/>
        <v>0</v>
      </c>
      <c r="L993" s="3"/>
      <c r="M993" s="3">
        <f t="shared" si="39"/>
        <v>0</v>
      </c>
      <c r="O993" s="5"/>
      <c r="S993" s="6"/>
    </row>
    <row r="994" spans="1:22" x14ac:dyDescent="0.45">
      <c r="A994" s="124">
        <v>457963</v>
      </c>
      <c r="B994" s="124" t="s">
        <v>18350</v>
      </c>
      <c r="C994" s="124" t="s">
        <v>18351</v>
      </c>
      <c r="D994" s="124">
        <v>3</v>
      </c>
      <c r="E994" s="124" t="s">
        <v>16334</v>
      </c>
      <c r="F994" s="126">
        <v>1.6999999999999999E-3</v>
      </c>
      <c r="G994" s="135">
        <v>0.03</v>
      </c>
      <c r="H994" s="126">
        <v>6.0000000000000001E-3</v>
      </c>
      <c r="I994" s="127">
        <v>0</v>
      </c>
      <c r="J994" s="127">
        <v>0</v>
      </c>
      <c r="K994" s="126">
        <f t="shared" si="38"/>
        <v>3.5999999999999997E-2</v>
      </c>
      <c r="L994" s="3"/>
      <c r="M994" s="126">
        <f t="shared" si="39"/>
        <v>3.7699999999999997E-2</v>
      </c>
      <c r="O994" s="131" t="s">
        <v>18351</v>
      </c>
      <c r="P994" s="128" t="s">
        <v>26918</v>
      </c>
      <c r="Q994" s="124">
        <f>685403+44791</f>
        <v>730194</v>
      </c>
      <c r="R994" s="124" t="s">
        <v>16348</v>
      </c>
      <c r="S994" s="132">
        <v>685355</v>
      </c>
      <c r="T994" s="129">
        <f>S994/Q994</f>
        <v>0.93859303144095951</v>
      </c>
      <c r="V994" s="125" t="s">
        <v>18352</v>
      </c>
    </row>
    <row r="995" spans="1:22" x14ac:dyDescent="0.45">
      <c r="A995" s="124">
        <v>423327</v>
      </c>
      <c r="B995" s="124" t="s">
        <v>18353</v>
      </c>
      <c r="C995" s="125" t="s">
        <v>18354</v>
      </c>
      <c r="D995" s="124">
        <v>3</v>
      </c>
      <c r="E995" s="124" t="s">
        <v>16334</v>
      </c>
      <c r="F995" s="126">
        <v>1.6999999999999999E-3</v>
      </c>
      <c r="G995" s="127">
        <v>0.02</v>
      </c>
      <c r="H995" s="127">
        <v>0.01</v>
      </c>
      <c r="I995" s="127"/>
      <c r="J995" s="127"/>
      <c r="K995" s="126">
        <f t="shared" si="38"/>
        <v>0.03</v>
      </c>
      <c r="L995" s="9"/>
      <c r="M995" s="126">
        <f t="shared" si="39"/>
        <v>3.1699999999999999E-2</v>
      </c>
      <c r="N995" s="124" t="s">
        <v>18355</v>
      </c>
      <c r="O995" s="125" t="s">
        <v>18356</v>
      </c>
      <c r="P995" s="128" t="s">
        <v>26918</v>
      </c>
      <c r="Q995" s="132">
        <v>51207</v>
      </c>
      <c r="R995" s="124" t="s">
        <v>16348</v>
      </c>
      <c r="S995" s="130">
        <v>41218</v>
      </c>
      <c r="T995" s="129">
        <f>S995/Q995</f>
        <v>0.80492901361142033</v>
      </c>
      <c r="V995" s="125" t="s">
        <v>18357</v>
      </c>
    </row>
    <row r="996" spans="1:22" customFormat="1" x14ac:dyDescent="0.45">
      <c r="A996">
        <v>223145</v>
      </c>
      <c r="B996" t="s">
        <v>18358</v>
      </c>
      <c r="C996" t="s">
        <v>18359</v>
      </c>
      <c r="D996">
        <v>7</v>
      </c>
      <c r="F996" s="126"/>
      <c r="G996" s="7">
        <v>0</v>
      </c>
      <c r="H996" s="7">
        <v>0</v>
      </c>
      <c r="I996" s="7">
        <v>0</v>
      </c>
      <c r="J996" s="7">
        <v>0</v>
      </c>
      <c r="K996" s="3">
        <f t="shared" si="38"/>
        <v>0</v>
      </c>
      <c r="L996" s="3"/>
      <c r="M996" s="3">
        <f t="shared" si="39"/>
        <v>0</v>
      </c>
      <c r="O996" s="5"/>
      <c r="S996" s="6"/>
    </row>
    <row r="997" spans="1:22" customFormat="1" x14ac:dyDescent="0.45">
      <c r="A997">
        <v>223173</v>
      </c>
      <c r="B997" t="s">
        <v>18360</v>
      </c>
      <c r="C997" t="s">
        <v>16331</v>
      </c>
      <c r="D997">
        <v>1</v>
      </c>
      <c r="E997" t="s">
        <v>16331</v>
      </c>
      <c r="F997" s="126"/>
      <c r="G997" s="7">
        <v>0</v>
      </c>
      <c r="H997" s="7">
        <v>0</v>
      </c>
      <c r="I997" s="7">
        <v>0</v>
      </c>
      <c r="J997" s="7">
        <v>0</v>
      </c>
      <c r="K997" s="3">
        <f t="shared" si="38"/>
        <v>0</v>
      </c>
      <c r="L997" s="3"/>
      <c r="M997" s="3">
        <f t="shared" si="39"/>
        <v>0</v>
      </c>
      <c r="O997" s="5"/>
      <c r="S997" s="6"/>
    </row>
    <row r="998" spans="1:22" customFormat="1" x14ac:dyDescent="0.45">
      <c r="A998">
        <v>223282</v>
      </c>
      <c r="B998" t="s">
        <v>18361</v>
      </c>
      <c r="C998" t="s">
        <v>18362</v>
      </c>
      <c r="D998">
        <v>2</v>
      </c>
      <c r="F998" s="126"/>
      <c r="K998" s="3">
        <f t="shared" si="38"/>
        <v>0</v>
      </c>
      <c r="L998" s="3"/>
      <c r="M998" s="3">
        <f t="shared" si="39"/>
        <v>0</v>
      </c>
      <c r="O998" s="5"/>
      <c r="S998" s="6"/>
    </row>
    <row r="999" spans="1:22" customFormat="1" x14ac:dyDescent="0.45">
      <c r="A999">
        <v>223337</v>
      </c>
      <c r="B999" t="s">
        <v>18363</v>
      </c>
      <c r="C999" t="s">
        <v>16331</v>
      </c>
      <c r="D999">
        <v>1</v>
      </c>
      <c r="E999" t="s">
        <v>16331</v>
      </c>
      <c r="F999" s="126"/>
      <c r="G999" s="7">
        <v>0</v>
      </c>
      <c r="H999" s="7">
        <v>0</v>
      </c>
      <c r="I999" s="7">
        <v>0</v>
      </c>
      <c r="J999" s="7">
        <v>0</v>
      </c>
      <c r="K999" s="3">
        <f t="shared" si="38"/>
        <v>0</v>
      </c>
      <c r="L999" s="3"/>
      <c r="M999" s="3">
        <f t="shared" si="39"/>
        <v>0</v>
      </c>
      <c r="O999" s="5"/>
      <c r="S999" s="6"/>
    </row>
    <row r="1000" spans="1:22" customFormat="1" x14ac:dyDescent="0.45">
      <c r="A1000">
        <v>223376</v>
      </c>
      <c r="B1000" t="s">
        <v>18364</v>
      </c>
      <c r="C1000" t="s">
        <v>18365</v>
      </c>
      <c r="D1000">
        <v>1</v>
      </c>
      <c r="E1000" t="s">
        <v>18366</v>
      </c>
      <c r="F1000" s="126"/>
      <c r="G1000" s="7">
        <v>0</v>
      </c>
      <c r="H1000" s="7">
        <v>0</v>
      </c>
      <c r="I1000" s="7">
        <v>0</v>
      </c>
      <c r="J1000" s="7">
        <v>0</v>
      </c>
      <c r="K1000" s="3">
        <f t="shared" si="38"/>
        <v>0</v>
      </c>
      <c r="L1000" s="3"/>
      <c r="M1000" s="3">
        <f t="shared" si="39"/>
        <v>0</v>
      </c>
      <c r="O1000" s="5"/>
      <c r="S1000" s="6"/>
    </row>
    <row r="1001" spans="1:22" customFormat="1" x14ac:dyDescent="0.45">
      <c r="A1001">
        <v>223496</v>
      </c>
      <c r="B1001" t="s">
        <v>18367</v>
      </c>
      <c r="C1001" t="s">
        <v>18368</v>
      </c>
      <c r="D1001">
        <v>3</v>
      </c>
      <c r="F1001" s="126"/>
      <c r="K1001" s="3">
        <f t="shared" si="38"/>
        <v>0</v>
      </c>
      <c r="L1001" s="3"/>
      <c r="M1001" s="3">
        <f t="shared" si="39"/>
        <v>0</v>
      </c>
      <c r="O1001" s="5"/>
      <c r="S1001" s="6"/>
    </row>
    <row r="1002" spans="1:22" customFormat="1" x14ac:dyDescent="0.45">
      <c r="A1002">
        <v>223511</v>
      </c>
      <c r="B1002" t="s">
        <v>18369</v>
      </c>
      <c r="C1002" t="s">
        <v>16331</v>
      </c>
      <c r="D1002">
        <v>3</v>
      </c>
      <c r="E1002" t="s">
        <v>16331</v>
      </c>
      <c r="F1002" s="126"/>
      <c r="K1002" s="3">
        <f t="shared" si="38"/>
        <v>0</v>
      </c>
      <c r="L1002" s="3"/>
      <c r="M1002" s="3">
        <f t="shared" si="39"/>
        <v>0</v>
      </c>
      <c r="O1002" s="5"/>
      <c r="S1002" s="6"/>
    </row>
    <row r="1003" spans="1:22" customFormat="1" x14ac:dyDescent="0.45">
      <c r="A1003">
        <v>223530</v>
      </c>
      <c r="B1003" t="s">
        <v>18370</v>
      </c>
      <c r="C1003" t="s">
        <v>18371</v>
      </c>
      <c r="D1003">
        <v>5</v>
      </c>
      <c r="F1003" s="126"/>
      <c r="G1003" s="7">
        <v>0</v>
      </c>
      <c r="H1003" s="7">
        <v>0</v>
      </c>
      <c r="I1003" s="7">
        <v>0</v>
      </c>
      <c r="J1003" s="7">
        <v>0</v>
      </c>
      <c r="K1003" s="3">
        <f t="shared" si="38"/>
        <v>0</v>
      </c>
      <c r="L1003" s="3"/>
      <c r="M1003" s="3">
        <f t="shared" si="39"/>
        <v>0</v>
      </c>
      <c r="O1003" s="5"/>
      <c r="S1003" s="6"/>
    </row>
    <row r="1004" spans="1:22" customFormat="1" x14ac:dyDescent="0.45">
      <c r="A1004">
        <v>223586</v>
      </c>
      <c r="B1004" t="s">
        <v>18372</v>
      </c>
      <c r="C1004" t="s">
        <v>18373</v>
      </c>
      <c r="D1004">
        <v>6</v>
      </c>
      <c r="F1004" s="126"/>
      <c r="G1004" s="7">
        <v>0</v>
      </c>
      <c r="H1004" s="7">
        <v>0</v>
      </c>
      <c r="I1004" s="7">
        <v>0</v>
      </c>
      <c r="J1004" s="7">
        <v>0</v>
      </c>
      <c r="K1004" s="3">
        <f t="shared" si="38"/>
        <v>0</v>
      </c>
      <c r="L1004" s="3"/>
      <c r="M1004" s="3">
        <f t="shared" si="39"/>
        <v>0</v>
      </c>
      <c r="O1004" s="5"/>
      <c r="S1004" s="6"/>
    </row>
    <row r="1005" spans="1:22" x14ac:dyDescent="0.45">
      <c r="A1005" s="124">
        <v>460572</v>
      </c>
      <c r="B1005" s="124" t="s">
        <v>18374</v>
      </c>
      <c r="C1005" s="125" t="s">
        <v>18354</v>
      </c>
      <c r="D1005" s="124">
        <v>4</v>
      </c>
      <c r="E1005" s="124" t="s">
        <v>16334</v>
      </c>
      <c r="F1005" s="126">
        <v>1.6999999999999999E-3</v>
      </c>
      <c r="G1005" s="127">
        <v>0.02</v>
      </c>
      <c r="H1005" s="127">
        <v>0.01</v>
      </c>
      <c r="I1005" s="127">
        <v>0</v>
      </c>
      <c r="J1005" s="127">
        <v>0</v>
      </c>
      <c r="K1005" s="126">
        <f t="shared" si="38"/>
        <v>0.03</v>
      </c>
      <c r="L1005" s="3"/>
      <c r="M1005" s="126">
        <f t="shared" si="39"/>
        <v>3.1699999999999999E-2</v>
      </c>
      <c r="O1005" s="125" t="s">
        <v>18356</v>
      </c>
      <c r="P1005" s="128" t="s">
        <v>26918</v>
      </c>
      <c r="Q1005" s="124">
        <f>313563+83873</f>
        <v>397436</v>
      </c>
      <c r="R1005" s="124" t="s">
        <v>16348</v>
      </c>
      <c r="S1005" s="132">
        <v>297157</v>
      </c>
      <c r="T1005" s="129">
        <f>S1005/Q1005</f>
        <v>0.74768516188770018</v>
      </c>
      <c r="V1005" s="125" t="s">
        <v>18375</v>
      </c>
    </row>
    <row r="1006" spans="1:22" customFormat="1" x14ac:dyDescent="0.45">
      <c r="A1006">
        <v>223678</v>
      </c>
      <c r="B1006" t="s">
        <v>18376</v>
      </c>
      <c r="C1006" t="s">
        <v>16331</v>
      </c>
      <c r="D1006">
        <v>4</v>
      </c>
      <c r="E1006" t="s">
        <v>16331</v>
      </c>
      <c r="F1006" s="126"/>
      <c r="G1006" s="7">
        <v>0</v>
      </c>
      <c r="H1006" s="7">
        <v>0</v>
      </c>
      <c r="I1006" s="7">
        <v>0</v>
      </c>
      <c r="J1006" s="7">
        <v>0</v>
      </c>
      <c r="K1006" s="3">
        <f t="shared" si="38"/>
        <v>0</v>
      </c>
      <c r="L1006" s="3"/>
      <c r="M1006" s="3">
        <f t="shared" si="39"/>
        <v>0</v>
      </c>
      <c r="O1006" s="5"/>
      <c r="S1006" s="6"/>
    </row>
    <row r="1007" spans="1:22" customFormat="1" x14ac:dyDescent="0.45">
      <c r="A1007">
        <v>223774</v>
      </c>
      <c r="B1007" t="s">
        <v>18377</v>
      </c>
      <c r="C1007" t="s">
        <v>18378</v>
      </c>
      <c r="D1007">
        <v>5</v>
      </c>
      <c r="F1007" s="126"/>
      <c r="K1007" s="3">
        <f t="shared" si="38"/>
        <v>0</v>
      </c>
      <c r="L1007" s="3"/>
      <c r="M1007" s="3">
        <f t="shared" si="39"/>
        <v>0</v>
      </c>
      <c r="O1007" s="5"/>
      <c r="S1007" s="6"/>
    </row>
    <row r="1008" spans="1:22" customFormat="1" x14ac:dyDescent="0.45">
      <c r="A1008">
        <v>223802</v>
      </c>
      <c r="B1008" t="s">
        <v>18379</v>
      </c>
      <c r="C1008" t="s">
        <v>18380</v>
      </c>
      <c r="D1008">
        <v>9</v>
      </c>
      <c r="F1008" s="126"/>
      <c r="K1008" s="3">
        <f t="shared" si="38"/>
        <v>0</v>
      </c>
      <c r="L1008" s="3"/>
      <c r="M1008" s="3">
        <f t="shared" si="39"/>
        <v>0</v>
      </c>
      <c r="O1008" s="5"/>
      <c r="S1008" s="6"/>
    </row>
    <row r="1009" spans="1:19" customFormat="1" x14ac:dyDescent="0.45">
      <c r="A1009">
        <v>223935</v>
      </c>
      <c r="B1009" t="s">
        <v>18381</v>
      </c>
      <c r="C1009" t="s">
        <v>18382</v>
      </c>
      <c r="D1009">
        <v>2</v>
      </c>
      <c r="F1009" s="126"/>
      <c r="G1009" s="7">
        <v>0</v>
      </c>
      <c r="H1009" s="7">
        <v>0</v>
      </c>
      <c r="I1009" s="7">
        <v>0</v>
      </c>
      <c r="J1009" s="7">
        <v>0</v>
      </c>
      <c r="K1009" s="3">
        <f t="shared" si="38"/>
        <v>0</v>
      </c>
      <c r="L1009" s="3"/>
      <c r="M1009" s="3">
        <f t="shared" si="39"/>
        <v>0</v>
      </c>
      <c r="N1009" s="7"/>
      <c r="O1009" s="5"/>
      <c r="S1009" s="6"/>
    </row>
    <row r="1010" spans="1:19" customFormat="1" x14ac:dyDescent="0.45">
      <c r="A1010">
        <v>223936</v>
      </c>
      <c r="B1010" t="s">
        <v>18383</v>
      </c>
      <c r="C1010" t="s">
        <v>18384</v>
      </c>
      <c r="D1010">
        <v>5</v>
      </c>
      <c r="F1010" s="126"/>
      <c r="G1010" s="7">
        <v>0</v>
      </c>
      <c r="H1010" s="7">
        <v>0</v>
      </c>
      <c r="I1010" s="7">
        <v>0</v>
      </c>
      <c r="J1010" s="7">
        <v>0</v>
      </c>
      <c r="K1010" s="3">
        <f t="shared" si="38"/>
        <v>0</v>
      </c>
      <c r="L1010" s="3"/>
      <c r="M1010" s="3">
        <f t="shared" si="39"/>
        <v>0</v>
      </c>
      <c r="O1010" s="5"/>
      <c r="S1010" s="6"/>
    </row>
    <row r="1011" spans="1:19" customFormat="1" x14ac:dyDescent="0.45">
      <c r="A1011">
        <v>223962</v>
      </c>
      <c r="B1011" t="s">
        <v>18385</v>
      </c>
      <c r="C1011" t="s">
        <v>16331</v>
      </c>
      <c r="D1011">
        <v>4</v>
      </c>
      <c r="E1011" t="s">
        <v>16331</v>
      </c>
      <c r="F1011" s="126"/>
      <c r="G1011" s="7">
        <v>0</v>
      </c>
      <c r="H1011" s="7">
        <v>0</v>
      </c>
      <c r="I1011" s="7">
        <v>0</v>
      </c>
      <c r="J1011" s="7">
        <v>0</v>
      </c>
      <c r="K1011" s="3">
        <f t="shared" si="38"/>
        <v>0</v>
      </c>
      <c r="L1011" s="3"/>
      <c r="M1011" s="3">
        <f t="shared" si="39"/>
        <v>0</v>
      </c>
      <c r="O1011" s="5"/>
      <c r="S1011" s="6"/>
    </row>
    <row r="1012" spans="1:19" customFormat="1" x14ac:dyDescent="0.45">
      <c r="A1012">
        <v>224035</v>
      </c>
      <c r="B1012" t="s">
        <v>18386</v>
      </c>
      <c r="C1012" t="s">
        <v>16331</v>
      </c>
      <c r="D1012">
        <v>3</v>
      </c>
      <c r="E1012" t="s">
        <v>16331</v>
      </c>
      <c r="F1012" s="126"/>
      <c r="G1012" s="7">
        <v>0</v>
      </c>
      <c r="H1012" s="7">
        <v>0</v>
      </c>
      <c r="I1012" s="7">
        <v>0</v>
      </c>
      <c r="J1012" s="7">
        <v>0</v>
      </c>
      <c r="K1012" s="3">
        <f t="shared" si="38"/>
        <v>0</v>
      </c>
      <c r="L1012" s="3"/>
      <c r="M1012" s="3">
        <f t="shared" si="39"/>
        <v>0</v>
      </c>
      <c r="O1012" s="5"/>
      <c r="S1012" s="6"/>
    </row>
    <row r="1013" spans="1:19" customFormat="1" x14ac:dyDescent="0.45">
      <c r="A1013">
        <v>224131</v>
      </c>
      <c r="B1013" t="s">
        <v>18387</v>
      </c>
      <c r="C1013" s="2" t="s">
        <v>16331</v>
      </c>
      <c r="D1013">
        <v>10</v>
      </c>
      <c r="E1013" t="s">
        <v>16331</v>
      </c>
      <c r="F1013" s="126"/>
      <c r="G1013" s="7">
        <v>0</v>
      </c>
      <c r="H1013" s="7">
        <v>0</v>
      </c>
      <c r="I1013" s="7">
        <v>0</v>
      </c>
      <c r="J1013" s="7">
        <v>0</v>
      </c>
      <c r="K1013" s="3">
        <f t="shared" si="38"/>
        <v>0</v>
      </c>
      <c r="L1013" s="3"/>
      <c r="M1013" s="3">
        <f t="shared" si="39"/>
        <v>0</v>
      </c>
      <c r="O1013" s="5"/>
      <c r="S1013" s="6"/>
    </row>
    <row r="1014" spans="1:19" customFormat="1" x14ac:dyDescent="0.45">
      <c r="A1014">
        <v>224139</v>
      </c>
      <c r="B1014" t="s">
        <v>18388</v>
      </c>
      <c r="C1014" t="s">
        <v>18389</v>
      </c>
      <c r="D1014">
        <v>1</v>
      </c>
      <c r="F1014" s="126"/>
      <c r="G1014" s="7">
        <v>0</v>
      </c>
      <c r="H1014" s="7">
        <v>0</v>
      </c>
      <c r="I1014" s="7">
        <v>0</v>
      </c>
      <c r="J1014" s="7">
        <v>0</v>
      </c>
      <c r="K1014" s="3">
        <f t="shared" si="38"/>
        <v>0</v>
      </c>
      <c r="L1014" s="3"/>
      <c r="M1014" s="3">
        <f t="shared" si="39"/>
        <v>0</v>
      </c>
      <c r="O1014" s="5"/>
      <c r="S1014" s="6"/>
    </row>
    <row r="1015" spans="1:19" customFormat="1" x14ac:dyDescent="0.45">
      <c r="A1015">
        <v>224273</v>
      </c>
      <c r="B1015" t="s">
        <v>18390</v>
      </c>
      <c r="C1015" t="s">
        <v>18391</v>
      </c>
      <c r="D1015">
        <v>2</v>
      </c>
      <c r="F1015" s="126"/>
      <c r="G1015" s="7">
        <v>0</v>
      </c>
      <c r="H1015" s="7">
        <v>0</v>
      </c>
      <c r="I1015" s="7">
        <v>0</v>
      </c>
      <c r="J1015" s="7">
        <v>0</v>
      </c>
      <c r="K1015" s="3">
        <f t="shared" si="38"/>
        <v>0</v>
      </c>
      <c r="L1015" s="3"/>
      <c r="M1015" s="3">
        <f t="shared" si="39"/>
        <v>0</v>
      </c>
      <c r="O1015" s="5"/>
      <c r="S1015" s="6"/>
    </row>
    <row r="1016" spans="1:19" customFormat="1" x14ac:dyDescent="0.45">
      <c r="A1016">
        <v>224355</v>
      </c>
      <c r="B1016" t="s">
        <v>18392</v>
      </c>
      <c r="C1016" t="s">
        <v>18393</v>
      </c>
      <c r="D1016">
        <v>29</v>
      </c>
      <c r="F1016" s="126"/>
      <c r="G1016" s="7">
        <v>0</v>
      </c>
      <c r="H1016" s="7">
        <v>0</v>
      </c>
      <c r="I1016" s="7">
        <v>0</v>
      </c>
      <c r="J1016" s="7">
        <v>0</v>
      </c>
      <c r="K1016" s="3">
        <f t="shared" si="38"/>
        <v>0</v>
      </c>
      <c r="L1016" s="3"/>
      <c r="M1016" s="3">
        <f t="shared" si="39"/>
        <v>0</v>
      </c>
      <c r="O1016" s="5"/>
      <c r="S1016" s="6"/>
    </row>
    <row r="1017" spans="1:19" customFormat="1" x14ac:dyDescent="0.45">
      <c r="A1017">
        <v>224386</v>
      </c>
      <c r="B1017" t="s">
        <v>18394</v>
      </c>
      <c r="C1017" s="2" t="s">
        <v>18395</v>
      </c>
      <c r="D1017">
        <v>1</v>
      </c>
      <c r="F1017" s="126"/>
      <c r="G1017" s="7">
        <v>0</v>
      </c>
      <c r="H1017" s="7">
        <v>0</v>
      </c>
      <c r="I1017" s="7">
        <v>0</v>
      </c>
      <c r="J1017" s="7">
        <v>0</v>
      </c>
      <c r="K1017" s="3">
        <f t="shared" si="38"/>
        <v>0</v>
      </c>
      <c r="L1017" s="3"/>
      <c r="M1017" s="3">
        <f t="shared" si="39"/>
        <v>0</v>
      </c>
      <c r="O1017" s="5"/>
      <c r="S1017" s="6"/>
    </row>
    <row r="1018" spans="1:19" customFormat="1" x14ac:dyDescent="0.45">
      <c r="A1018">
        <v>224407</v>
      </c>
      <c r="B1018" t="s">
        <v>18396</v>
      </c>
      <c r="C1018" t="s">
        <v>16536</v>
      </c>
      <c r="D1018">
        <v>5</v>
      </c>
      <c r="F1018" s="126"/>
      <c r="H1018" s="3"/>
      <c r="K1018" s="3">
        <f t="shared" ref="K1018:K1031" si="40">SUM(G1018:J1018)</f>
        <v>0</v>
      </c>
      <c r="L1018" s="3"/>
      <c r="M1018" s="3">
        <f t="shared" ref="M1018:M1081" si="41">K1018+F1018</f>
        <v>0</v>
      </c>
      <c r="O1018" s="5"/>
      <c r="S1018" s="6"/>
    </row>
    <row r="1019" spans="1:19" customFormat="1" x14ac:dyDescent="0.45">
      <c r="A1019">
        <v>224443</v>
      </c>
      <c r="B1019" t="s">
        <v>18397</v>
      </c>
      <c r="C1019" t="s">
        <v>18398</v>
      </c>
      <c r="D1019">
        <v>1</v>
      </c>
      <c r="F1019" s="126"/>
      <c r="G1019" s="7">
        <v>0</v>
      </c>
      <c r="H1019" s="7">
        <v>0</v>
      </c>
      <c r="I1019" s="7">
        <v>0</v>
      </c>
      <c r="J1019" s="7">
        <v>0</v>
      </c>
      <c r="K1019" s="3">
        <f t="shared" si="40"/>
        <v>0</v>
      </c>
      <c r="L1019" s="3"/>
      <c r="M1019" s="3">
        <f t="shared" si="41"/>
        <v>0</v>
      </c>
      <c r="O1019" s="5"/>
      <c r="S1019" s="6"/>
    </row>
    <row r="1020" spans="1:19" customFormat="1" x14ac:dyDescent="0.45">
      <c r="A1020">
        <v>224475</v>
      </c>
      <c r="B1020" t="s">
        <v>18399</v>
      </c>
      <c r="C1020" t="s">
        <v>16331</v>
      </c>
      <c r="D1020">
        <v>1</v>
      </c>
      <c r="E1020" t="s">
        <v>16331</v>
      </c>
      <c r="F1020" s="126"/>
      <c r="G1020" s="7">
        <v>0</v>
      </c>
      <c r="H1020" s="7">
        <v>0</v>
      </c>
      <c r="I1020" s="7">
        <v>0</v>
      </c>
      <c r="J1020" s="7">
        <v>0</v>
      </c>
      <c r="K1020" s="3">
        <f t="shared" si="40"/>
        <v>0</v>
      </c>
      <c r="L1020" s="3"/>
      <c r="M1020" s="3">
        <f t="shared" si="41"/>
        <v>0</v>
      </c>
      <c r="O1020" s="5"/>
      <c r="S1020" s="6"/>
    </row>
    <row r="1021" spans="1:19" customFormat="1" x14ac:dyDescent="0.45">
      <c r="A1021">
        <v>224582</v>
      </c>
      <c r="B1021" t="s">
        <v>18400</v>
      </c>
      <c r="C1021" t="s">
        <v>18401</v>
      </c>
      <c r="D1021">
        <v>1</v>
      </c>
      <c r="F1021" s="126"/>
      <c r="G1021" s="3">
        <v>0</v>
      </c>
      <c r="H1021" s="3">
        <v>0</v>
      </c>
      <c r="I1021" s="3">
        <v>0</v>
      </c>
      <c r="J1021" s="3">
        <v>0</v>
      </c>
      <c r="K1021" s="3">
        <f t="shared" si="40"/>
        <v>0</v>
      </c>
      <c r="L1021" s="3"/>
      <c r="M1021" s="3">
        <f t="shared" si="41"/>
        <v>0</v>
      </c>
      <c r="O1021" s="5"/>
      <c r="S1021" s="6"/>
    </row>
    <row r="1022" spans="1:19" customFormat="1" x14ac:dyDescent="0.45">
      <c r="A1022">
        <v>224621</v>
      </c>
      <c r="B1022" t="s">
        <v>18402</v>
      </c>
      <c r="C1022" t="s">
        <v>18403</v>
      </c>
      <c r="D1022">
        <v>0</v>
      </c>
      <c r="E1022" t="s">
        <v>16561</v>
      </c>
      <c r="F1022" s="126"/>
      <c r="K1022" s="3">
        <f t="shared" si="40"/>
        <v>0</v>
      </c>
      <c r="L1022" s="3"/>
      <c r="M1022" s="3">
        <f t="shared" si="41"/>
        <v>0</v>
      </c>
      <c r="O1022" s="5"/>
      <c r="S1022" s="6"/>
    </row>
    <row r="1023" spans="1:19" customFormat="1" x14ac:dyDescent="0.45">
      <c r="A1023">
        <v>224806</v>
      </c>
      <c r="B1023" t="s">
        <v>18404</v>
      </c>
      <c r="C1023" t="s">
        <v>18405</v>
      </c>
      <c r="D1023">
        <v>1</v>
      </c>
      <c r="F1023" s="126"/>
      <c r="G1023" s="7">
        <v>0</v>
      </c>
      <c r="H1023" s="7">
        <v>0</v>
      </c>
      <c r="I1023" s="7">
        <v>0</v>
      </c>
      <c r="J1023" s="7">
        <v>0</v>
      </c>
      <c r="K1023" s="3">
        <f t="shared" si="40"/>
        <v>0</v>
      </c>
      <c r="L1023" s="3"/>
      <c r="M1023" s="3">
        <f t="shared" si="41"/>
        <v>0</v>
      </c>
      <c r="O1023" s="5"/>
      <c r="S1023" s="6"/>
    </row>
    <row r="1024" spans="1:19" customFormat="1" x14ac:dyDescent="0.45">
      <c r="A1024">
        <v>224864</v>
      </c>
      <c r="B1024" t="s">
        <v>18406</v>
      </c>
      <c r="C1024" t="s">
        <v>16331</v>
      </c>
      <c r="D1024">
        <v>1</v>
      </c>
      <c r="E1024" t="s">
        <v>16331</v>
      </c>
      <c r="F1024" s="126"/>
      <c r="G1024" s="7">
        <v>0</v>
      </c>
      <c r="H1024" s="7">
        <v>0</v>
      </c>
      <c r="I1024" s="7">
        <v>0</v>
      </c>
      <c r="J1024" s="7">
        <v>0</v>
      </c>
      <c r="K1024" s="3">
        <f t="shared" si="40"/>
        <v>0</v>
      </c>
      <c r="L1024" s="3"/>
      <c r="M1024" s="3">
        <f t="shared" si="41"/>
        <v>0</v>
      </c>
      <c r="O1024" s="5"/>
      <c r="S1024" s="6"/>
    </row>
    <row r="1025" spans="1:22" customFormat="1" x14ac:dyDescent="0.45">
      <c r="A1025">
        <v>224914</v>
      </c>
      <c r="B1025" t="s">
        <v>18407</v>
      </c>
      <c r="C1025" t="s">
        <v>18408</v>
      </c>
      <c r="D1025">
        <v>0</v>
      </c>
      <c r="E1025" t="s">
        <v>16561</v>
      </c>
      <c r="F1025" s="126"/>
      <c r="G1025" s="7">
        <v>0</v>
      </c>
      <c r="H1025" s="7">
        <v>0</v>
      </c>
      <c r="I1025" s="7">
        <v>0</v>
      </c>
      <c r="J1025" s="7">
        <v>0</v>
      </c>
      <c r="K1025" s="3">
        <f t="shared" si="40"/>
        <v>0</v>
      </c>
      <c r="L1025" s="3"/>
      <c r="M1025" s="3">
        <f t="shared" si="41"/>
        <v>0</v>
      </c>
      <c r="N1025" s="7"/>
      <c r="O1025" s="5"/>
      <c r="S1025" s="6"/>
    </row>
    <row r="1026" spans="1:22" customFormat="1" x14ac:dyDescent="0.45">
      <c r="A1026">
        <v>224999</v>
      </c>
      <c r="B1026" t="s">
        <v>18409</v>
      </c>
      <c r="C1026" t="s">
        <v>16331</v>
      </c>
      <c r="D1026">
        <v>2</v>
      </c>
      <c r="E1026" t="s">
        <v>16331</v>
      </c>
      <c r="F1026" s="126"/>
      <c r="G1026" s="7">
        <v>0</v>
      </c>
      <c r="H1026" s="7">
        <v>0</v>
      </c>
      <c r="I1026" s="7">
        <v>0</v>
      </c>
      <c r="J1026" s="7">
        <v>0</v>
      </c>
      <c r="K1026" s="3">
        <f t="shared" si="40"/>
        <v>0</v>
      </c>
      <c r="L1026" s="3"/>
      <c r="M1026" s="3">
        <f t="shared" si="41"/>
        <v>0</v>
      </c>
      <c r="O1026" s="5"/>
      <c r="S1026" s="6"/>
    </row>
    <row r="1027" spans="1:22" customFormat="1" x14ac:dyDescent="0.45">
      <c r="A1027">
        <v>225007</v>
      </c>
      <c r="B1027" t="s">
        <v>18410</v>
      </c>
      <c r="C1027" t="s">
        <v>18411</v>
      </c>
      <c r="D1027">
        <v>2</v>
      </c>
      <c r="F1027" s="126"/>
      <c r="G1027" s="7">
        <v>0</v>
      </c>
      <c r="H1027" s="7">
        <v>0</v>
      </c>
      <c r="I1027" s="7">
        <v>0</v>
      </c>
      <c r="J1027" s="7">
        <v>0</v>
      </c>
      <c r="K1027" s="3">
        <f t="shared" si="40"/>
        <v>0</v>
      </c>
      <c r="L1027" s="3"/>
      <c r="M1027" s="3">
        <f t="shared" si="41"/>
        <v>0</v>
      </c>
      <c r="O1027" s="5"/>
      <c r="S1027" s="6"/>
    </row>
    <row r="1028" spans="1:22" customFormat="1" x14ac:dyDescent="0.45">
      <c r="A1028">
        <v>225044</v>
      </c>
      <c r="B1028" t="s">
        <v>18412</v>
      </c>
      <c r="C1028" t="s">
        <v>18413</v>
      </c>
      <c r="D1028">
        <v>4</v>
      </c>
      <c r="F1028" s="126"/>
      <c r="K1028" s="3">
        <f t="shared" si="40"/>
        <v>0</v>
      </c>
      <c r="L1028" s="3"/>
      <c r="M1028" s="3">
        <f t="shared" si="41"/>
        <v>0</v>
      </c>
      <c r="O1028" s="5"/>
      <c r="P1028" t="s">
        <v>18414</v>
      </c>
      <c r="S1028" s="6"/>
    </row>
    <row r="1029" spans="1:22" customFormat="1" x14ac:dyDescent="0.45">
      <c r="A1029">
        <v>225045</v>
      </c>
      <c r="B1029" t="s">
        <v>18415</v>
      </c>
      <c r="C1029" t="s">
        <v>16331</v>
      </c>
      <c r="D1029">
        <v>1</v>
      </c>
      <c r="E1029" t="s">
        <v>16331</v>
      </c>
      <c r="F1029" s="126"/>
      <c r="K1029" s="3">
        <f t="shared" si="40"/>
        <v>0</v>
      </c>
      <c r="L1029" s="3"/>
      <c r="M1029" s="3">
        <f t="shared" si="41"/>
        <v>0</v>
      </c>
      <c r="O1029" s="5"/>
      <c r="S1029" s="6"/>
    </row>
    <row r="1030" spans="1:22" x14ac:dyDescent="0.45">
      <c r="A1030" s="124">
        <v>844410</v>
      </c>
      <c r="B1030" s="124" t="s">
        <v>18416</v>
      </c>
      <c r="C1030" s="125" t="s">
        <v>18354</v>
      </c>
      <c r="D1030" s="124">
        <v>1</v>
      </c>
      <c r="E1030" s="124" t="s">
        <v>16334</v>
      </c>
      <c r="F1030" s="126">
        <v>1.6999999999999999E-3</v>
      </c>
      <c r="G1030" s="126">
        <v>0.02</v>
      </c>
      <c r="H1030" s="126">
        <v>0.01</v>
      </c>
      <c r="I1030" s="127"/>
      <c r="J1030" s="127"/>
      <c r="K1030" s="126">
        <f t="shared" si="40"/>
        <v>0.03</v>
      </c>
      <c r="L1030" s="9"/>
      <c r="M1030" s="126">
        <f t="shared" si="41"/>
        <v>3.1699999999999999E-2</v>
      </c>
      <c r="N1030" s="124" t="s">
        <v>18417</v>
      </c>
      <c r="O1030" s="125" t="s">
        <v>18356</v>
      </c>
      <c r="P1030" s="128" t="s">
        <v>26918</v>
      </c>
      <c r="Q1030" s="124">
        <f>94069+41788</f>
        <v>135857</v>
      </c>
      <c r="R1030" s="124" t="s">
        <v>16348</v>
      </c>
      <c r="S1030" s="132">
        <v>94069</v>
      </c>
      <c r="T1030" s="129">
        <f>S1030/Q1030</f>
        <v>0.69241187425013062</v>
      </c>
      <c r="U1030" s="140"/>
      <c r="V1030" s="125" t="s">
        <v>18418</v>
      </c>
    </row>
    <row r="1031" spans="1:22" customFormat="1" x14ac:dyDescent="0.45">
      <c r="A1031">
        <v>225111</v>
      </c>
      <c r="B1031" t="s">
        <v>18419</v>
      </c>
      <c r="C1031" t="s">
        <v>16331</v>
      </c>
      <c r="D1031">
        <v>2</v>
      </c>
      <c r="E1031" t="s">
        <v>16331</v>
      </c>
      <c r="F1031" s="126"/>
      <c r="G1031" s="7">
        <v>0</v>
      </c>
      <c r="H1031" s="7">
        <v>0</v>
      </c>
      <c r="I1031" s="7">
        <v>0</v>
      </c>
      <c r="J1031" s="7">
        <v>0</v>
      </c>
      <c r="K1031" s="3">
        <f t="shared" si="40"/>
        <v>0</v>
      </c>
      <c r="L1031" s="3"/>
      <c r="M1031" s="3">
        <f t="shared" si="41"/>
        <v>0</v>
      </c>
      <c r="O1031" s="5"/>
      <c r="S1031" s="6"/>
    </row>
    <row r="1032" spans="1:22" customFormat="1" x14ac:dyDescent="0.45">
      <c r="A1032">
        <v>225112</v>
      </c>
      <c r="B1032" t="s">
        <v>18420</v>
      </c>
      <c r="C1032" t="s">
        <v>18421</v>
      </c>
      <c r="D1032">
        <v>4</v>
      </c>
      <c r="F1032" s="126"/>
      <c r="H1032" s="3"/>
      <c r="I1032" s="7"/>
      <c r="K1032" s="3">
        <v>0</v>
      </c>
      <c r="L1032" s="3"/>
      <c r="M1032" s="3">
        <f t="shared" si="41"/>
        <v>0</v>
      </c>
      <c r="O1032" s="5"/>
      <c r="S1032" s="6"/>
    </row>
    <row r="1033" spans="1:22" customFormat="1" x14ac:dyDescent="0.45">
      <c r="A1033">
        <v>225174</v>
      </c>
      <c r="B1033" t="s">
        <v>18422</v>
      </c>
      <c r="C1033" t="s">
        <v>18423</v>
      </c>
      <c r="D1033">
        <v>16</v>
      </c>
      <c r="F1033" s="126"/>
      <c r="G1033" s="7">
        <v>0</v>
      </c>
      <c r="H1033" s="7">
        <v>0</v>
      </c>
      <c r="I1033" s="7">
        <v>0</v>
      </c>
      <c r="J1033" s="7">
        <v>0</v>
      </c>
      <c r="K1033" s="3">
        <f t="shared" ref="K1033:K1065" si="42">SUM(G1033:J1033)</f>
        <v>0</v>
      </c>
      <c r="L1033" s="3"/>
      <c r="M1033" s="3">
        <f t="shared" si="41"/>
        <v>0</v>
      </c>
      <c r="N1033" s="7"/>
      <c r="O1033" s="5"/>
      <c r="S1033" s="6"/>
    </row>
    <row r="1034" spans="1:22" customFormat="1" x14ac:dyDescent="0.45">
      <c r="A1034">
        <v>225179</v>
      </c>
      <c r="B1034" t="s">
        <v>18424</v>
      </c>
      <c r="C1034" t="s">
        <v>18425</v>
      </c>
      <c r="D1034">
        <v>2</v>
      </c>
      <c r="F1034" s="126"/>
      <c r="G1034" s="7">
        <v>0</v>
      </c>
      <c r="H1034" s="7">
        <v>0</v>
      </c>
      <c r="I1034" s="7">
        <v>0</v>
      </c>
      <c r="J1034" s="7">
        <v>0</v>
      </c>
      <c r="K1034" s="3">
        <f t="shared" si="42"/>
        <v>0</v>
      </c>
      <c r="L1034" s="3"/>
      <c r="M1034" s="3">
        <f t="shared" si="41"/>
        <v>0</v>
      </c>
      <c r="O1034" s="5"/>
      <c r="S1034" s="6"/>
    </row>
    <row r="1035" spans="1:22" customFormat="1" x14ac:dyDescent="0.45">
      <c r="A1035">
        <v>225183</v>
      </c>
      <c r="B1035" t="s">
        <v>18426</v>
      </c>
      <c r="C1035" t="s">
        <v>16331</v>
      </c>
      <c r="D1035">
        <v>5</v>
      </c>
      <c r="E1035" t="s">
        <v>16331</v>
      </c>
      <c r="F1035" s="126"/>
      <c r="G1035" s="7">
        <v>0</v>
      </c>
      <c r="H1035" s="7">
        <v>0</v>
      </c>
      <c r="I1035" s="7">
        <v>0</v>
      </c>
      <c r="J1035" s="7">
        <v>0</v>
      </c>
      <c r="K1035" s="3">
        <f t="shared" si="42"/>
        <v>0</v>
      </c>
      <c r="L1035" s="3"/>
      <c r="M1035" s="3">
        <f t="shared" si="41"/>
        <v>0</v>
      </c>
      <c r="O1035" s="5"/>
      <c r="S1035" s="6"/>
    </row>
    <row r="1036" spans="1:22" customFormat="1" x14ac:dyDescent="0.45">
      <c r="A1036">
        <v>225249</v>
      </c>
      <c r="B1036" t="s">
        <v>18427</v>
      </c>
      <c r="C1036" s="2" t="s">
        <v>18428</v>
      </c>
      <c r="D1036">
        <v>3</v>
      </c>
      <c r="F1036" s="126"/>
      <c r="G1036" s="3">
        <v>0</v>
      </c>
      <c r="H1036" s="3">
        <v>0</v>
      </c>
      <c r="I1036" s="3">
        <v>0</v>
      </c>
      <c r="J1036" s="3">
        <v>0</v>
      </c>
      <c r="K1036" s="3">
        <f t="shared" si="42"/>
        <v>0</v>
      </c>
      <c r="L1036" s="3"/>
      <c r="M1036" s="3">
        <f t="shared" si="41"/>
        <v>0</v>
      </c>
      <c r="O1036" s="5"/>
      <c r="S1036" s="6"/>
    </row>
    <row r="1037" spans="1:22" customFormat="1" x14ac:dyDescent="0.45">
      <c r="A1037">
        <v>225286</v>
      </c>
      <c r="B1037" t="s">
        <v>18429</v>
      </c>
      <c r="C1037" t="s">
        <v>18430</v>
      </c>
      <c r="D1037">
        <v>4</v>
      </c>
      <c r="F1037" s="126"/>
      <c r="G1037" s="7">
        <v>0</v>
      </c>
      <c r="H1037" s="7">
        <v>0</v>
      </c>
      <c r="I1037" s="7">
        <v>0</v>
      </c>
      <c r="J1037" s="7">
        <v>0</v>
      </c>
      <c r="K1037" s="3">
        <f t="shared" si="42"/>
        <v>0</v>
      </c>
      <c r="L1037" s="3"/>
      <c r="M1037" s="3">
        <f t="shared" si="41"/>
        <v>0</v>
      </c>
      <c r="O1037" s="5"/>
      <c r="S1037" s="6"/>
    </row>
    <row r="1038" spans="1:22" customFormat="1" x14ac:dyDescent="0.45">
      <c r="A1038">
        <v>225350</v>
      </c>
      <c r="B1038" t="s">
        <v>18431</v>
      </c>
      <c r="C1038" t="s">
        <v>18432</v>
      </c>
      <c r="D1038">
        <v>4</v>
      </c>
      <c r="F1038" s="126"/>
      <c r="G1038" s="7">
        <v>0</v>
      </c>
      <c r="H1038" s="7">
        <v>0</v>
      </c>
      <c r="I1038" s="7">
        <v>0</v>
      </c>
      <c r="J1038" s="7">
        <v>0</v>
      </c>
      <c r="K1038" s="3">
        <f t="shared" si="42"/>
        <v>0</v>
      </c>
      <c r="L1038" s="3"/>
      <c r="M1038" s="3">
        <f t="shared" si="41"/>
        <v>0</v>
      </c>
      <c r="O1038" s="5"/>
      <c r="S1038" s="6"/>
    </row>
    <row r="1039" spans="1:22" customFormat="1" x14ac:dyDescent="0.45">
      <c r="A1039">
        <v>225367</v>
      </c>
      <c r="B1039" t="s">
        <v>18433</v>
      </c>
      <c r="C1039" t="s">
        <v>16331</v>
      </c>
      <c r="D1039">
        <v>1</v>
      </c>
      <c r="E1039" t="s">
        <v>16331</v>
      </c>
      <c r="F1039" s="126"/>
      <c r="G1039" s="7">
        <v>0</v>
      </c>
      <c r="H1039" s="7">
        <v>0</v>
      </c>
      <c r="I1039" s="7">
        <v>0</v>
      </c>
      <c r="J1039" s="7">
        <v>0</v>
      </c>
      <c r="K1039" s="3">
        <f t="shared" si="42"/>
        <v>0</v>
      </c>
      <c r="L1039" s="3"/>
      <c r="M1039" s="3">
        <f t="shared" si="41"/>
        <v>0</v>
      </c>
      <c r="O1039" s="5"/>
      <c r="S1039" s="6"/>
    </row>
    <row r="1040" spans="1:22" customFormat="1" x14ac:dyDescent="0.45">
      <c r="A1040">
        <v>225376</v>
      </c>
      <c r="B1040" t="s">
        <v>18434</v>
      </c>
      <c r="C1040" t="s">
        <v>18435</v>
      </c>
      <c r="D1040">
        <v>5</v>
      </c>
      <c r="F1040" s="126"/>
      <c r="G1040" s="7">
        <v>0</v>
      </c>
      <c r="H1040" s="7">
        <v>0</v>
      </c>
      <c r="I1040" s="7">
        <v>0</v>
      </c>
      <c r="J1040" s="7">
        <v>0</v>
      </c>
      <c r="K1040" s="3">
        <f t="shared" si="42"/>
        <v>0</v>
      </c>
      <c r="L1040" s="3"/>
      <c r="M1040" s="3">
        <f t="shared" si="41"/>
        <v>0</v>
      </c>
      <c r="O1040" s="5"/>
      <c r="S1040" s="6"/>
    </row>
    <row r="1041" spans="1:22" customFormat="1" x14ac:dyDescent="0.45">
      <c r="A1041">
        <v>225384</v>
      </c>
      <c r="B1041" t="s">
        <v>18436</v>
      </c>
      <c r="C1041" t="s">
        <v>18437</v>
      </c>
      <c r="D1041">
        <v>1</v>
      </c>
      <c r="F1041" s="126"/>
      <c r="G1041" s="7">
        <v>0</v>
      </c>
      <c r="H1041" s="7">
        <v>0</v>
      </c>
      <c r="I1041" s="7">
        <v>0</v>
      </c>
      <c r="J1041" s="7">
        <v>0</v>
      </c>
      <c r="K1041" s="3">
        <f t="shared" si="42"/>
        <v>0</v>
      </c>
      <c r="L1041" s="3"/>
      <c r="M1041" s="3">
        <f t="shared" si="41"/>
        <v>0</v>
      </c>
      <c r="N1041" s="7"/>
      <c r="O1041" s="5"/>
      <c r="S1041" s="6"/>
    </row>
    <row r="1042" spans="1:22" customFormat="1" x14ac:dyDescent="0.45">
      <c r="A1042">
        <v>225401</v>
      </c>
      <c r="B1042" t="s">
        <v>18438</v>
      </c>
      <c r="C1042" s="2" t="s">
        <v>16331</v>
      </c>
      <c r="D1042">
        <v>2</v>
      </c>
      <c r="E1042" t="s">
        <v>16331</v>
      </c>
      <c r="F1042" s="126"/>
      <c r="G1042" s="3">
        <v>0</v>
      </c>
      <c r="H1042" s="3">
        <v>0</v>
      </c>
      <c r="I1042" s="3">
        <v>0</v>
      </c>
      <c r="J1042" s="3">
        <v>0</v>
      </c>
      <c r="K1042" s="3">
        <f t="shared" si="42"/>
        <v>0</v>
      </c>
      <c r="L1042" s="3"/>
      <c r="M1042" s="3">
        <f t="shared" si="41"/>
        <v>0</v>
      </c>
      <c r="O1042" s="5"/>
      <c r="S1042" s="6"/>
    </row>
    <row r="1043" spans="1:22" customFormat="1" x14ac:dyDescent="0.45">
      <c r="A1043">
        <v>225488</v>
      </c>
      <c r="B1043" t="s">
        <v>18439</v>
      </c>
      <c r="C1043" t="s">
        <v>18440</v>
      </c>
      <c r="D1043">
        <v>18</v>
      </c>
      <c r="F1043" s="126"/>
      <c r="G1043" s="7">
        <v>0</v>
      </c>
      <c r="H1043" s="7">
        <v>0</v>
      </c>
      <c r="I1043" s="7">
        <v>0</v>
      </c>
      <c r="J1043" s="7">
        <v>0</v>
      </c>
      <c r="K1043" s="3">
        <f t="shared" si="42"/>
        <v>0</v>
      </c>
      <c r="L1043" s="3"/>
      <c r="M1043" s="3">
        <f t="shared" si="41"/>
        <v>0</v>
      </c>
      <c r="O1043" s="5"/>
      <c r="S1043" s="6"/>
    </row>
    <row r="1044" spans="1:22" customFormat="1" x14ac:dyDescent="0.45">
      <c r="A1044">
        <v>225495</v>
      </c>
      <c r="B1044" t="s">
        <v>18441</v>
      </c>
      <c r="C1044" t="s">
        <v>18442</v>
      </c>
      <c r="D1044">
        <v>4</v>
      </c>
      <c r="F1044" s="126"/>
      <c r="G1044" s="7">
        <v>0</v>
      </c>
      <c r="H1044" s="7">
        <v>0</v>
      </c>
      <c r="I1044" s="7">
        <v>0</v>
      </c>
      <c r="J1044" s="7">
        <v>0</v>
      </c>
      <c r="K1044" s="3">
        <f t="shared" si="42"/>
        <v>0</v>
      </c>
      <c r="L1044" s="3"/>
      <c r="M1044" s="3">
        <f t="shared" si="41"/>
        <v>0</v>
      </c>
      <c r="O1044" s="5"/>
      <c r="S1044" s="6"/>
    </row>
    <row r="1045" spans="1:22" customFormat="1" x14ac:dyDescent="0.45">
      <c r="A1045">
        <v>225509</v>
      </c>
      <c r="B1045" t="s">
        <v>18443</v>
      </c>
      <c r="C1045" t="s">
        <v>18444</v>
      </c>
      <c r="D1045">
        <v>0</v>
      </c>
      <c r="E1045" t="s">
        <v>16561</v>
      </c>
      <c r="F1045" s="126"/>
      <c r="G1045" s="7">
        <v>0</v>
      </c>
      <c r="H1045" s="7">
        <v>0</v>
      </c>
      <c r="I1045" s="7">
        <v>0</v>
      </c>
      <c r="J1045" s="7">
        <v>0</v>
      </c>
      <c r="K1045" s="3">
        <f t="shared" si="42"/>
        <v>0</v>
      </c>
      <c r="L1045" s="3"/>
      <c r="M1045" s="3">
        <f t="shared" si="41"/>
        <v>0</v>
      </c>
      <c r="N1045" s="7"/>
      <c r="O1045" s="5"/>
      <c r="S1045" s="6"/>
    </row>
    <row r="1046" spans="1:22" customFormat="1" x14ac:dyDescent="0.45">
      <c r="A1046">
        <v>225538</v>
      </c>
      <c r="B1046" t="s">
        <v>18445</v>
      </c>
      <c r="C1046" t="s">
        <v>18446</v>
      </c>
      <c r="D1046">
        <v>28</v>
      </c>
      <c r="F1046" s="126"/>
      <c r="G1046" s="7">
        <v>0</v>
      </c>
      <c r="H1046" s="7">
        <v>0</v>
      </c>
      <c r="I1046" s="7">
        <v>0</v>
      </c>
      <c r="J1046" s="7">
        <v>0</v>
      </c>
      <c r="K1046" s="3">
        <f t="shared" si="42"/>
        <v>0</v>
      </c>
      <c r="L1046" s="3"/>
      <c r="M1046" s="3">
        <f t="shared" si="41"/>
        <v>0</v>
      </c>
      <c r="O1046" s="5"/>
      <c r="S1046" s="6"/>
    </row>
    <row r="1047" spans="1:22" customFormat="1" x14ac:dyDescent="0.45">
      <c r="A1047">
        <v>225553</v>
      </c>
      <c r="B1047" t="s">
        <v>18447</v>
      </c>
      <c r="C1047" t="s">
        <v>16331</v>
      </c>
      <c r="D1047">
        <v>2</v>
      </c>
      <c r="E1047" t="s">
        <v>16331</v>
      </c>
      <c r="F1047" s="126"/>
      <c r="G1047" s="7">
        <v>0</v>
      </c>
      <c r="H1047" s="7">
        <v>0</v>
      </c>
      <c r="I1047" s="7">
        <v>0</v>
      </c>
      <c r="J1047" s="7">
        <v>0</v>
      </c>
      <c r="K1047" s="3">
        <f t="shared" si="42"/>
        <v>0</v>
      </c>
      <c r="L1047" s="3"/>
      <c r="M1047" s="3">
        <f t="shared" si="41"/>
        <v>0</v>
      </c>
      <c r="O1047" s="5"/>
      <c r="S1047" s="6"/>
    </row>
    <row r="1048" spans="1:22" customFormat="1" x14ac:dyDescent="0.45">
      <c r="A1048">
        <v>225566</v>
      </c>
      <c r="B1048" t="s">
        <v>18448</v>
      </c>
      <c r="C1048" t="s">
        <v>18449</v>
      </c>
      <c r="D1048">
        <v>11</v>
      </c>
      <c r="F1048" s="126"/>
      <c r="G1048" s="7">
        <v>0</v>
      </c>
      <c r="H1048" s="7">
        <v>0</v>
      </c>
      <c r="I1048" s="7">
        <v>0</v>
      </c>
      <c r="J1048" s="7">
        <v>0</v>
      </c>
      <c r="K1048" s="3">
        <f t="shared" si="42"/>
        <v>0</v>
      </c>
      <c r="L1048" s="3"/>
      <c r="M1048" s="3">
        <f t="shared" si="41"/>
        <v>0</v>
      </c>
      <c r="O1048" s="5"/>
      <c r="S1048" s="6"/>
    </row>
    <row r="1049" spans="1:22" customFormat="1" x14ac:dyDescent="0.45">
      <c r="A1049">
        <v>225607</v>
      </c>
      <c r="B1049" t="s">
        <v>18450</v>
      </c>
      <c r="C1049" t="s">
        <v>16331</v>
      </c>
      <c r="D1049">
        <v>1</v>
      </c>
      <c r="E1049" t="s">
        <v>16331</v>
      </c>
      <c r="F1049" s="126"/>
      <c r="G1049" s="7">
        <v>0</v>
      </c>
      <c r="H1049" s="7">
        <v>0</v>
      </c>
      <c r="I1049" s="7">
        <v>0</v>
      </c>
      <c r="J1049" s="7">
        <v>0</v>
      </c>
      <c r="K1049" s="3">
        <f t="shared" si="42"/>
        <v>0</v>
      </c>
      <c r="L1049" s="3"/>
      <c r="M1049" s="3">
        <f t="shared" si="41"/>
        <v>0</v>
      </c>
      <c r="O1049" s="5"/>
      <c r="S1049" s="6"/>
    </row>
    <row r="1050" spans="1:22" customFormat="1" x14ac:dyDescent="0.45">
      <c r="A1050">
        <v>225634</v>
      </c>
      <c r="B1050" t="s">
        <v>18451</v>
      </c>
      <c r="C1050" t="s">
        <v>18452</v>
      </c>
      <c r="D1050">
        <v>3</v>
      </c>
      <c r="F1050" s="126"/>
      <c r="G1050" s="3">
        <v>0</v>
      </c>
      <c r="H1050" s="3">
        <v>0</v>
      </c>
      <c r="I1050" s="3">
        <v>0</v>
      </c>
      <c r="J1050" s="3">
        <v>0</v>
      </c>
      <c r="K1050" s="3">
        <f t="shared" si="42"/>
        <v>0</v>
      </c>
      <c r="L1050" s="3"/>
      <c r="M1050" s="3">
        <f t="shared" si="41"/>
        <v>0</v>
      </c>
      <c r="O1050" s="5"/>
      <c r="S1050" s="6"/>
    </row>
    <row r="1051" spans="1:22" customFormat="1" x14ac:dyDescent="0.45">
      <c r="A1051">
        <v>225795</v>
      </c>
      <c r="B1051" t="s">
        <v>18453</v>
      </c>
      <c r="C1051" t="s">
        <v>18454</v>
      </c>
      <c r="D1051">
        <v>14</v>
      </c>
      <c r="F1051" s="126"/>
      <c r="G1051" s="7">
        <v>0</v>
      </c>
      <c r="H1051" s="7">
        <v>0</v>
      </c>
      <c r="I1051" s="7">
        <v>0</v>
      </c>
      <c r="J1051" s="7">
        <v>0</v>
      </c>
      <c r="K1051" s="3">
        <f t="shared" si="42"/>
        <v>0</v>
      </c>
      <c r="L1051" s="3"/>
      <c r="M1051" s="3">
        <f t="shared" si="41"/>
        <v>0</v>
      </c>
      <c r="O1051" s="5"/>
      <c r="S1051" s="6"/>
    </row>
    <row r="1052" spans="1:22" customFormat="1" x14ac:dyDescent="0.45">
      <c r="A1052">
        <v>225814</v>
      </c>
      <c r="B1052" t="s">
        <v>18455</v>
      </c>
      <c r="C1052" t="s">
        <v>18456</v>
      </c>
      <c r="D1052">
        <v>22</v>
      </c>
      <c r="F1052" s="126"/>
      <c r="G1052" s="7">
        <v>0</v>
      </c>
      <c r="H1052" s="7">
        <v>0</v>
      </c>
      <c r="I1052" s="7">
        <v>0</v>
      </c>
      <c r="J1052" s="7">
        <v>0</v>
      </c>
      <c r="K1052" s="3">
        <f t="shared" si="42"/>
        <v>0</v>
      </c>
      <c r="L1052" s="3"/>
      <c r="M1052" s="3">
        <f t="shared" si="41"/>
        <v>0</v>
      </c>
      <c r="N1052" s="7"/>
      <c r="O1052" s="5"/>
      <c r="S1052" s="6"/>
    </row>
    <row r="1053" spans="1:22" customFormat="1" x14ac:dyDescent="0.45">
      <c r="A1053">
        <v>225825</v>
      </c>
      <c r="B1053" t="s">
        <v>18457</v>
      </c>
      <c r="C1053" t="s">
        <v>18458</v>
      </c>
      <c r="D1053">
        <v>1</v>
      </c>
      <c r="F1053" s="126"/>
      <c r="G1053" s="7">
        <v>0</v>
      </c>
      <c r="H1053" s="7">
        <v>0</v>
      </c>
      <c r="I1053" s="7">
        <v>0</v>
      </c>
      <c r="J1053" s="7">
        <v>0</v>
      </c>
      <c r="K1053" s="3">
        <f t="shared" si="42"/>
        <v>0</v>
      </c>
      <c r="L1053" s="3"/>
      <c r="M1053" s="3">
        <f t="shared" si="41"/>
        <v>0</v>
      </c>
      <c r="N1053" s="7"/>
      <c r="O1053" s="5"/>
      <c r="S1053" s="6"/>
    </row>
    <row r="1054" spans="1:22" x14ac:dyDescent="0.45">
      <c r="A1054" s="124">
        <v>170982</v>
      </c>
      <c r="B1054" s="124" t="s">
        <v>18459</v>
      </c>
      <c r="C1054" s="124" t="s">
        <v>18460</v>
      </c>
      <c r="D1054" s="124">
        <v>6</v>
      </c>
      <c r="E1054" s="124" t="s">
        <v>16334</v>
      </c>
      <c r="F1054" s="126">
        <v>1.6999999999999999E-3</v>
      </c>
      <c r="G1054" s="126">
        <v>0.02</v>
      </c>
      <c r="H1054" s="126">
        <v>5.0000000000000001E-3</v>
      </c>
      <c r="I1054" s="127">
        <v>0</v>
      </c>
      <c r="J1054" s="127">
        <v>0</v>
      </c>
      <c r="K1054" s="126">
        <f t="shared" si="42"/>
        <v>2.5000000000000001E-2</v>
      </c>
      <c r="L1054" s="3"/>
      <c r="M1054" s="126">
        <f t="shared" si="41"/>
        <v>2.6700000000000002E-2</v>
      </c>
      <c r="O1054" s="125" t="s">
        <v>18461</v>
      </c>
      <c r="P1054" s="128" t="s">
        <v>26918</v>
      </c>
      <c r="Q1054" s="130">
        <v>314916</v>
      </c>
      <c r="R1054" s="124" t="s">
        <v>16348</v>
      </c>
      <c r="S1054" s="130">
        <v>313669</v>
      </c>
      <c r="T1054" s="129">
        <f>S1054/Q1054</f>
        <v>0.99604021389830943</v>
      </c>
      <c r="V1054" s="125" t="s">
        <v>18462</v>
      </c>
    </row>
    <row r="1055" spans="1:22" customFormat="1" x14ac:dyDescent="0.45">
      <c r="A1055">
        <v>226032</v>
      </c>
      <c r="B1055" t="s">
        <v>18463</v>
      </c>
      <c r="C1055" t="s">
        <v>18464</v>
      </c>
      <c r="D1055">
        <v>1</v>
      </c>
      <c r="F1055" s="126"/>
      <c r="G1055" s="7">
        <v>0</v>
      </c>
      <c r="H1055" s="7">
        <v>0</v>
      </c>
      <c r="I1055" s="7">
        <v>0</v>
      </c>
      <c r="J1055" s="7">
        <v>0</v>
      </c>
      <c r="K1055" s="3">
        <f t="shared" si="42"/>
        <v>0</v>
      </c>
      <c r="L1055" s="3"/>
      <c r="M1055" s="3">
        <f t="shared" si="41"/>
        <v>0</v>
      </c>
      <c r="O1055" s="5"/>
      <c r="S1055" s="6"/>
    </row>
    <row r="1056" spans="1:22" customFormat="1" x14ac:dyDescent="0.45">
      <c r="A1056">
        <v>226033</v>
      </c>
      <c r="B1056" t="s">
        <v>18465</v>
      </c>
      <c r="C1056" t="s">
        <v>16331</v>
      </c>
      <c r="D1056">
        <v>2</v>
      </c>
      <c r="E1056" t="s">
        <v>16331</v>
      </c>
      <c r="F1056" s="126"/>
      <c r="G1056" s="7">
        <v>0</v>
      </c>
      <c r="H1056" s="7">
        <v>0</v>
      </c>
      <c r="I1056" s="7">
        <v>0</v>
      </c>
      <c r="J1056" s="7">
        <v>0</v>
      </c>
      <c r="K1056" s="3">
        <f t="shared" si="42"/>
        <v>0</v>
      </c>
      <c r="L1056" s="3"/>
      <c r="M1056" s="3">
        <f t="shared" si="41"/>
        <v>0</v>
      </c>
      <c r="O1056" s="5"/>
      <c r="S1056" s="6"/>
    </row>
    <row r="1057" spans="1:22" customFormat="1" x14ac:dyDescent="0.45">
      <c r="A1057">
        <v>226154</v>
      </c>
      <c r="B1057" t="s">
        <v>18466</v>
      </c>
      <c r="C1057" t="s">
        <v>18467</v>
      </c>
      <c r="D1057">
        <v>1</v>
      </c>
      <c r="F1057" s="126"/>
      <c r="G1057" s="7">
        <v>0</v>
      </c>
      <c r="H1057" s="7">
        <v>0</v>
      </c>
      <c r="I1057" s="7">
        <v>0</v>
      </c>
      <c r="J1057" s="7">
        <v>0</v>
      </c>
      <c r="K1057" s="3">
        <f t="shared" si="42"/>
        <v>0</v>
      </c>
      <c r="L1057" s="3"/>
      <c r="M1057" s="3">
        <f t="shared" si="41"/>
        <v>0</v>
      </c>
      <c r="O1057" s="5"/>
      <c r="S1057" s="6"/>
    </row>
    <row r="1058" spans="1:22" customFormat="1" x14ac:dyDescent="0.45">
      <c r="A1058">
        <v>226263</v>
      </c>
      <c r="B1058" t="s">
        <v>18468</v>
      </c>
      <c r="C1058" t="s">
        <v>16331</v>
      </c>
      <c r="D1058">
        <v>2</v>
      </c>
      <c r="E1058" t="s">
        <v>16331</v>
      </c>
      <c r="F1058" s="126"/>
      <c r="G1058" s="7">
        <v>0</v>
      </c>
      <c r="H1058" s="7">
        <v>0</v>
      </c>
      <c r="I1058" s="7">
        <v>0</v>
      </c>
      <c r="J1058" s="7">
        <v>0</v>
      </c>
      <c r="K1058" s="3">
        <f t="shared" si="42"/>
        <v>0</v>
      </c>
      <c r="L1058" s="3"/>
      <c r="M1058" s="3">
        <f t="shared" si="41"/>
        <v>0</v>
      </c>
      <c r="O1058" s="5"/>
      <c r="S1058" s="6"/>
    </row>
    <row r="1059" spans="1:22" customFormat="1" x14ac:dyDescent="0.45">
      <c r="A1059">
        <v>226338</v>
      </c>
      <c r="B1059" t="s">
        <v>18469</v>
      </c>
      <c r="C1059" t="s">
        <v>18470</v>
      </c>
      <c r="D1059">
        <v>2</v>
      </c>
      <c r="F1059" s="126"/>
      <c r="K1059" s="3">
        <f t="shared" si="42"/>
        <v>0</v>
      </c>
      <c r="L1059" s="3"/>
      <c r="M1059" s="3">
        <f t="shared" si="41"/>
        <v>0</v>
      </c>
      <c r="O1059" s="5"/>
      <c r="S1059" s="6"/>
    </row>
    <row r="1060" spans="1:22" customFormat="1" x14ac:dyDescent="0.45">
      <c r="A1060">
        <v>226344</v>
      </c>
      <c r="B1060" t="s">
        <v>18471</v>
      </c>
      <c r="C1060" t="s">
        <v>18472</v>
      </c>
      <c r="D1060">
        <v>45</v>
      </c>
      <c r="E1060" t="s">
        <v>16417</v>
      </c>
      <c r="F1060" s="126"/>
      <c r="G1060" s="3">
        <v>0</v>
      </c>
      <c r="H1060" s="3">
        <v>0</v>
      </c>
      <c r="I1060" s="3">
        <v>0</v>
      </c>
      <c r="J1060" s="3">
        <v>0</v>
      </c>
      <c r="K1060" s="3">
        <f t="shared" si="42"/>
        <v>0</v>
      </c>
      <c r="L1060" s="3"/>
      <c r="M1060" s="3">
        <f t="shared" si="41"/>
        <v>0</v>
      </c>
      <c r="O1060" s="5"/>
      <c r="S1060" s="6"/>
    </row>
    <row r="1061" spans="1:22" customFormat="1" x14ac:dyDescent="0.45">
      <c r="A1061">
        <v>226348</v>
      </c>
      <c r="B1061" t="s">
        <v>18473</v>
      </c>
      <c r="C1061" t="s">
        <v>18474</v>
      </c>
      <c r="D1061">
        <v>1</v>
      </c>
      <c r="F1061" s="126"/>
      <c r="K1061" s="3">
        <f t="shared" si="42"/>
        <v>0</v>
      </c>
      <c r="L1061" s="3"/>
      <c r="M1061" s="3">
        <f t="shared" si="41"/>
        <v>0</v>
      </c>
      <c r="O1061" s="5"/>
      <c r="S1061" s="6"/>
    </row>
    <row r="1062" spans="1:22" customFormat="1" x14ac:dyDescent="0.45">
      <c r="A1062">
        <v>226351</v>
      </c>
      <c r="B1062" t="s">
        <v>18475</v>
      </c>
      <c r="C1062" t="s">
        <v>18476</v>
      </c>
      <c r="D1062">
        <v>1</v>
      </c>
      <c r="F1062" s="126"/>
      <c r="G1062" s="7">
        <v>0</v>
      </c>
      <c r="H1062" s="7">
        <v>0</v>
      </c>
      <c r="I1062" s="7">
        <v>0</v>
      </c>
      <c r="J1062" s="7">
        <v>0</v>
      </c>
      <c r="K1062" s="3">
        <f t="shared" si="42"/>
        <v>0</v>
      </c>
      <c r="L1062" s="3"/>
      <c r="M1062" s="3">
        <f t="shared" si="41"/>
        <v>0</v>
      </c>
      <c r="N1062" s="7"/>
      <c r="O1062" s="5"/>
      <c r="S1062" s="6"/>
    </row>
    <row r="1063" spans="1:22" customFormat="1" x14ac:dyDescent="0.45">
      <c r="A1063">
        <v>226353</v>
      </c>
      <c r="B1063" t="s">
        <v>18477</v>
      </c>
      <c r="C1063" t="s">
        <v>18478</v>
      </c>
      <c r="D1063">
        <v>1</v>
      </c>
      <c r="F1063" s="126"/>
      <c r="G1063" s="7">
        <v>0</v>
      </c>
      <c r="H1063" s="7">
        <v>0</v>
      </c>
      <c r="I1063" s="7">
        <v>0</v>
      </c>
      <c r="J1063" s="7">
        <v>0</v>
      </c>
      <c r="K1063" s="3">
        <f t="shared" si="42"/>
        <v>0</v>
      </c>
      <c r="L1063" s="3"/>
      <c r="M1063" s="3">
        <f t="shared" si="41"/>
        <v>0</v>
      </c>
      <c r="O1063" s="5"/>
      <c r="S1063" s="6"/>
    </row>
    <row r="1064" spans="1:22" customFormat="1" x14ac:dyDescent="0.45">
      <c r="A1064">
        <v>226354</v>
      </c>
      <c r="B1064" t="s">
        <v>18479</v>
      </c>
      <c r="C1064" t="s">
        <v>18480</v>
      </c>
      <c r="D1064">
        <v>1</v>
      </c>
      <c r="F1064" s="126"/>
      <c r="G1064" s="7">
        <v>0</v>
      </c>
      <c r="H1064" s="7">
        <v>0</v>
      </c>
      <c r="I1064" s="7">
        <v>0</v>
      </c>
      <c r="J1064" s="7">
        <v>0</v>
      </c>
      <c r="K1064" s="3">
        <f t="shared" si="42"/>
        <v>0</v>
      </c>
      <c r="L1064" s="3"/>
      <c r="M1064" s="3">
        <f t="shared" si="41"/>
        <v>0</v>
      </c>
      <c r="O1064" s="5"/>
      <c r="S1064" s="6"/>
    </row>
    <row r="1065" spans="1:22" customFormat="1" x14ac:dyDescent="0.45">
      <c r="A1065">
        <v>226391</v>
      </c>
      <c r="B1065" t="s">
        <v>18481</v>
      </c>
      <c r="C1065" t="s">
        <v>18482</v>
      </c>
      <c r="D1065">
        <v>2</v>
      </c>
      <c r="F1065" s="126"/>
      <c r="G1065" s="7">
        <v>0</v>
      </c>
      <c r="H1065" s="7">
        <v>0</v>
      </c>
      <c r="I1065" s="7">
        <v>0</v>
      </c>
      <c r="J1065" s="7">
        <v>0</v>
      </c>
      <c r="K1065" s="3">
        <f t="shared" si="42"/>
        <v>0</v>
      </c>
      <c r="L1065" s="3"/>
      <c r="M1065" s="3">
        <f t="shared" si="41"/>
        <v>0</v>
      </c>
      <c r="O1065" s="5"/>
      <c r="S1065" s="6"/>
    </row>
    <row r="1066" spans="1:22" x14ac:dyDescent="0.45">
      <c r="A1066" s="124">
        <v>921826</v>
      </c>
      <c r="B1066" s="124" t="s">
        <v>18483</v>
      </c>
      <c r="C1066" s="125" t="s">
        <v>18484</v>
      </c>
      <c r="D1066" s="124">
        <v>1</v>
      </c>
      <c r="E1066" s="124" t="s">
        <v>16334</v>
      </c>
      <c r="F1066" s="126">
        <v>1.6999999999999999E-3</v>
      </c>
      <c r="G1066" s="126"/>
      <c r="H1066" s="126"/>
      <c r="I1066" s="127">
        <v>0.03</v>
      </c>
      <c r="J1066" s="127">
        <v>0</v>
      </c>
      <c r="K1066" s="126">
        <f>SUM(H1066:J1066)</f>
        <v>0.03</v>
      </c>
      <c r="L1066" s="3"/>
      <c r="M1066" s="126">
        <f t="shared" si="41"/>
        <v>3.1699999999999999E-2</v>
      </c>
      <c r="N1066" s="124" t="s">
        <v>18485</v>
      </c>
      <c r="O1066" s="131" t="s">
        <v>18486</v>
      </c>
      <c r="P1066" s="128" t="s">
        <v>26918</v>
      </c>
      <c r="Q1066" s="124">
        <f>98011+3173</f>
        <v>101184</v>
      </c>
      <c r="R1066" s="124" t="s">
        <v>16348</v>
      </c>
      <c r="S1066" s="132">
        <v>84438</v>
      </c>
      <c r="T1066" s="129">
        <f>S1066/Q1066</f>
        <v>0.83449952561669827</v>
      </c>
      <c r="V1066" s="125" t="s">
        <v>18487</v>
      </c>
    </row>
    <row r="1067" spans="1:22" customFormat="1" x14ac:dyDescent="0.45">
      <c r="A1067">
        <v>226615</v>
      </c>
      <c r="B1067" t="s">
        <v>18488</v>
      </c>
      <c r="C1067" t="s">
        <v>18489</v>
      </c>
      <c r="D1067">
        <v>1</v>
      </c>
      <c r="F1067" s="126"/>
      <c r="G1067" s="7">
        <v>0</v>
      </c>
      <c r="H1067" s="7">
        <v>0</v>
      </c>
      <c r="I1067" s="7">
        <v>0</v>
      </c>
      <c r="J1067" s="7">
        <v>0</v>
      </c>
      <c r="K1067" s="3">
        <f t="shared" ref="K1067:K1125" si="43">SUM(G1067:J1067)</f>
        <v>0</v>
      </c>
      <c r="L1067" s="3"/>
      <c r="M1067" s="3">
        <f t="shared" si="41"/>
        <v>0</v>
      </c>
      <c r="O1067" s="5"/>
      <c r="S1067" s="6"/>
    </row>
    <row r="1068" spans="1:22" customFormat="1" x14ac:dyDescent="0.45">
      <c r="A1068">
        <v>226748</v>
      </c>
      <c r="B1068" t="s">
        <v>18490</v>
      </c>
      <c r="C1068" t="s">
        <v>18491</v>
      </c>
      <c r="D1068">
        <v>1</v>
      </c>
      <c r="F1068" s="126"/>
      <c r="G1068" s="3">
        <v>0</v>
      </c>
      <c r="H1068" s="3">
        <v>0</v>
      </c>
      <c r="I1068" s="3">
        <v>0</v>
      </c>
      <c r="J1068" s="3">
        <v>0</v>
      </c>
      <c r="K1068" s="3">
        <f t="shared" si="43"/>
        <v>0</v>
      </c>
      <c r="L1068" s="3"/>
      <c r="M1068" s="3">
        <f t="shared" si="41"/>
        <v>0</v>
      </c>
      <c r="O1068" s="5"/>
      <c r="S1068" s="6"/>
    </row>
    <row r="1069" spans="1:22" customFormat="1" x14ac:dyDescent="0.45">
      <c r="A1069">
        <v>226749</v>
      </c>
      <c r="B1069" t="s">
        <v>18492</v>
      </c>
      <c r="C1069" t="s">
        <v>18493</v>
      </c>
      <c r="D1069">
        <v>3</v>
      </c>
      <c r="F1069" s="126"/>
      <c r="G1069" s="7">
        <v>0</v>
      </c>
      <c r="H1069" s="7">
        <v>0</v>
      </c>
      <c r="I1069" s="7">
        <v>0</v>
      </c>
      <c r="J1069" s="7">
        <v>0</v>
      </c>
      <c r="K1069" s="3">
        <f t="shared" si="43"/>
        <v>0</v>
      </c>
      <c r="L1069" s="3"/>
      <c r="M1069" s="3">
        <f t="shared" si="41"/>
        <v>0</v>
      </c>
      <c r="O1069" s="5"/>
      <c r="S1069" s="6"/>
    </row>
    <row r="1070" spans="1:22" customFormat="1" x14ac:dyDescent="0.45">
      <c r="A1070">
        <v>226779</v>
      </c>
      <c r="B1070" t="s">
        <v>18494</v>
      </c>
      <c r="C1070" t="s">
        <v>18495</v>
      </c>
      <c r="D1070">
        <v>1</v>
      </c>
      <c r="F1070" s="126"/>
      <c r="K1070" s="3">
        <f t="shared" si="43"/>
        <v>0</v>
      </c>
      <c r="L1070" s="3"/>
      <c r="M1070" s="3">
        <f t="shared" si="41"/>
        <v>0</v>
      </c>
      <c r="O1070" s="5"/>
      <c r="S1070" s="6"/>
    </row>
    <row r="1071" spans="1:22" customFormat="1" x14ac:dyDescent="0.45">
      <c r="A1071">
        <v>226918</v>
      </c>
      <c r="B1071" t="s">
        <v>18496</v>
      </c>
      <c r="C1071" t="s">
        <v>18497</v>
      </c>
      <c r="D1071">
        <v>8</v>
      </c>
      <c r="F1071" s="126"/>
      <c r="G1071" s="3">
        <v>0</v>
      </c>
      <c r="H1071" s="3">
        <v>0</v>
      </c>
      <c r="I1071" s="3">
        <v>0</v>
      </c>
      <c r="J1071" s="3">
        <v>0</v>
      </c>
      <c r="K1071" s="3">
        <f t="shared" si="43"/>
        <v>0</v>
      </c>
      <c r="L1071" s="3"/>
      <c r="M1071" s="3">
        <f t="shared" si="41"/>
        <v>0</v>
      </c>
      <c r="O1071" s="5"/>
      <c r="S1071" s="6"/>
    </row>
    <row r="1072" spans="1:22" customFormat="1" x14ac:dyDescent="0.45">
      <c r="A1072">
        <v>226955</v>
      </c>
      <c r="B1072" t="s">
        <v>18498</v>
      </c>
      <c r="C1072" t="s">
        <v>16331</v>
      </c>
      <c r="D1072">
        <v>3</v>
      </c>
      <c r="E1072" t="s">
        <v>16331</v>
      </c>
      <c r="F1072" s="126"/>
      <c r="K1072" s="3">
        <f t="shared" si="43"/>
        <v>0</v>
      </c>
      <c r="L1072" s="3"/>
      <c r="M1072" s="3">
        <f t="shared" si="41"/>
        <v>0</v>
      </c>
      <c r="O1072" s="5"/>
      <c r="S1072" s="6"/>
    </row>
    <row r="1073" spans="1:19" customFormat="1" x14ac:dyDescent="0.45">
      <c r="A1073">
        <v>227136</v>
      </c>
      <c r="B1073" t="s">
        <v>18499</v>
      </c>
      <c r="C1073" t="s">
        <v>18500</v>
      </c>
      <c r="D1073">
        <v>1</v>
      </c>
      <c r="F1073" s="126"/>
      <c r="G1073" s="7">
        <v>0</v>
      </c>
      <c r="H1073" s="7">
        <v>0</v>
      </c>
      <c r="I1073" s="7">
        <v>0</v>
      </c>
      <c r="J1073" s="7">
        <v>0</v>
      </c>
      <c r="K1073" s="3">
        <f t="shared" si="43"/>
        <v>0</v>
      </c>
      <c r="L1073" s="3"/>
      <c r="M1073" s="3">
        <f t="shared" si="41"/>
        <v>0</v>
      </c>
      <c r="N1073" s="7"/>
      <c r="O1073" s="5"/>
      <c r="S1073" s="6"/>
    </row>
    <row r="1074" spans="1:19" customFormat="1" x14ac:dyDescent="0.45">
      <c r="A1074">
        <v>227218</v>
      </c>
      <c r="B1074" t="s">
        <v>18501</v>
      </c>
      <c r="C1074" t="s">
        <v>16331</v>
      </c>
      <c r="D1074">
        <v>1</v>
      </c>
      <c r="E1074" t="s">
        <v>16331</v>
      </c>
      <c r="F1074" s="126"/>
      <c r="G1074" s="7">
        <v>0</v>
      </c>
      <c r="H1074" s="7">
        <v>0</v>
      </c>
      <c r="I1074" s="7">
        <v>0</v>
      </c>
      <c r="J1074" s="7">
        <v>0</v>
      </c>
      <c r="K1074" s="3">
        <f t="shared" si="43"/>
        <v>0</v>
      </c>
      <c r="L1074" s="3"/>
      <c r="M1074" s="3">
        <f t="shared" si="41"/>
        <v>0</v>
      </c>
      <c r="O1074" s="5"/>
      <c r="S1074" s="6"/>
    </row>
    <row r="1075" spans="1:19" customFormat="1" x14ac:dyDescent="0.45">
      <c r="A1075">
        <v>227440</v>
      </c>
      <c r="B1075" t="s">
        <v>18502</v>
      </c>
      <c r="C1075" t="s">
        <v>16331</v>
      </c>
      <c r="D1075">
        <v>1</v>
      </c>
      <c r="E1075" t="s">
        <v>16331</v>
      </c>
      <c r="F1075" s="126"/>
      <c r="G1075" s="7">
        <v>0</v>
      </c>
      <c r="H1075" s="7">
        <v>0</v>
      </c>
      <c r="I1075" s="7">
        <v>0</v>
      </c>
      <c r="J1075" s="7">
        <v>0</v>
      </c>
      <c r="K1075" s="3">
        <f t="shared" si="43"/>
        <v>0</v>
      </c>
      <c r="L1075" s="3"/>
      <c r="M1075" s="3">
        <f t="shared" si="41"/>
        <v>0</v>
      </c>
      <c r="O1075" s="5"/>
      <c r="S1075" s="6"/>
    </row>
    <row r="1076" spans="1:19" customFormat="1" x14ac:dyDescent="0.45">
      <c r="A1076">
        <v>227492</v>
      </c>
      <c r="B1076" t="s">
        <v>18503</v>
      </c>
      <c r="C1076" t="s">
        <v>18504</v>
      </c>
      <c r="D1076">
        <v>4</v>
      </c>
      <c r="F1076" s="126"/>
      <c r="G1076" s="7">
        <v>0</v>
      </c>
      <c r="H1076" s="7">
        <v>0</v>
      </c>
      <c r="I1076" s="7">
        <v>0</v>
      </c>
      <c r="J1076" s="7">
        <v>0</v>
      </c>
      <c r="K1076" s="3">
        <f t="shared" si="43"/>
        <v>0</v>
      </c>
      <c r="L1076" s="3"/>
      <c r="M1076" s="3">
        <f t="shared" si="41"/>
        <v>0</v>
      </c>
      <c r="N1076" s="7"/>
      <c r="O1076" s="5"/>
      <c r="S1076" s="6"/>
    </row>
    <row r="1077" spans="1:19" customFormat="1" x14ac:dyDescent="0.45">
      <c r="A1077">
        <v>227534</v>
      </c>
      <c r="B1077" t="s">
        <v>18505</v>
      </c>
      <c r="C1077" t="s">
        <v>18506</v>
      </c>
      <c r="D1077">
        <v>1</v>
      </c>
      <c r="F1077" s="126"/>
      <c r="G1077" s="3">
        <v>0</v>
      </c>
      <c r="H1077" s="3">
        <v>0</v>
      </c>
      <c r="I1077" s="3">
        <v>0</v>
      </c>
      <c r="J1077" s="3">
        <v>0</v>
      </c>
      <c r="K1077" s="3">
        <f t="shared" si="43"/>
        <v>0</v>
      </c>
      <c r="L1077" s="3"/>
      <c r="M1077" s="3">
        <f t="shared" si="41"/>
        <v>0</v>
      </c>
      <c r="O1077" s="5"/>
      <c r="S1077" s="6"/>
    </row>
    <row r="1078" spans="1:19" customFormat="1" x14ac:dyDescent="0.45">
      <c r="A1078">
        <v>227651</v>
      </c>
      <c r="B1078" t="s">
        <v>18507</v>
      </c>
      <c r="C1078" t="s">
        <v>18508</v>
      </c>
      <c r="D1078">
        <v>4</v>
      </c>
      <c r="F1078" s="126"/>
      <c r="G1078" s="7">
        <v>0</v>
      </c>
      <c r="H1078" s="7">
        <v>0</v>
      </c>
      <c r="I1078" s="7">
        <v>0</v>
      </c>
      <c r="J1078" s="7">
        <v>0</v>
      </c>
      <c r="K1078" s="3">
        <f t="shared" si="43"/>
        <v>0</v>
      </c>
      <c r="L1078" s="3"/>
      <c r="M1078" s="3">
        <f t="shared" si="41"/>
        <v>0</v>
      </c>
      <c r="O1078" s="5"/>
      <c r="S1078" s="6"/>
    </row>
    <row r="1079" spans="1:19" customFormat="1" x14ac:dyDescent="0.45">
      <c r="A1079">
        <v>227661</v>
      </c>
      <c r="B1079" t="s">
        <v>18509</v>
      </c>
      <c r="C1079" t="s">
        <v>18510</v>
      </c>
      <c r="D1079">
        <v>3</v>
      </c>
      <c r="E1079" t="s">
        <v>16334</v>
      </c>
      <c r="F1079" s="126"/>
      <c r="G1079" s="7">
        <v>0</v>
      </c>
      <c r="H1079" s="3">
        <v>0</v>
      </c>
      <c r="I1079" s="3">
        <v>0</v>
      </c>
      <c r="J1079">
        <v>0</v>
      </c>
      <c r="K1079" s="3">
        <f t="shared" si="43"/>
        <v>0</v>
      </c>
      <c r="L1079" s="3"/>
      <c r="M1079" s="3">
        <f t="shared" si="41"/>
        <v>0</v>
      </c>
      <c r="O1079" s="5"/>
      <c r="S1079" s="6"/>
    </row>
    <row r="1080" spans="1:19" customFormat="1" x14ac:dyDescent="0.45">
      <c r="A1080">
        <v>227737</v>
      </c>
      <c r="B1080" t="s">
        <v>18511</v>
      </c>
      <c r="C1080" t="s">
        <v>16331</v>
      </c>
      <c r="D1080">
        <v>1</v>
      </c>
      <c r="E1080" t="s">
        <v>16331</v>
      </c>
      <c r="F1080" s="126"/>
      <c r="G1080" s="7">
        <v>0</v>
      </c>
      <c r="H1080" s="7">
        <v>0</v>
      </c>
      <c r="I1080" s="7">
        <v>0</v>
      </c>
      <c r="J1080" s="7">
        <v>0</v>
      </c>
      <c r="K1080" s="3">
        <f t="shared" si="43"/>
        <v>0</v>
      </c>
      <c r="L1080" s="3"/>
      <c r="M1080" s="3">
        <f t="shared" si="41"/>
        <v>0</v>
      </c>
      <c r="O1080" s="5"/>
      <c r="S1080" s="6"/>
    </row>
    <row r="1081" spans="1:19" customFormat="1" x14ac:dyDescent="0.45">
      <c r="A1081">
        <v>227780</v>
      </c>
      <c r="B1081" t="s">
        <v>18512</v>
      </c>
      <c r="C1081" t="s">
        <v>16331</v>
      </c>
      <c r="D1081">
        <v>1</v>
      </c>
      <c r="E1081" t="s">
        <v>16331</v>
      </c>
      <c r="F1081" s="126"/>
      <c r="G1081" s="7">
        <v>0</v>
      </c>
      <c r="H1081" s="7">
        <v>0</v>
      </c>
      <c r="I1081" s="7">
        <v>0</v>
      </c>
      <c r="J1081" s="7">
        <v>0</v>
      </c>
      <c r="K1081" s="3">
        <f t="shared" si="43"/>
        <v>0</v>
      </c>
      <c r="L1081" s="3"/>
      <c r="M1081" s="3">
        <f t="shared" si="41"/>
        <v>0</v>
      </c>
      <c r="O1081" s="5"/>
      <c r="S1081" s="6"/>
    </row>
    <row r="1082" spans="1:19" customFormat="1" x14ac:dyDescent="0.45">
      <c r="A1082">
        <v>227808</v>
      </c>
      <c r="B1082" t="s">
        <v>18513</v>
      </c>
      <c r="C1082" t="s">
        <v>16331</v>
      </c>
      <c r="D1082">
        <v>2</v>
      </c>
      <c r="E1082" t="s">
        <v>16331</v>
      </c>
      <c r="F1082" s="126"/>
      <c r="G1082" s="7">
        <v>0</v>
      </c>
      <c r="H1082" s="7">
        <v>0</v>
      </c>
      <c r="I1082" s="7">
        <v>0</v>
      </c>
      <c r="J1082" s="7">
        <v>0</v>
      </c>
      <c r="K1082" s="3">
        <f t="shared" si="43"/>
        <v>0</v>
      </c>
      <c r="L1082" s="3"/>
      <c r="M1082" s="3">
        <f t="shared" ref="M1082:M1145" si="44">K1082+F1082</f>
        <v>0</v>
      </c>
      <c r="O1082" s="5"/>
      <c r="S1082" s="6"/>
    </row>
    <row r="1083" spans="1:19" customFormat="1" x14ac:dyDescent="0.45">
      <c r="A1083">
        <v>227810</v>
      </c>
      <c r="B1083" t="s">
        <v>18514</v>
      </c>
      <c r="C1083" s="2" t="s">
        <v>18515</v>
      </c>
      <c r="D1083">
        <v>4</v>
      </c>
      <c r="F1083" s="126"/>
      <c r="G1083" s="3">
        <v>0</v>
      </c>
      <c r="H1083" s="3">
        <v>0</v>
      </c>
      <c r="I1083" s="3">
        <v>0</v>
      </c>
      <c r="J1083" s="3">
        <v>0</v>
      </c>
      <c r="K1083" s="3">
        <f t="shared" si="43"/>
        <v>0</v>
      </c>
      <c r="L1083" s="3"/>
      <c r="M1083" s="3">
        <f t="shared" si="44"/>
        <v>0</v>
      </c>
      <c r="O1083" s="5"/>
      <c r="S1083" s="6"/>
    </row>
    <row r="1084" spans="1:19" customFormat="1" x14ac:dyDescent="0.45">
      <c r="A1084">
        <v>227838</v>
      </c>
      <c r="B1084" t="s">
        <v>18516</v>
      </c>
      <c r="C1084" t="s">
        <v>16331</v>
      </c>
      <c r="D1084">
        <v>1</v>
      </c>
      <c r="E1084" t="s">
        <v>16331</v>
      </c>
      <c r="F1084" s="126"/>
      <c r="G1084" s="7">
        <v>0</v>
      </c>
      <c r="H1084" s="7">
        <v>0</v>
      </c>
      <c r="I1084" s="7">
        <v>0</v>
      </c>
      <c r="J1084" s="7">
        <v>0</v>
      </c>
      <c r="K1084" s="3">
        <f t="shared" si="43"/>
        <v>0</v>
      </c>
      <c r="L1084" s="3"/>
      <c r="M1084" s="3">
        <f t="shared" si="44"/>
        <v>0</v>
      </c>
      <c r="O1084" s="5"/>
      <c r="S1084" s="6"/>
    </row>
    <row r="1085" spans="1:19" customFormat="1" x14ac:dyDescent="0.45">
      <c r="A1085">
        <v>227844</v>
      </c>
      <c r="B1085" t="s">
        <v>18517</v>
      </c>
      <c r="C1085" t="s">
        <v>16331</v>
      </c>
      <c r="D1085">
        <v>0</v>
      </c>
      <c r="E1085" t="s">
        <v>16331</v>
      </c>
      <c r="F1085" s="126"/>
      <c r="G1085" s="7">
        <v>0</v>
      </c>
      <c r="H1085" s="7">
        <v>0</v>
      </c>
      <c r="I1085" s="7">
        <v>0</v>
      </c>
      <c r="J1085" s="7">
        <v>0</v>
      </c>
      <c r="K1085" s="3">
        <f t="shared" si="43"/>
        <v>0</v>
      </c>
      <c r="L1085" s="3"/>
      <c r="M1085" s="3">
        <f t="shared" si="44"/>
        <v>0</v>
      </c>
      <c r="O1085" s="5"/>
      <c r="S1085" s="6"/>
    </row>
    <row r="1086" spans="1:19" customFormat="1" x14ac:dyDescent="0.45">
      <c r="A1086">
        <v>228199</v>
      </c>
      <c r="B1086" t="s">
        <v>18518</v>
      </c>
      <c r="C1086" t="s">
        <v>18519</v>
      </c>
      <c r="D1086">
        <v>1</v>
      </c>
      <c r="F1086" s="126"/>
      <c r="K1086" s="3">
        <f t="shared" si="43"/>
        <v>0</v>
      </c>
      <c r="L1086" s="3"/>
      <c r="M1086" s="3">
        <f t="shared" si="44"/>
        <v>0</v>
      </c>
      <c r="O1086" s="5"/>
      <c r="S1086" s="6"/>
    </row>
    <row r="1087" spans="1:19" customFormat="1" x14ac:dyDescent="0.45">
      <c r="A1087">
        <v>228222</v>
      </c>
      <c r="B1087" t="s">
        <v>18520</v>
      </c>
      <c r="C1087" t="s">
        <v>16331</v>
      </c>
      <c r="D1087">
        <v>1</v>
      </c>
      <c r="E1087" t="s">
        <v>16331</v>
      </c>
      <c r="F1087" s="126"/>
      <c r="G1087" s="7">
        <v>0</v>
      </c>
      <c r="H1087" s="7">
        <v>0</v>
      </c>
      <c r="I1087" s="7">
        <v>0</v>
      </c>
      <c r="J1087" s="7">
        <v>0</v>
      </c>
      <c r="K1087" s="3">
        <f t="shared" si="43"/>
        <v>0</v>
      </c>
      <c r="L1087" s="3"/>
      <c r="M1087" s="3">
        <f t="shared" si="44"/>
        <v>0</v>
      </c>
      <c r="O1087" s="5"/>
      <c r="S1087" s="6"/>
    </row>
    <row r="1088" spans="1:19" customFormat="1" x14ac:dyDescent="0.45">
      <c r="A1088">
        <v>228341</v>
      </c>
      <c r="B1088" t="s">
        <v>18521</v>
      </c>
      <c r="C1088" t="s">
        <v>17711</v>
      </c>
      <c r="D1088">
        <v>42</v>
      </c>
      <c r="F1088" s="126"/>
      <c r="K1088" s="3">
        <f t="shared" si="43"/>
        <v>0</v>
      </c>
      <c r="L1088" s="3"/>
      <c r="M1088" s="3">
        <f t="shared" si="44"/>
        <v>0</v>
      </c>
      <c r="O1088" s="5"/>
      <c r="S1088" s="6"/>
    </row>
    <row r="1089" spans="1:23" customFormat="1" x14ac:dyDescent="0.45">
      <c r="A1089">
        <v>228522</v>
      </c>
      <c r="B1089" t="s">
        <v>18522</v>
      </c>
      <c r="C1089" t="s">
        <v>16331</v>
      </c>
      <c r="D1089">
        <v>1</v>
      </c>
      <c r="E1089" t="s">
        <v>16331</v>
      </c>
      <c r="F1089" s="126"/>
      <c r="K1089" s="3">
        <f t="shared" si="43"/>
        <v>0</v>
      </c>
      <c r="L1089" s="3"/>
      <c r="M1089" s="3">
        <f t="shared" si="44"/>
        <v>0</v>
      </c>
      <c r="O1089" s="5"/>
      <c r="S1089" s="6"/>
    </row>
    <row r="1090" spans="1:23" customFormat="1" x14ac:dyDescent="0.45">
      <c r="A1090">
        <v>228570</v>
      </c>
      <c r="B1090" t="s">
        <v>18523</v>
      </c>
      <c r="C1090" t="s">
        <v>18524</v>
      </c>
      <c r="D1090">
        <v>1</v>
      </c>
      <c r="E1090" t="s">
        <v>16334</v>
      </c>
      <c r="F1090" s="126"/>
      <c r="G1090" s="7">
        <v>0</v>
      </c>
      <c r="H1090" s="7">
        <v>0</v>
      </c>
      <c r="I1090" s="7">
        <v>0</v>
      </c>
      <c r="J1090" s="7">
        <v>0</v>
      </c>
      <c r="K1090" s="3">
        <f t="shared" si="43"/>
        <v>0</v>
      </c>
      <c r="L1090" s="3"/>
      <c r="M1090" s="3">
        <f t="shared" si="44"/>
        <v>0</v>
      </c>
      <c r="O1090" s="5"/>
      <c r="S1090" s="6"/>
    </row>
    <row r="1091" spans="1:23" x14ac:dyDescent="0.45">
      <c r="A1091" s="124">
        <v>434382</v>
      </c>
      <c r="B1091" s="124" t="s">
        <v>18525</v>
      </c>
      <c r="C1091" s="124" t="s">
        <v>18526</v>
      </c>
      <c r="D1091" s="124">
        <v>2</v>
      </c>
      <c r="E1091" s="124" t="s">
        <v>16334</v>
      </c>
      <c r="F1091" s="126">
        <v>1.6999999999999999E-3</v>
      </c>
      <c r="I1091" s="136">
        <f>0.995%+1.5%+0.5%</f>
        <v>2.9950000000000001E-2</v>
      </c>
      <c r="J1091" s="126">
        <v>7.4999999999999997E-3</v>
      </c>
      <c r="K1091" s="126">
        <f t="shared" si="43"/>
        <v>3.7449999999999997E-2</v>
      </c>
      <c r="L1091" s="3"/>
      <c r="M1091" s="126">
        <f t="shared" si="44"/>
        <v>3.9149999999999997E-2</v>
      </c>
      <c r="O1091" s="125" t="s">
        <v>18527</v>
      </c>
      <c r="P1091" s="128" t="s">
        <v>26918</v>
      </c>
      <c r="Q1091" s="130">
        <f>59488+488115</f>
        <v>547603</v>
      </c>
      <c r="R1091" s="124" t="s">
        <v>16348</v>
      </c>
      <c r="S1091" s="130">
        <v>515323</v>
      </c>
      <c r="T1091" s="129">
        <f>S1091/Q1091</f>
        <v>0.94105218561622195</v>
      </c>
      <c r="V1091" s="125" t="s">
        <v>18528</v>
      </c>
    </row>
    <row r="1092" spans="1:23" customFormat="1" x14ac:dyDescent="0.45">
      <c r="A1092">
        <v>228585</v>
      </c>
      <c r="B1092" t="s">
        <v>18529</v>
      </c>
      <c r="C1092" t="s">
        <v>18530</v>
      </c>
      <c r="D1092">
        <v>1</v>
      </c>
      <c r="E1092" t="s">
        <v>16334</v>
      </c>
      <c r="F1092" s="126"/>
      <c r="G1092" s="7">
        <v>0</v>
      </c>
      <c r="H1092" s="7">
        <v>0</v>
      </c>
      <c r="I1092" s="7">
        <v>0</v>
      </c>
      <c r="J1092" s="7">
        <v>0</v>
      </c>
      <c r="K1092" s="3">
        <f t="shared" si="43"/>
        <v>0</v>
      </c>
      <c r="L1092" s="3"/>
      <c r="M1092" s="3">
        <f t="shared" si="44"/>
        <v>0</v>
      </c>
      <c r="O1092" s="5"/>
      <c r="S1092" s="6"/>
    </row>
    <row r="1093" spans="1:23" x14ac:dyDescent="0.45">
      <c r="A1093" s="124">
        <v>304984</v>
      </c>
      <c r="B1093" s="124" t="s">
        <v>18531</v>
      </c>
      <c r="C1093" s="124" t="s">
        <v>18532</v>
      </c>
      <c r="D1093" s="124">
        <v>1</v>
      </c>
      <c r="E1093" s="124" t="s">
        <v>16334</v>
      </c>
      <c r="F1093" s="126">
        <v>1.6999999999999999E-3</v>
      </c>
      <c r="G1093" s="126"/>
      <c r="H1093" s="126"/>
      <c r="I1093" s="127">
        <v>0.05</v>
      </c>
      <c r="J1093" s="127">
        <v>0.01</v>
      </c>
      <c r="K1093" s="126">
        <f t="shared" si="43"/>
        <v>6.0000000000000005E-2</v>
      </c>
      <c r="L1093" s="3"/>
      <c r="M1093" s="126">
        <f t="shared" si="44"/>
        <v>6.1700000000000005E-2</v>
      </c>
      <c r="O1093" s="125" t="s">
        <v>18533</v>
      </c>
      <c r="P1093" s="128" t="s">
        <v>26918</v>
      </c>
      <c r="Q1093" s="124">
        <f>259817+6178</f>
        <v>265995</v>
      </c>
      <c r="R1093" s="124" t="s">
        <v>16348</v>
      </c>
      <c r="S1093" s="130">
        <v>182550</v>
      </c>
      <c r="T1093" s="129">
        <f>S1093/Q1093</f>
        <v>0.68629109569728752</v>
      </c>
      <c r="V1093" s="125" t="s">
        <v>18534</v>
      </c>
      <c r="W1093" s="124" t="s">
        <v>17130</v>
      </c>
    </row>
    <row r="1094" spans="1:23" customFormat="1" x14ac:dyDescent="0.45">
      <c r="A1094">
        <v>228614</v>
      </c>
      <c r="B1094" t="s">
        <v>18535</v>
      </c>
      <c r="C1094" t="s">
        <v>16331</v>
      </c>
      <c r="D1094">
        <v>1</v>
      </c>
      <c r="E1094" t="s">
        <v>16331</v>
      </c>
      <c r="F1094" s="126"/>
      <c r="G1094" s="7">
        <v>0</v>
      </c>
      <c r="H1094" s="7">
        <v>0</v>
      </c>
      <c r="I1094" s="7">
        <v>0</v>
      </c>
      <c r="J1094" s="7">
        <v>0</v>
      </c>
      <c r="K1094" s="3">
        <f t="shared" si="43"/>
        <v>0</v>
      </c>
      <c r="L1094" s="3"/>
      <c r="M1094" s="3">
        <f t="shared" si="44"/>
        <v>0</v>
      </c>
      <c r="O1094" s="5"/>
      <c r="S1094" s="6"/>
    </row>
    <row r="1095" spans="1:23" customFormat="1" x14ac:dyDescent="0.45">
      <c r="A1095">
        <v>228837</v>
      </c>
      <c r="B1095" t="s">
        <v>18536</v>
      </c>
      <c r="C1095" t="s">
        <v>18537</v>
      </c>
      <c r="D1095">
        <v>3</v>
      </c>
      <c r="F1095" s="126"/>
      <c r="G1095" s="3">
        <v>0</v>
      </c>
      <c r="H1095" s="3">
        <v>0</v>
      </c>
      <c r="I1095" s="3">
        <v>0</v>
      </c>
      <c r="J1095" s="3">
        <v>0</v>
      </c>
      <c r="K1095" s="3">
        <f t="shared" si="43"/>
        <v>0</v>
      </c>
      <c r="L1095" s="3"/>
      <c r="M1095" s="3">
        <f t="shared" si="44"/>
        <v>0</v>
      </c>
      <c r="O1095" s="5"/>
      <c r="S1095" s="6"/>
    </row>
    <row r="1096" spans="1:23" x14ac:dyDescent="0.45">
      <c r="A1096" s="124">
        <v>212859</v>
      </c>
      <c r="B1096" s="124" t="s">
        <v>18538</v>
      </c>
      <c r="C1096" s="124" t="s">
        <v>18539</v>
      </c>
      <c r="D1096" s="124">
        <v>1</v>
      </c>
      <c r="E1096" s="124" t="s">
        <v>16334</v>
      </c>
      <c r="F1096" s="126">
        <v>1.6999999999999999E-3</v>
      </c>
      <c r="G1096" s="126">
        <v>2.5000000000000001E-2</v>
      </c>
      <c r="H1096" s="126">
        <v>8.5000000000000006E-3</v>
      </c>
      <c r="I1096" s="127">
        <v>0</v>
      </c>
      <c r="J1096" s="127">
        <v>0</v>
      </c>
      <c r="K1096" s="126">
        <f t="shared" si="43"/>
        <v>3.3500000000000002E-2</v>
      </c>
      <c r="L1096" s="3"/>
      <c r="M1096" s="126">
        <f t="shared" si="44"/>
        <v>3.5200000000000002E-2</v>
      </c>
      <c r="O1096" s="125" t="s">
        <v>18540</v>
      </c>
      <c r="P1096" s="128" t="s">
        <v>26918</v>
      </c>
      <c r="Q1096" s="130">
        <f>96225+458980</f>
        <v>555205</v>
      </c>
      <c r="R1096" s="124" t="s">
        <v>16348</v>
      </c>
      <c r="S1096" s="130">
        <v>393088</v>
      </c>
      <c r="T1096" s="129">
        <f>S1096/Q1096</f>
        <v>0.70800515125043906</v>
      </c>
      <c r="V1096" s="125" t="s">
        <v>18541</v>
      </c>
    </row>
    <row r="1097" spans="1:23" customFormat="1" x14ac:dyDescent="0.45">
      <c r="A1097">
        <v>228877</v>
      </c>
      <c r="B1097" t="s">
        <v>18542</v>
      </c>
      <c r="C1097" t="s">
        <v>18543</v>
      </c>
      <c r="D1097">
        <v>3</v>
      </c>
      <c r="E1097" t="s">
        <v>16334</v>
      </c>
      <c r="F1097" s="126"/>
      <c r="G1097" s="7">
        <v>0</v>
      </c>
      <c r="H1097" s="7">
        <v>0</v>
      </c>
      <c r="I1097" s="7">
        <v>0</v>
      </c>
      <c r="J1097" s="7">
        <v>0</v>
      </c>
      <c r="K1097" s="3">
        <f t="shared" si="43"/>
        <v>0</v>
      </c>
      <c r="L1097" s="3"/>
      <c r="M1097" s="3">
        <f t="shared" si="44"/>
        <v>0</v>
      </c>
      <c r="O1097" s="5"/>
      <c r="S1097" s="6"/>
    </row>
    <row r="1098" spans="1:23" customFormat="1" x14ac:dyDescent="0.45">
      <c r="A1098">
        <v>228969</v>
      </c>
      <c r="B1098" t="s">
        <v>18544</v>
      </c>
      <c r="C1098" t="s">
        <v>18545</v>
      </c>
      <c r="D1098">
        <v>9</v>
      </c>
      <c r="F1098" s="126"/>
      <c r="G1098" s="7">
        <v>0</v>
      </c>
      <c r="H1098" s="7">
        <v>0</v>
      </c>
      <c r="I1098" s="7">
        <v>0</v>
      </c>
      <c r="J1098" s="7">
        <v>0</v>
      </c>
      <c r="K1098" s="3">
        <f t="shared" si="43"/>
        <v>0</v>
      </c>
      <c r="L1098" s="3"/>
      <c r="M1098" s="3">
        <f t="shared" si="44"/>
        <v>0</v>
      </c>
      <c r="O1098" s="5"/>
      <c r="S1098" s="6"/>
    </row>
    <row r="1099" spans="1:23" customFormat="1" x14ac:dyDescent="0.45">
      <c r="A1099">
        <v>229135</v>
      </c>
      <c r="B1099" t="s">
        <v>18546</v>
      </c>
      <c r="C1099" t="s">
        <v>18547</v>
      </c>
      <c r="D1099">
        <v>25</v>
      </c>
      <c r="F1099" s="126"/>
      <c r="G1099" s="7">
        <v>0</v>
      </c>
      <c r="H1099" s="7">
        <v>0</v>
      </c>
      <c r="I1099" s="7">
        <v>0</v>
      </c>
      <c r="J1099" s="7">
        <v>0</v>
      </c>
      <c r="K1099" s="3">
        <f t="shared" si="43"/>
        <v>0</v>
      </c>
      <c r="L1099" s="3"/>
      <c r="M1099" s="3">
        <f t="shared" si="44"/>
        <v>0</v>
      </c>
      <c r="N1099" s="7" t="s">
        <v>18548</v>
      </c>
      <c r="O1099" s="5"/>
      <c r="S1099" s="6"/>
    </row>
    <row r="1100" spans="1:23" customFormat="1" x14ac:dyDescent="0.45">
      <c r="A1100">
        <v>229181</v>
      </c>
      <c r="B1100" t="s">
        <v>18549</v>
      </c>
      <c r="C1100" t="s">
        <v>18550</v>
      </c>
      <c r="D1100">
        <v>0</v>
      </c>
      <c r="E1100" t="s">
        <v>18551</v>
      </c>
      <c r="F1100" s="126"/>
      <c r="G1100" s="7">
        <v>0</v>
      </c>
      <c r="H1100" s="7">
        <v>0</v>
      </c>
      <c r="I1100" s="7">
        <v>0</v>
      </c>
      <c r="J1100" s="7">
        <v>0</v>
      </c>
      <c r="K1100" s="3">
        <f t="shared" si="43"/>
        <v>0</v>
      </c>
      <c r="L1100" s="3"/>
      <c r="M1100" s="3">
        <f t="shared" si="44"/>
        <v>0</v>
      </c>
      <c r="N1100" s="7"/>
      <c r="O1100" s="5"/>
      <c r="S1100" s="6"/>
    </row>
    <row r="1101" spans="1:23" customFormat="1" x14ac:dyDescent="0.45">
      <c r="A1101">
        <v>229235</v>
      </c>
      <c r="B1101" t="s">
        <v>18552</v>
      </c>
      <c r="C1101" t="s">
        <v>18553</v>
      </c>
      <c r="D1101">
        <v>4</v>
      </c>
      <c r="F1101" s="126"/>
      <c r="G1101" s="3">
        <v>0</v>
      </c>
      <c r="H1101" s="3">
        <v>0</v>
      </c>
      <c r="I1101" s="3">
        <v>0</v>
      </c>
      <c r="J1101" s="3">
        <v>0</v>
      </c>
      <c r="K1101" s="3">
        <f t="shared" si="43"/>
        <v>0</v>
      </c>
      <c r="L1101" s="3"/>
      <c r="M1101" s="3">
        <f t="shared" si="44"/>
        <v>0</v>
      </c>
      <c r="O1101" s="5"/>
      <c r="S1101" s="6"/>
    </row>
    <row r="1102" spans="1:23" customFormat="1" x14ac:dyDescent="0.45">
      <c r="A1102">
        <v>229257</v>
      </c>
      <c r="B1102" t="s">
        <v>18554</v>
      </c>
      <c r="C1102" t="s">
        <v>18555</v>
      </c>
      <c r="D1102">
        <v>2</v>
      </c>
      <c r="F1102" s="126"/>
      <c r="G1102" s="3">
        <v>0</v>
      </c>
      <c r="H1102" s="3">
        <v>0</v>
      </c>
      <c r="I1102" s="3">
        <v>0</v>
      </c>
      <c r="J1102" s="3">
        <v>0</v>
      </c>
      <c r="K1102" s="3">
        <f t="shared" si="43"/>
        <v>0</v>
      </c>
      <c r="L1102" s="3"/>
      <c r="M1102" s="3">
        <f t="shared" si="44"/>
        <v>0</v>
      </c>
      <c r="O1102" s="5"/>
      <c r="S1102" s="6"/>
    </row>
    <row r="1103" spans="1:23" customFormat="1" x14ac:dyDescent="0.45">
      <c r="A1103">
        <v>229310</v>
      </c>
      <c r="B1103" t="s">
        <v>18556</v>
      </c>
      <c r="C1103" t="s">
        <v>18557</v>
      </c>
      <c r="D1103">
        <v>1</v>
      </c>
      <c r="F1103" s="126"/>
      <c r="G1103" s="7">
        <v>0</v>
      </c>
      <c r="H1103" s="7">
        <v>0</v>
      </c>
      <c r="I1103" s="7">
        <v>0</v>
      </c>
      <c r="J1103" s="7">
        <v>0</v>
      </c>
      <c r="K1103" s="3">
        <f t="shared" si="43"/>
        <v>0</v>
      </c>
      <c r="L1103" s="3"/>
      <c r="M1103" s="3">
        <f t="shared" si="44"/>
        <v>0</v>
      </c>
      <c r="O1103" s="5"/>
      <c r="S1103" s="6"/>
    </row>
    <row r="1104" spans="1:23" customFormat="1" x14ac:dyDescent="0.45">
      <c r="A1104">
        <v>229317</v>
      </c>
      <c r="B1104" t="s">
        <v>18558</v>
      </c>
      <c r="C1104" t="s">
        <v>18559</v>
      </c>
      <c r="D1104">
        <v>4</v>
      </c>
      <c r="F1104" s="126"/>
      <c r="G1104" s="7">
        <v>0</v>
      </c>
      <c r="H1104" s="7">
        <v>0</v>
      </c>
      <c r="I1104" s="7">
        <v>0</v>
      </c>
      <c r="J1104" s="7">
        <v>0</v>
      </c>
      <c r="K1104" s="3">
        <f t="shared" si="43"/>
        <v>0</v>
      </c>
      <c r="L1104" s="3"/>
      <c r="M1104" s="3">
        <f t="shared" si="44"/>
        <v>0</v>
      </c>
      <c r="O1104" s="5"/>
      <c r="S1104" s="6"/>
    </row>
    <row r="1105" spans="1:24" customFormat="1" x14ac:dyDescent="0.45">
      <c r="A1105">
        <v>229325</v>
      </c>
      <c r="B1105" t="s">
        <v>18560</v>
      </c>
      <c r="C1105" t="s">
        <v>16331</v>
      </c>
      <c r="D1105">
        <v>1</v>
      </c>
      <c r="E1105" t="s">
        <v>16331</v>
      </c>
      <c r="F1105" s="126"/>
      <c r="G1105" s="7">
        <v>0</v>
      </c>
      <c r="H1105" s="7">
        <v>0</v>
      </c>
      <c r="I1105" s="7">
        <v>0</v>
      </c>
      <c r="J1105" s="7">
        <v>0</v>
      </c>
      <c r="K1105" s="3">
        <f t="shared" si="43"/>
        <v>0</v>
      </c>
      <c r="L1105" s="3"/>
      <c r="M1105" s="3">
        <f t="shared" si="44"/>
        <v>0</v>
      </c>
      <c r="O1105" s="5"/>
      <c r="S1105" s="6"/>
    </row>
    <row r="1106" spans="1:24" customFormat="1" x14ac:dyDescent="0.45">
      <c r="A1106">
        <v>229328</v>
      </c>
      <c r="B1106" t="s">
        <v>18561</v>
      </c>
      <c r="C1106" t="s">
        <v>18562</v>
      </c>
      <c r="D1106">
        <v>6</v>
      </c>
      <c r="E1106" t="s">
        <v>16334</v>
      </c>
      <c r="F1106" s="126"/>
      <c r="G1106" s="3">
        <v>0</v>
      </c>
      <c r="H1106" s="7">
        <v>0</v>
      </c>
      <c r="I1106" s="7">
        <v>0</v>
      </c>
      <c r="J1106" s="7">
        <v>0</v>
      </c>
      <c r="K1106" s="3">
        <f t="shared" si="43"/>
        <v>0</v>
      </c>
      <c r="L1106" s="3"/>
      <c r="M1106" s="3">
        <f t="shared" si="44"/>
        <v>0</v>
      </c>
      <c r="O1106" s="5"/>
      <c r="S1106" s="6"/>
    </row>
    <row r="1107" spans="1:24" customFormat="1" x14ac:dyDescent="0.45">
      <c r="A1107">
        <v>229355</v>
      </c>
      <c r="B1107" t="s">
        <v>18563</v>
      </c>
      <c r="C1107" t="s">
        <v>18564</v>
      </c>
      <c r="D1107">
        <v>7</v>
      </c>
      <c r="F1107" s="126"/>
      <c r="G1107" s="7">
        <v>0</v>
      </c>
      <c r="H1107" s="7">
        <v>0</v>
      </c>
      <c r="I1107" s="7">
        <v>0</v>
      </c>
      <c r="J1107" s="7">
        <v>0</v>
      </c>
      <c r="K1107" s="3">
        <f t="shared" si="43"/>
        <v>0</v>
      </c>
      <c r="L1107" s="3"/>
      <c r="M1107" s="3">
        <f t="shared" si="44"/>
        <v>0</v>
      </c>
      <c r="O1107" s="5"/>
      <c r="S1107" s="6"/>
    </row>
    <row r="1108" spans="1:24" customFormat="1" x14ac:dyDescent="0.45">
      <c r="A1108">
        <v>229380</v>
      </c>
      <c r="B1108" t="s">
        <v>18565</v>
      </c>
      <c r="C1108" t="s">
        <v>16331</v>
      </c>
      <c r="D1108">
        <v>4</v>
      </c>
      <c r="E1108" t="s">
        <v>16331</v>
      </c>
      <c r="F1108" s="126"/>
      <c r="G1108" s="7">
        <v>0</v>
      </c>
      <c r="H1108" s="7">
        <v>0</v>
      </c>
      <c r="I1108" s="7">
        <v>0</v>
      </c>
      <c r="J1108" s="7">
        <v>0</v>
      </c>
      <c r="K1108" s="3">
        <f t="shared" si="43"/>
        <v>0</v>
      </c>
      <c r="L1108" s="3"/>
      <c r="M1108" s="3">
        <f t="shared" si="44"/>
        <v>0</v>
      </c>
      <c r="O1108" s="5"/>
      <c r="S1108" s="6"/>
    </row>
    <row r="1109" spans="1:24" customFormat="1" x14ac:dyDescent="0.45">
      <c r="A1109">
        <v>229461</v>
      </c>
      <c r="B1109" t="s">
        <v>18566</v>
      </c>
      <c r="C1109" t="s">
        <v>16331</v>
      </c>
      <c r="D1109">
        <v>1</v>
      </c>
      <c r="E1109" t="s">
        <v>16331</v>
      </c>
      <c r="F1109" s="126"/>
      <c r="G1109" s="7">
        <v>0</v>
      </c>
      <c r="H1109" s="7">
        <v>0</v>
      </c>
      <c r="I1109" s="7">
        <v>0</v>
      </c>
      <c r="J1109" s="7">
        <v>0</v>
      </c>
      <c r="K1109" s="3">
        <f t="shared" si="43"/>
        <v>0</v>
      </c>
      <c r="L1109" s="3"/>
      <c r="M1109" s="3">
        <f t="shared" si="44"/>
        <v>0</v>
      </c>
      <c r="O1109" s="5"/>
      <c r="S1109" s="6"/>
    </row>
    <row r="1110" spans="1:24" customFormat="1" x14ac:dyDescent="0.45">
      <c r="A1110">
        <v>229501</v>
      </c>
      <c r="B1110" t="s">
        <v>18567</v>
      </c>
      <c r="C1110" t="s">
        <v>16331</v>
      </c>
      <c r="D1110">
        <v>1</v>
      </c>
      <c r="E1110" t="s">
        <v>16331</v>
      </c>
      <c r="F1110" s="126"/>
      <c r="G1110" s="7">
        <v>0</v>
      </c>
      <c r="H1110" s="7">
        <v>0</v>
      </c>
      <c r="I1110" s="7">
        <v>0</v>
      </c>
      <c r="J1110" s="7">
        <v>0</v>
      </c>
      <c r="K1110" s="3">
        <f t="shared" si="43"/>
        <v>0</v>
      </c>
      <c r="L1110" s="3"/>
      <c r="M1110" s="3">
        <f t="shared" si="44"/>
        <v>0</v>
      </c>
      <c r="N1110" s="7"/>
      <c r="O1110" s="5"/>
      <c r="S1110" s="6"/>
    </row>
    <row r="1111" spans="1:24" customFormat="1" x14ac:dyDescent="0.45">
      <c r="A1111">
        <v>229554</v>
      </c>
      <c r="B1111" t="s">
        <v>18568</v>
      </c>
      <c r="C1111" t="s">
        <v>18569</v>
      </c>
      <c r="D1111">
        <v>5</v>
      </c>
      <c r="F1111" s="126"/>
      <c r="G1111" s="7">
        <v>0</v>
      </c>
      <c r="H1111" s="7">
        <v>0</v>
      </c>
      <c r="I1111" s="7">
        <v>0</v>
      </c>
      <c r="J1111" s="7">
        <v>0</v>
      </c>
      <c r="K1111" s="3">
        <f t="shared" si="43"/>
        <v>0</v>
      </c>
      <c r="L1111" s="3"/>
      <c r="M1111" s="3">
        <f t="shared" si="44"/>
        <v>0</v>
      </c>
      <c r="O1111" s="5"/>
      <c r="S1111" s="6"/>
    </row>
    <row r="1112" spans="1:24" customFormat="1" x14ac:dyDescent="0.45">
      <c r="A1112">
        <v>229704</v>
      </c>
      <c r="B1112" t="s">
        <v>18570</v>
      </c>
      <c r="C1112" t="s">
        <v>18571</v>
      </c>
      <c r="D1112">
        <v>2</v>
      </c>
      <c r="F1112" s="126"/>
      <c r="G1112" s="7">
        <v>0</v>
      </c>
      <c r="H1112" s="7">
        <v>0</v>
      </c>
      <c r="I1112" s="7">
        <v>0</v>
      </c>
      <c r="J1112" s="7">
        <v>0</v>
      </c>
      <c r="K1112" s="3">
        <f t="shared" si="43"/>
        <v>0</v>
      </c>
      <c r="L1112" s="3"/>
      <c r="M1112" s="3">
        <f t="shared" si="44"/>
        <v>0</v>
      </c>
      <c r="O1112" s="5"/>
      <c r="S1112" s="6"/>
    </row>
    <row r="1113" spans="1:24" customFormat="1" x14ac:dyDescent="0.45">
      <c r="A1113">
        <v>229752</v>
      </c>
      <c r="B1113" t="s">
        <v>18572</v>
      </c>
      <c r="C1113" t="s">
        <v>18573</v>
      </c>
      <c r="D1113">
        <v>2</v>
      </c>
      <c r="E1113" t="s">
        <v>16334</v>
      </c>
      <c r="F1113" s="126"/>
      <c r="G1113" s="7">
        <v>0</v>
      </c>
      <c r="H1113" s="7">
        <v>0</v>
      </c>
      <c r="I1113" s="7">
        <v>0</v>
      </c>
      <c r="J1113" s="7">
        <v>0</v>
      </c>
      <c r="K1113" s="3">
        <f t="shared" si="43"/>
        <v>0</v>
      </c>
      <c r="L1113" s="3"/>
      <c r="M1113" s="3">
        <f t="shared" si="44"/>
        <v>0</v>
      </c>
      <c r="O1113" s="5"/>
      <c r="S1113" s="6"/>
    </row>
    <row r="1114" spans="1:24" customFormat="1" x14ac:dyDescent="0.45">
      <c r="A1114">
        <v>229808</v>
      </c>
      <c r="B1114" t="s">
        <v>18574</v>
      </c>
      <c r="C1114" s="2" t="s">
        <v>18575</v>
      </c>
      <c r="D1114">
        <v>16</v>
      </c>
      <c r="F1114" s="126"/>
      <c r="G1114" s="7">
        <v>0</v>
      </c>
      <c r="H1114" s="7">
        <v>0</v>
      </c>
      <c r="I1114" s="7">
        <v>0</v>
      </c>
      <c r="J1114" s="7">
        <v>0</v>
      </c>
      <c r="K1114" s="3">
        <f t="shared" si="43"/>
        <v>0</v>
      </c>
      <c r="L1114" s="3"/>
      <c r="M1114" s="3">
        <f t="shared" si="44"/>
        <v>0</v>
      </c>
      <c r="O1114" s="5"/>
      <c r="S1114" s="6"/>
    </row>
    <row r="1115" spans="1:24" customFormat="1" x14ac:dyDescent="0.45">
      <c r="A1115">
        <v>229821</v>
      </c>
      <c r="B1115" t="s">
        <v>18576</v>
      </c>
      <c r="C1115" t="s">
        <v>16331</v>
      </c>
      <c r="D1115">
        <v>6</v>
      </c>
      <c r="E1115" t="s">
        <v>16331</v>
      </c>
      <c r="F1115" s="126"/>
      <c r="G1115" s="7">
        <v>0</v>
      </c>
      <c r="H1115" s="7">
        <v>0</v>
      </c>
      <c r="I1115" s="7">
        <v>0</v>
      </c>
      <c r="J1115" s="7">
        <v>0</v>
      </c>
      <c r="K1115" s="3">
        <f t="shared" si="43"/>
        <v>0</v>
      </c>
      <c r="L1115" s="3"/>
      <c r="M1115" s="3">
        <f t="shared" si="44"/>
        <v>0</v>
      </c>
      <c r="O1115" s="5"/>
      <c r="S1115" s="6"/>
    </row>
    <row r="1116" spans="1:24" customFormat="1" x14ac:dyDescent="0.45">
      <c r="A1116">
        <v>229879</v>
      </c>
      <c r="B1116" t="s">
        <v>18577</v>
      </c>
      <c r="C1116" t="s">
        <v>18578</v>
      </c>
      <c r="D1116">
        <v>2</v>
      </c>
      <c r="F1116" s="126"/>
      <c r="G1116" s="7">
        <v>0</v>
      </c>
      <c r="H1116" s="7">
        <v>0</v>
      </c>
      <c r="I1116" s="7">
        <v>0</v>
      </c>
      <c r="J1116" s="7">
        <v>0</v>
      </c>
      <c r="K1116" s="3">
        <f t="shared" si="43"/>
        <v>0</v>
      </c>
      <c r="L1116" s="3"/>
      <c r="M1116" s="3">
        <f t="shared" si="44"/>
        <v>0</v>
      </c>
      <c r="O1116" s="5"/>
      <c r="S1116" s="6"/>
    </row>
    <row r="1117" spans="1:24" customFormat="1" x14ac:dyDescent="0.45">
      <c r="A1117">
        <v>229886</v>
      </c>
      <c r="B1117" t="s">
        <v>18579</v>
      </c>
      <c r="C1117" t="s">
        <v>18580</v>
      </c>
      <c r="D1117">
        <v>2</v>
      </c>
      <c r="E1117" t="s">
        <v>16334</v>
      </c>
      <c r="F1117" s="126"/>
      <c r="G1117" s="7">
        <v>0</v>
      </c>
      <c r="H1117" s="7">
        <v>0</v>
      </c>
      <c r="I1117" s="7">
        <v>0</v>
      </c>
      <c r="J1117" s="7">
        <v>0</v>
      </c>
      <c r="K1117" s="3">
        <f t="shared" si="43"/>
        <v>0</v>
      </c>
      <c r="L1117" s="3"/>
      <c r="M1117" s="3">
        <f t="shared" si="44"/>
        <v>0</v>
      </c>
      <c r="O1117" s="5"/>
      <c r="S1117" s="6"/>
    </row>
    <row r="1118" spans="1:24" x14ac:dyDescent="0.45">
      <c r="A1118" s="124">
        <v>462016</v>
      </c>
      <c r="B1118" s="124" t="s">
        <v>18581</v>
      </c>
      <c r="C1118" s="124" t="s">
        <v>18582</v>
      </c>
      <c r="D1118" s="124">
        <v>85</v>
      </c>
      <c r="E1118" s="124" t="s">
        <v>16334</v>
      </c>
      <c r="F1118" s="126">
        <v>1.6999999999999999E-3</v>
      </c>
      <c r="G1118" s="126">
        <v>9.4999999999999998E-3</v>
      </c>
      <c r="H1118" s="135">
        <v>0</v>
      </c>
      <c r="I1118" s="127">
        <v>0</v>
      </c>
      <c r="J1118" s="127">
        <v>0</v>
      </c>
      <c r="K1118" s="126">
        <f t="shared" si="43"/>
        <v>9.4999999999999998E-3</v>
      </c>
      <c r="L1118" s="3"/>
      <c r="M1118" s="126">
        <f t="shared" si="44"/>
        <v>1.12E-2</v>
      </c>
      <c r="N1118" s="135" t="s">
        <v>26921</v>
      </c>
      <c r="O1118" s="125" t="s">
        <v>18583</v>
      </c>
      <c r="P1118" s="128" t="s">
        <v>26918</v>
      </c>
      <c r="Q1118" s="124">
        <v>232000</v>
      </c>
      <c r="R1118" s="124" t="s">
        <v>16348</v>
      </c>
      <c r="S1118" s="130">
        <v>222000</v>
      </c>
      <c r="T1118" s="129">
        <f>S1118/Q1118</f>
        <v>0.9568965517241379</v>
      </c>
      <c r="V1118" s="125" t="s">
        <v>18584</v>
      </c>
      <c r="X1118" s="124" t="s">
        <v>18585</v>
      </c>
    </row>
    <row r="1119" spans="1:24" customFormat="1" x14ac:dyDescent="0.45">
      <c r="A1119">
        <v>229893</v>
      </c>
      <c r="B1119" t="s">
        <v>18586</v>
      </c>
      <c r="C1119" t="s">
        <v>18587</v>
      </c>
      <c r="D1119">
        <v>0</v>
      </c>
      <c r="E1119" t="s">
        <v>16561</v>
      </c>
      <c r="F1119" s="126"/>
      <c r="G1119" s="7">
        <v>0</v>
      </c>
      <c r="H1119" s="7">
        <v>0</v>
      </c>
      <c r="I1119" s="7">
        <v>0</v>
      </c>
      <c r="J1119" s="7">
        <v>0</v>
      </c>
      <c r="K1119" s="3">
        <f t="shared" si="43"/>
        <v>0</v>
      </c>
      <c r="L1119" s="3"/>
      <c r="M1119" s="3">
        <f t="shared" si="44"/>
        <v>0</v>
      </c>
      <c r="O1119" s="5"/>
      <c r="S1119" s="6"/>
    </row>
    <row r="1120" spans="1:24" customFormat="1" x14ac:dyDescent="0.45">
      <c r="A1120">
        <v>229947</v>
      </c>
      <c r="B1120" t="s">
        <v>18588</v>
      </c>
      <c r="C1120" t="s">
        <v>16331</v>
      </c>
      <c r="D1120">
        <v>1</v>
      </c>
      <c r="E1120" t="s">
        <v>16331</v>
      </c>
      <c r="F1120" s="126"/>
      <c r="G1120" s="7">
        <v>0</v>
      </c>
      <c r="H1120" s="7">
        <v>0</v>
      </c>
      <c r="I1120" s="7">
        <v>0</v>
      </c>
      <c r="J1120" s="7">
        <v>0</v>
      </c>
      <c r="K1120" s="3">
        <f t="shared" si="43"/>
        <v>0</v>
      </c>
      <c r="L1120" s="3"/>
      <c r="M1120" s="3">
        <f t="shared" si="44"/>
        <v>0</v>
      </c>
      <c r="O1120" s="5"/>
      <c r="S1120" s="6"/>
    </row>
    <row r="1121" spans="1:22" customFormat="1" x14ac:dyDescent="0.45">
      <c r="A1121">
        <v>230080</v>
      </c>
      <c r="B1121" t="s">
        <v>18589</v>
      </c>
      <c r="C1121" t="s">
        <v>18590</v>
      </c>
      <c r="D1121">
        <v>1</v>
      </c>
      <c r="F1121" s="126"/>
      <c r="G1121" s="3">
        <v>0</v>
      </c>
      <c r="H1121" s="3">
        <v>0</v>
      </c>
      <c r="I1121" s="3">
        <v>0</v>
      </c>
      <c r="J1121" s="3">
        <v>0</v>
      </c>
      <c r="K1121" s="3">
        <f t="shared" si="43"/>
        <v>0</v>
      </c>
      <c r="L1121" s="3"/>
      <c r="M1121" s="3">
        <f t="shared" si="44"/>
        <v>0</v>
      </c>
      <c r="O1121" s="5"/>
      <c r="S1121" s="6"/>
    </row>
    <row r="1122" spans="1:22" customFormat="1" x14ac:dyDescent="0.45">
      <c r="A1122">
        <v>230096</v>
      </c>
      <c r="B1122" t="s">
        <v>18591</v>
      </c>
      <c r="C1122" t="s">
        <v>18592</v>
      </c>
      <c r="D1122">
        <v>1</v>
      </c>
      <c r="F1122" s="126"/>
      <c r="G1122" s="3">
        <v>0</v>
      </c>
      <c r="H1122" s="3">
        <v>0</v>
      </c>
      <c r="I1122" s="3">
        <v>0</v>
      </c>
      <c r="J1122" s="3">
        <v>0</v>
      </c>
      <c r="K1122" s="3">
        <f t="shared" si="43"/>
        <v>0</v>
      </c>
      <c r="L1122" s="3"/>
      <c r="M1122" s="3">
        <f t="shared" si="44"/>
        <v>0</v>
      </c>
      <c r="O1122" s="5"/>
      <c r="S1122" s="6"/>
    </row>
    <row r="1123" spans="1:22" customFormat="1" x14ac:dyDescent="0.45">
      <c r="A1123">
        <v>230151</v>
      </c>
      <c r="B1123" t="s">
        <v>18593</v>
      </c>
      <c r="C1123" t="s">
        <v>16331</v>
      </c>
      <c r="D1123">
        <v>2</v>
      </c>
      <c r="E1123" t="s">
        <v>16331</v>
      </c>
      <c r="F1123" s="126"/>
      <c r="G1123" s="7">
        <v>0</v>
      </c>
      <c r="H1123" s="7">
        <v>0</v>
      </c>
      <c r="I1123" s="7">
        <v>0</v>
      </c>
      <c r="J1123" s="7">
        <v>0</v>
      </c>
      <c r="K1123" s="3">
        <f t="shared" si="43"/>
        <v>0</v>
      </c>
      <c r="L1123" s="3"/>
      <c r="M1123" s="3">
        <f t="shared" si="44"/>
        <v>0</v>
      </c>
      <c r="O1123" s="5"/>
      <c r="S1123" s="6"/>
    </row>
    <row r="1124" spans="1:22" customFormat="1" x14ac:dyDescent="0.45">
      <c r="A1124">
        <v>230342</v>
      </c>
      <c r="B1124" t="s">
        <v>18594</v>
      </c>
      <c r="C1124" t="s">
        <v>18179</v>
      </c>
      <c r="D1124">
        <v>89</v>
      </c>
      <c r="E1124" t="s">
        <v>16334</v>
      </c>
      <c r="F1124" s="126"/>
      <c r="G1124" s="7">
        <v>0</v>
      </c>
      <c r="H1124" s="7">
        <v>0</v>
      </c>
      <c r="I1124" s="7">
        <v>0</v>
      </c>
      <c r="J1124" s="7">
        <v>0</v>
      </c>
      <c r="K1124" s="3">
        <f t="shared" si="43"/>
        <v>0</v>
      </c>
      <c r="L1124" s="3"/>
      <c r="M1124" s="3">
        <f t="shared" si="44"/>
        <v>0</v>
      </c>
      <c r="O1124" s="5"/>
      <c r="S1124" s="6"/>
    </row>
    <row r="1125" spans="1:22" customFormat="1" x14ac:dyDescent="0.45">
      <c r="A1125">
        <v>230443</v>
      </c>
      <c r="B1125" t="s">
        <v>18595</v>
      </c>
      <c r="C1125" t="s">
        <v>18596</v>
      </c>
      <c r="D1125">
        <v>1</v>
      </c>
      <c r="F1125" s="126"/>
      <c r="G1125" s="7">
        <v>0</v>
      </c>
      <c r="H1125" s="7">
        <v>0</v>
      </c>
      <c r="I1125" s="7">
        <v>0</v>
      </c>
      <c r="J1125" s="7">
        <v>0</v>
      </c>
      <c r="K1125" s="3">
        <f t="shared" si="43"/>
        <v>0</v>
      </c>
      <c r="L1125" s="3"/>
      <c r="M1125" s="3">
        <f t="shared" si="44"/>
        <v>0</v>
      </c>
      <c r="O1125" s="5"/>
      <c r="S1125" s="6"/>
    </row>
    <row r="1126" spans="1:22" x14ac:dyDescent="0.45">
      <c r="A1126" s="124">
        <v>955889</v>
      </c>
      <c r="B1126" s="124" t="s">
        <v>18597</v>
      </c>
      <c r="C1126" s="124" t="s">
        <v>18598</v>
      </c>
      <c r="D1126" s="124">
        <v>1</v>
      </c>
      <c r="E1126" s="124" t="s">
        <v>16334</v>
      </c>
      <c r="F1126" s="126">
        <v>1.6999999999999999E-3</v>
      </c>
      <c r="G1126" s="126"/>
      <c r="H1126" s="126">
        <v>0</v>
      </c>
      <c r="I1126" s="127">
        <v>2.7E-2</v>
      </c>
      <c r="J1126" s="127">
        <v>0.01</v>
      </c>
      <c r="K1126" s="126">
        <f>SUM(I1126:J1126)</f>
        <v>3.6999999999999998E-2</v>
      </c>
      <c r="L1126" s="3"/>
      <c r="M1126" s="126">
        <f t="shared" si="44"/>
        <v>3.8699999999999998E-2</v>
      </c>
      <c r="N1126" s="124" t="s">
        <v>18599</v>
      </c>
      <c r="O1126" s="131" t="s">
        <v>18600</v>
      </c>
      <c r="P1126" s="128" t="s">
        <v>26918</v>
      </c>
      <c r="Q1126" s="132">
        <f>48229+17082</f>
        <v>65311</v>
      </c>
      <c r="R1126" s="124" t="s">
        <v>16348</v>
      </c>
      <c r="S1126" s="132">
        <v>16229</v>
      </c>
      <c r="T1126" s="129">
        <f>S1126/Q1126</f>
        <v>0.24848800355223469</v>
      </c>
      <c r="V1126" s="125" t="s">
        <v>18601</v>
      </c>
    </row>
    <row r="1127" spans="1:22" customFormat="1" x14ac:dyDescent="0.45">
      <c r="A1127">
        <v>230606</v>
      </c>
      <c r="B1127" t="s">
        <v>18602</v>
      </c>
      <c r="C1127" t="s">
        <v>16331</v>
      </c>
      <c r="D1127">
        <v>0</v>
      </c>
      <c r="E1127" t="s">
        <v>16331</v>
      </c>
      <c r="F1127" s="126"/>
      <c r="G1127" s="7">
        <v>0</v>
      </c>
      <c r="H1127" s="7">
        <v>0</v>
      </c>
      <c r="I1127" s="7">
        <v>0</v>
      </c>
      <c r="J1127" s="7">
        <v>0</v>
      </c>
      <c r="K1127" s="3">
        <f t="shared" ref="K1127:K1190" si="45">SUM(G1127:J1127)</f>
        <v>0</v>
      </c>
      <c r="L1127" s="3"/>
      <c r="M1127" s="3">
        <f t="shared" si="44"/>
        <v>0</v>
      </c>
      <c r="O1127" s="5"/>
      <c r="S1127" s="6"/>
    </row>
    <row r="1128" spans="1:22" customFormat="1" x14ac:dyDescent="0.45">
      <c r="A1128">
        <v>230608</v>
      </c>
      <c r="B1128" t="s">
        <v>18603</v>
      </c>
      <c r="C1128" t="s">
        <v>18604</v>
      </c>
      <c r="D1128">
        <v>2</v>
      </c>
      <c r="F1128" s="126"/>
      <c r="G1128" s="7">
        <v>0</v>
      </c>
      <c r="H1128" s="7">
        <v>0</v>
      </c>
      <c r="I1128" s="7">
        <v>0</v>
      </c>
      <c r="J1128" s="7">
        <v>0</v>
      </c>
      <c r="K1128" s="3">
        <f t="shared" si="45"/>
        <v>0</v>
      </c>
      <c r="L1128" s="3"/>
      <c r="M1128" s="3">
        <f t="shared" si="44"/>
        <v>0</v>
      </c>
      <c r="N1128" s="7"/>
      <c r="O1128" s="5"/>
      <c r="S1128" s="6"/>
    </row>
    <row r="1129" spans="1:22" customFormat="1" x14ac:dyDescent="0.45">
      <c r="A1129">
        <v>230687</v>
      </c>
      <c r="B1129" t="s">
        <v>18605</v>
      </c>
      <c r="C1129" t="s">
        <v>18606</v>
      </c>
      <c r="D1129">
        <v>3</v>
      </c>
      <c r="F1129" s="126"/>
      <c r="G1129" s="7">
        <v>0</v>
      </c>
      <c r="H1129" s="7">
        <v>0</v>
      </c>
      <c r="I1129" s="7">
        <v>0</v>
      </c>
      <c r="J1129" s="7">
        <v>0</v>
      </c>
      <c r="K1129" s="3">
        <f t="shared" si="45"/>
        <v>0</v>
      </c>
      <c r="L1129" s="3"/>
      <c r="M1129" s="3">
        <f t="shared" si="44"/>
        <v>0</v>
      </c>
      <c r="O1129" s="5"/>
      <c r="S1129" s="6"/>
    </row>
    <row r="1130" spans="1:22" x14ac:dyDescent="0.45">
      <c r="A1130" s="124">
        <v>115187</v>
      </c>
      <c r="B1130" s="124" t="s">
        <v>18607</v>
      </c>
      <c r="C1130" s="125" t="s">
        <v>18608</v>
      </c>
      <c r="D1130" s="124">
        <v>4</v>
      </c>
      <c r="E1130" s="124" t="s">
        <v>16334</v>
      </c>
      <c r="F1130" s="126">
        <v>1.6999999999999999E-3</v>
      </c>
      <c r="G1130" s="126">
        <f>0.695%+1.5%</f>
        <v>2.1949999999999997E-2</v>
      </c>
      <c r="H1130" s="126">
        <v>5.0000000000000001E-3</v>
      </c>
      <c r="I1130" s="127"/>
      <c r="J1130" s="127"/>
      <c r="K1130" s="126">
        <f t="shared" si="45"/>
        <v>2.6949999999999998E-2</v>
      </c>
      <c r="L1130" s="3"/>
      <c r="M1130" s="126">
        <f t="shared" si="44"/>
        <v>2.8649999999999998E-2</v>
      </c>
      <c r="N1130" s="124" t="s">
        <v>18609</v>
      </c>
      <c r="O1130" s="125" t="s">
        <v>18610</v>
      </c>
      <c r="P1130" s="128" t="s">
        <v>26918</v>
      </c>
      <c r="Q1130" s="130">
        <v>362830</v>
      </c>
      <c r="R1130" s="130" t="s">
        <v>16348</v>
      </c>
      <c r="S1130" s="130">
        <v>381707</v>
      </c>
      <c r="T1130" s="134">
        <f>S1130/Q1130</f>
        <v>1.052027120138908</v>
      </c>
      <c r="V1130" s="125" t="s">
        <v>18611</v>
      </c>
    </row>
    <row r="1131" spans="1:22" customFormat="1" x14ac:dyDescent="0.45">
      <c r="A1131">
        <v>230693</v>
      </c>
      <c r="B1131" t="s">
        <v>18612</v>
      </c>
      <c r="C1131" t="s">
        <v>18613</v>
      </c>
      <c r="D1131">
        <v>1</v>
      </c>
      <c r="E1131" t="s">
        <v>18614</v>
      </c>
      <c r="F1131" s="126"/>
      <c r="G1131" s="7">
        <v>0</v>
      </c>
      <c r="H1131" s="7">
        <v>0</v>
      </c>
      <c r="I1131" s="7">
        <v>0</v>
      </c>
      <c r="J1131" s="7">
        <v>0</v>
      </c>
      <c r="K1131" s="3">
        <f t="shared" si="45"/>
        <v>0</v>
      </c>
      <c r="L1131" s="3"/>
      <c r="M1131" s="3">
        <f t="shared" si="44"/>
        <v>0</v>
      </c>
      <c r="O1131" s="5"/>
      <c r="S1131" s="6"/>
    </row>
    <row r="1132" spans="1:22" customFormat="1" x14ac:dyDescent="0.45">
      <c r="A1132">
        <v>230734</v>
      </c>
      <c r="B1132" t="s">
        <v>18615</v>
      </c>
      <c r="C1132" t="s">
        <v>16331</v>
      </c>
      <c r="D1132">
        <v>1</v>
      </c>
      <c r="E1132" t="s">
        <v>16331</v>
      </c>
      <c r="F1132" s="126"/>
      <c r="G1132" s="7">
        <v>0</v>
      </c>
      <c r="H1132" s="7">
        <v>0</v>
      </c>
      <c r="I1132" s="7">
        <v>0</v>
      </c>
      <c r="J1132" s="7">
        <v>0</v>
      </c>
      <c r="K1132" s="3">
        <f t="shared" si="45"/>
        <v>0</v>
      </c>
      <c r="L1132" s="3"/>
      <c r="M1132" s="3">
        <f t="shared" si="44"/>
        <v>0</v>
      </c>
      <c r="O1132" s="5"/>
      <c r="S1132" s="6"/>
    </row>
    <row r="1133" spans="1:22" customFormat="1" x14ac:dyDescent="0.45">
      <c r="A1133">
        <v>230809</v>
      </c>
      <c r="B1133" t="s">
        <v>18616</v>
      </c>
      <c r="C1133" t="s">
        <v>18617</v>
      </c>
      <c r="D1133">
        <v>3</v>
      </c>
      <c r="F1133" s="126"/>
      <c r="G1133" s="3">
        <v>0</v>
      </c>
      <c r="H1133" s="3">
        <v>0</v>
      </c>
      <c r="I1133" s="3">
        <v>0</v>
      </c>
      <c r="J1133" s="3">
        <v>0</v>
      </c>
      <c r="K1133" s="3">
        <f t="shared" si="45"/>
        <v>0</v>
      </c>
      <c r="L1133" s="3"/>
      <c r="M1133" s="3">
        <f t="shared" si="44"/>
        <v>0</v>
      </c>
      <c r="O1133" s="5"/>
      <c r="S1133" s="6"/>
    </row>
    <row r="1134" spans="1:22" customFormat="1" x14ac:dyDescent="0.45">
      <c r="A1134">
        <v>230900</v>
      </c>
      <c r="B1134" t="s">
        <v>18618</v>
      </c>
      <c r="C1134" t="s">
        <v>16331</v>
      </c>
      <c r="D1134">
        <v>0</v>
      </c>
      <c r="E1134" t="s">
        <v>16331</v>
      </c>
      <c r="F1134" s="126"/>
      <c r="G1134" s="7">
        <v>0</v>
      </c>
      <c r="H1134" s="7">
        <v>0</v>
      </c>
      <c r="I1134" s="7">
        <v>0</v>
      </c>
      <c r="J1134" s="7">
        <v>0</v>
      </c>
      <c r="K1134" s="3">
        <f t="shared" si="45"/>
        <v>0</v>
      </c>
      <c r="L1134" s="3"/>
      <c r="M1134" s="3">
        <f t="shared" si="44"/>
        <v>0</v>
      </c>
      <c r="O1134" s="5"/>
      <c r="S1134" s="6"/>
    </row>
    <row r="1135" spans="1:22" customFormat="1" x14ac:dyDescent="0.45">
      <c r="A1135">
        <v>231014</v>
      </c>
      <c r="B1135" t="s">
        <v>18619</v>
      </c>
      <c r="C1135" t="s">
        <v>18620</v>
      </c>
      <c r="D1135">
        <v>3</v>
      </c>
      <c r="F1135" s="126"/>
      <c r="K1135" s="3">
        <f t="shared" si="45"/>
        <v>0</v>
      </c>
      <c r="L1135" s="3"/>
      <c r="M1135" s="3">
        <f t="shared" si="44"/>
        <v>0</v>
      </c>
      <c r="O1135" s="5"/>
      <c r="S1135" s="6"/>
    </row>
    <row r="1136" spans="1:22" customFormat="1" x14ac:dyDescent="0.45">
      <c r="A1136">
        <v>231108</v>
      </c>
      <c r="B1136" t="s">
        <v>18621</v>
      </c>
      <c r="C1136" t="s">
        <v>18622</v>
      </c>
      <c r="D1136">
        <v>10</v>
      </c>
      <c r="F1136" s="126"/>
      <c r="G1136" s="3">
        <v>0</v>
      </c>
      <c r="H1136" s="3">
        <v>0</v>
      </c>
      <c r="I1136" s="3">
        <v>0</v>
      </c>
      <c r="J1136" s="3">
        <v>0</v>
      </c>
      <c r="K1136" s="3">
        <f t="shared" si="45"/>
        <v>0</v>
      </c>
      <c r="L1136" s="3"/>
      <c r="M1136" s="3">
        <f t="shared" si="44"/>
        <v>0</v>
      </c>
      <c r="O1136" s="5"/>
      <c r="S1136" s="6"/>
    </row>
    <row r="1137" spans="1:22" customFormat="1" x14ac:dyDescent="0.45">
      <c r="A1137">
        <v>231131</v>
      </c>
      <c r="B1137" t="s">
        <v>18623</v>
      </c>
      <c r="C1137" t="s">
        <v>16331</v>
      </c>
      <c r="D1137">
        <v>1</v>
      </c>
      <c r="E1137" t="s">
        <v>16331</v>
      </c>
      <c r="F1137" s="126"/>
      <c r="G1137" s="7">
        <v>0</v>
      </c>
      <c r="H1137" s="7">
        <v>0</v>
      </c>
      <c r="I1137" s="7">
        <v>0</v>
      </c>
      <c r="J1137" s="7">
        <v>0</v>
      </c>
      <c r="K1137" s="3">
        <f t="shared" si="45"/>
        <v>0</v>
      </c>
      <c r="L1137" s="3"/>
      <c r="M1137" s="3">
        <f t="shared" si="44"/>
        <v>0</v>
      </c>
      <c r="O1137" s="5"/>
      <c r="S1137" s="6"/>
    </row>
    <row r="1138" spans="1:22" customFormat="1" x14ac:dyDescent="0.45">
      <c r="A1138">
        <v>231135</v>
      </c>
      <c r="B1138" t="s">
        <v>18624</v>
      </c>
      <c r="C1138" t="s">
        <v>18625</v>
      </c>
      <c r="D1138">
        <v>2</v>
      </c>
      <c r="F1138" s="126"/>
      <c r="K1138" s="3">
        <f t="shared" si="45"/>
        <v>0</v>
      </c>
      <c r="L1138" s="3"/>
      <c r="M1138" s="3">
        <f t="shared" si="44"/>
        <v>0</v>
      </c>
      <c r="O1138" s="5"/>
      <c r="S1138" s="6"/>
    </row>
    <row r="1139" spans="1:22" customFormat="1" x14ac:dyDescent="0.45">
      <c r="A1139">
        <v>231167</v>
      </c>
      <c r="B1139" t="s">
        <v>18626</v>
      </c>
      <c r="C1139" t="s">
        <v>18627</v>
      </c>
      <c r="D1139">
        <v>3</v>
      </c>
      <c r="F1139" s="126"/>
      <c r="G1139" s="3">
        <v>0</v>
      </c>
      <c r="H1139" s="3">
        <v>0</v>
      </c>
      <c r="I1139" s="3">
        <v>0</v>
      </c>
      <c r="J1139" s="3">
        <v>0</v>
      </c>
      <c r="K1139" s="3">
        <f t="shared" si="45"/>
        <v>0</v>
      </c>
      <c r="L1139" s="3"/>
      <c r="M1139" s="3">
        <f t="shared" si="44"/>
        <v>0</v>
      </c>
      <c r="O1139" s="5"/>
      <c r="S1139" s="6"/>
    </row>
    <row r="1140" spans="1:22" customFormat="1" x14ac:dyDescent="0.45">
      <c r="A1140">
        <v>231170</v>
      </c>
      <c r="B1140" t="s">
        <v>18628</v>
      </c>
      <c r="C1140" t="s">
        <v>18629</v>
      </c>
      <c r="D1140">
        <v>4</v>
      </c>
      <c r="E1140" t="s">
        <v>16334</v>
      </c>
      <c r="F1140" s="126"/>
      <c r="G1140" s="7">
        <v>0</v>
      </c>
      <c r="H1140" s="7">
        <v>0</v>
      </c>
      <c r="I1140" s="7">
        <v>0</v>
      </c>
      <c r="J1140" s="7">
        <v>0</v>
      </c>
      <c r="K1140" s="3">
        <f t="shared" si="45"/>
        <v>0</v>
      </c>
      <c r="L1140" s="3"/>
      <c r="M1140" s="3">
        <f t="shared" si="44"/>
        <v>0</v>
      </c>
      <c r="O1140" s="5"/>
      <c r="S1140" s="6"/>
    </row>
    <row r="1141" spans="1:22" customFormat="1" x14ac:dyDescent="0.45">
      <c r="A1141">
        <v>231230</v>
      </c>
      <c r="B1141" t="s">
        <v>18630</v>
      </c>
      <c r="C1141" t="s">
        <v>16331</v>
      </c>
      <c r="D1141">
        <v>2</v>
      </c>
      <c r="E1141" t="s">
        <v>16331</v>
      </c>
      <c r="F1141" s="126"/>
      <c r="G1141" s="7">
        <v>0</v>
      </c>
      <c r="H1141" s="7">
        <v>0</v>
      </c>
      <c r="I1141" s="7">
        <v>0</v>
      </c>
      <c r="J1141" s="7">
        <v>0</v>
      </c>
      <c r="K1141" s="3">
        <f t="shared" si="45"/>
        <v>0</v>
      </c>
      <c r="L1141" s="3"/>
      <c r="M1141" s="3">
        <f t="shared" si="44"/>
        <v>0</v>
      </c>
      <c r="O1141" s="5"/>
      <c r="S1141" s="6"/>
    </row>
    <row r="1142" spans="1:22" customFormat="1" x14ac:dyDescent="0.45">
      <c r="A1142">
        <v>231328</v>
      </c>
      <c r="B1142" t="s">
        <v>18631</v>
      </c>
      <c r="C1142" t="s">
        <v>18632</v>
      </c>
      <c r="D1142">
        <v>0</v>
      </c>
      <c r="E1142" t="s">
        <v>16561</v>
      </c>
      <c r="F1142" s="126"/>
      <c r="G1142" s="7">
        <v>0</v>
      </c>
      <c r="H1142" s="7">
        <v>0</v>
      </c>
      <c r="I1142" s="7">
        <v>0</v>
      </c>
      <c r="J1142" s="7">
        <v>0</v>
      </c>
      <c r="K1142" s="3">
        <f t="shared" si="45"/>
        <v>0</v>
      </c>
      <c r="L1142" s="3"/>
      <c r="M1142" s="3">
        <f t="shared" si="44"/>
        <v>0</v>
      </c>
      <c r="O1142" s="5"/>
      <c r="S1142" s="6"/>
    </row>
    <row r="1143" spans="1:22" customFormat="1" x14ac:dyDescent="0.45">
      <c r="A1143">
        <v>231370</v>
      </c>
      <c r="B1143" t="s">
        <v>18633</v>
      </c>
      <c r="C1143" t="s">
        <v>16331</v>
      </c>
      <c r="D1143">
        <v>1</v>
      </c>
      <c r="E1143" t="s">
        <v>16331</v>
      </c>
      <c r="F1143" s="126"/>
      <c r="G1143" s="7">
        <v>0</v>
      </c>
      <c r="H1143" s="7">
        <v>0</v>
      </c>
      <c r="I1143" s="7">
        <v>0</v>
      </c>
      <c r="J1143" s="7">
        <v>0</v>
      </c>
      <c r="K1143" s="3">
        <f t="shared" si="45"/>
        <v>0</v>
      </c>
      <c r="L1143" s="3"/>
      <c r="M1143" s="3">
        <f t="shared" si="44"/>
        <v>0</v>
      </c>
      <c r="O1143" s="5"/>
      <c r="S1143" s="6"/>
    </row>
    <row r="1144" spans="1:22" customFormat="1" x14ac:dyDescent="0.45">
      <c r="A1144">
        <v>231408</v>
      </c>
      <c r="B1144" t="s">
        <v>18634</v>
      </c>
      <c r="C1144" t="s">
        <v>16331</v>
      </c>
      <c r="D1144">
        <v>2</v>
      </c>
      <c r="E1144" t="s">
        <v>16331</v>
      </c>
      <c r="F1144" s="126"/>
      <c r="G1144" s="7">
        <v>0</v>
      </c>
      <c r="H1144" s="7">
        <v>0</v>
      </c>
      <c r="I1144" s="7">
        <v>0</v>
      </c>
      <c r="J1144" s="7">
        <v>0</v>
      </c>
      <c r="K1144" s="3">
        <f t="shared" si="45"/>
        <v>0</v>
      </c>
      <c r="L1144" s="3"/>
      <c r="M1144" s="3">
        <f t="shared" si="44"/>
        <v>0</v>
      </c>
      <c r="O1144" s="5"/>
      <c r="S1144" s="6"/>
    </row>
    <row r="1145" spans="1:22" customFormat="1" x14ac:dyDescent="0.45">
      <c r="A1145">
        <v>231418</v>
      </c>
      <c r="B1145" t="s">
        <v>18635</v>
      </c>
      <c r="C1145" t="s">
        <v>18636</v>
      </c>
      <c r="D1145">
        <v>2</v>
      </c>
      <c r="F1145" s="126"/>
      <c r="G1145" s="7">
        <v>0</v>
      </c>
      <c r="H1145" s="7">
        <v>0</v>
      </c>
      <c r="I1145" s="7">
        <v>0</v>
      </c>
      <c r="J1145" s="7">
        <v>0</v>
      </c>
      <c r="K1145" s="3">
        <f t="shared" si="45"/>
        <v>0</v>
      </c>
      <c r="L1145" s="3"/>
      <c r="M1145" s="3">
        <f t="shared" si="44"/>
        <v>0</v>
      </c>
      <c r="O1145" s="5"/>
      <c r="S1145" s="6"/>
    </row>
    <row r="1146" spans="1:22" customFormat="1" x14ac:dyDescent="0.45">
      <c r="A1146">
        <v>231492</v>
      </c>
      <c r="B1146" t="s">
        <v>18637</v>
      </c>
      <c r="C1146" t="s">
        <v>18638</v>
      </c>
      <c r="D1146">
        <v>3</v>
      </c>
      <c r="F1146" s="126"/>
      <c r="G1146" s="7">
        <v>0</v>
      </c>
      <c r="H1146" s="7">
        <v>0</v>
      </c>
      <c r="I1146" s="7">
        <v>0</v>
      </c>
      <c r="J1146" s="7">
        <v>0</v>
      </c>
      <c r="K1146" s="3">
        <f t="shared" si="45"/>
        <v>0</v>
      </c>
      <c r="L1146" s="3"/>
      <c r="M1146" s="3">
        <f t="shared" ref="M1146:M1209" si="46">K1146+F1146</f>
        <v>0</v>
      </c>
      <c r="O1146" s="5"/>
      <c r="S1146" s="6"/>
    </row>
    <row r="1147" spans="1:22" customFormat="1" x14ac:dyDescent="0.45">
      <c r="A1147">
        <v>231578</v>
      </c>
      <c r="B1147" t="s">
        <v>18639</v>
      </c>
      <c r="C1147" t="s">
        <v>16331</v>
      </c>
      <c r="D1147">
        <v>2</v>
      </c>
      <c r="E1147" t="s">
        <v>16331</v>
      </c>
      <c r="F1147" s="126"/>
      <c r="G1147" s="7">
        <v>0</v>
      </c>
      <c r="H1147" s="7">
        <v>0</v>
      </c>
      <c r="I1147" s="7">
        <v>0</v>
      </c>
      <c r="J1147" s="7">
        <v>0</v>
      </c>
      <c r="K1147" s="3">
        <f t="shared" si="45"/>
        <v>0</v>
      </c>
      <c r="L1147" s="3"/>
      <c r="M1147" s="3">
        <f t="shared" si="46"/>
        <v>0</v>
      </c>
      <c r="O1147" s="5"/>
      <c r="S1147" s="6"/>
    </row>
    <row r="1148" spans="1:22" customFormat="1" x14ac:dyDescent="0.45">
      <c r="A1148">
        <v>231580</v>
      </c>
      <c r="B1148" t="s">
        <v>18640</v>
      </c>
      <c r="C1148" t="s">
        <v>18641</v>
      </c>
      <c r="D1148">
        <v>5</v>
      </c>
      <c r="F1148" s="126"/>
      <c r="G1148" s="7">
        <v>0</v>
      </c>
      <c r="H1148" s="7">
        <v>0</v>
      </c>
      <c r="I1148" s="7">
        <v>0</v>
      </c>
      <c r="J1148" s="7">
        <v>0</v>
      </c>
      <c r="K1148" s="3">
        <f t="shared" si="45"/>
        <v>0</v>
      </c>
      <c r="L1148" s="3"/>
      <c r="M1148" s="3">
        <f t="shared" si="46"/>
        <v>0</v>
      </c>
      <c r="O1148" s="5"/>
      <c r="S1148" s="6"/>
    </row>
    <row r="1149" spans="1:22" customFormat="1" x14ac:dyDescent="0.45">
      <c r="A1149">
        <v>231629</v>
      </c>
      <c r="B1149" t="s">
        <v>18642</v>
      </c>
      <c r="C1149" t="s">
        <v>18643</v>
      </c>
      <c r="D1149">
        <v>2</v>
      </c>
      <c r="F1149" s="126"/>
      <c r="G1149" s="7">
        <v>0</v>
      </c>
      <c r="H1149" s="7">
        <v>0</v>
      </c>
      <c r="I1149" s="7">
        <v>0</v>
      </c>
      <c r="J1149" s="7">
        <v>0</v>
      </c>
      <c r="K1149" s="3">
        <f t="shared" si="45"/>
        <v>0</v>
      </c>
      <c r="L1149" s="3"/>
      <c r="M1149" s="3">
        <f t="shared" si="46"/>
        <v>0</v>
      </c>
      <c r="O1149" s="5"/>
      <c r="S1149" s="6"/>
    </row>
    <row r="1150" spans="1:22" x14ac:dyDescent="0.45">
      <c r="A1150" s="124">
        <v>963900</v>
      </c>
      <c r="B1150" s="124" t="s">
        <v>18644</v>
      </c>
      <c r="C1150" s="125" t="s">
        <v>18645</v>
      </c>
      <c r="D1150" s="124">
        <v>1</v>
      </c>
      <c r="E1150" s="124" t="s">
        <v>16334</v>
      </c>
      <c r="F1150" s="126">
        <v>1.6999999999999999E-3</v>
      </c>
      <c r="G1150" s="126">
        <v>2.5000000000000001E-2</v>
      </c>
      <c r="H1150" s="126">
        <v>5.0000000000000001E-3</v>
      </c>
      <c r="I1150" s="127"/>
      <c r="J1150" s="127"/>
      <c r="K1150" s="126">
        <f t="shared" si="45"/>
        <v>3.0000000000000002E-2</v>
      </c>
      <c r="L1150" s="3"/>
      <c r="M1150" s="126">
        <f t="shared" si="46"/>
        <v>3.1699999999999999E-2</v>
      </c>
      <c r="O1150" s="131" t="s">
        <v>18646</v>
      </c>
      <c r="P1150" s="128" t="s">
        <v>26918</v>
      </c>
      <c r="Q1150" s="124">
        <f>44676+12625</f>
        <v>57301</v>
      </c>
      <c r="R1150" s="124" t="s">
        <v>16348</v>
      </c>
      <c r="S1150" s="132">
        <v>44676</v>
      </c>
      <c r="T1150" s="129">
        <f>S1150/Q1150</f>
        <v>0.77967225702867315</v>
      </c>
      <c r="V1150" s="125" t="s">
        <v>18647</v>
      </c>
    </row>
    <row r="1151" spans="1:22" customFormat="1" x14ac:dyDescent="0.45">
      <c r="A1151">
        <v>231683</v>
      </c>
      <c r="B1151" t="s">
        <v>18648</v>
      </c>
      <c r="C1151" t="s">
        <v>16331</v>
      </c>
      <c r="D1151">
        <v>3</v>
      </c>
      <c r="E1151" t="s">
        <v>16331</v>
      </c>
      <c r="F1151" s="126"/>
      <c r="G1151" s="7">
        <v>0</v>
      </c>
      <c r="H1151" s="7">
        <v>0</v>
      </c>
      <c r="I1151" s="7">
        <v>0</v>
      </c>
      <c r="J1151" s="7">
        <v>0</v>
      </c>
      <c r="K1151" s="3">
        <f t="shared" si="45"/>
        <v>0</v>
      </c>
      <c r="L1151" s="3"/>
      <c r="M1151" s="3">
        <f t="shared" si="46"/>
        <v>0</v>
      </c>
      <c r="O1151" s="5"/>
      <c r="S1151" s="6"/>
    </row>
    <row r="1152" spans="1:22" customFormat="1" x14ac:dyDescent="0.45">
      <c r="A1152">
        <v>231686</v>
      </c>
      <c r="B1152" t="s">
        <v>18649</v>
      </c>
      <c r="C1152" t="s">
        <v>16331</v>
      </c>
      <c r="D1152">
        <v>0</v>
      </c>
      <c r="E1152" t="s">
        <v>16331</v>
      </c>
      <c r="F1152" s="126"/>
      <c r="G1152" s="7">
        <v>0</v>
      </c>
      <c r="H1152" s="7">
        <v>0</v>
      </c>
      <c r="I1152" s="7">
        <v>0</v>
      </c>
      <c r="J1152" s="7">
        <v>0</v>
      </c>
      <c r="K1152" s="3">
        <f t="shared" si="45"/>
        <v>0</v>
      </c>
      <c r="L1152" s="3"/>
      <c r="M1152" s="3">
        <f t="shared" si="46"/>
        <v>0</v>
      </c>
      <c r="O1152" s="5"/>
      <c r="S1152" s="6"/>
    </row>
    <row r="1153" spans="1:22" customFormat="1" x14ac:dyDescent="0.45">
      <c r="A1153">
        <v>231706</v>
      </c>
      <c r="B1153" t="s">
        <v>18650</v>
      </c>
      <c r="C1153" t="s">
        <v>18651</v>
      </c>
      <c r="D1153">
        <v>1</v>
      </c>
      <c r="F1153" s="126"/>
      <c r="G1153" s="3">
        <v>0</v>
      </c>
      <c r="H1153" s="3">
        <v>0</v>
      </c>
      <c r="I1153" s="3">
        <v>0</v>
      </c>
      <c r="J1153" s="3">
        <v>0</v>
      </c>
      <c r="K1153" s="3">
        <f t="shared" si="45"/>
        <v>0</v>
      </c>
      <c r="L1153" s="3"/>
      <c r="M1153" s="3">
        <f t="shared" si="46"/>
        <v>0</v>
      </c>
      <c r="O1153" s="5"/>
      <c r="S1153" s="6"/>
    </row>
    <row r="1154" spans="1:22" customFormat="1" x14ac:dyDescent="0.45">
      <c r="A1154">
        <v>231708</v>
      </c>
      <c r="B1154" t="s">
        <v>18652</v>
      </c>
      <c r="C1154" t="s">
        <v>16331</v>
      </c>
      <c r="D1154">
        <v>0</v>
      </c>
      <c r="E1154" t="s">
        <v>16331</v>
      </c>
      <c r="F1154" s="126"/>
      <c r="G1154" s="7">
        <v>0</v>
      </c>
      <c r="H1154" s="7">
        <v>0</v>
      </c>
      <c r="I1154" s="7">
        <v>0</v>
      </c>
      <c r="J1154" s="7">
        <v>0</v>
      </c>
      <c r="K1154" s="3">
        <f t="shared" si="45"/>
        <v>0</v>
      </c>
      <c r="L1154" s="3"/>
      <c r="M1154" s="3">
        <f t="shared" si="46"/>
        <v>0</v>
      </c>
      <c r="N1154" s="7"/>
      <c r="O1154" s="5"/>
      <c r="S1154" s="6"/>
    </row>
    <row r="1155" spans="1:22" customFormat="1" x14ac:dyDescent="0.45">
      <c r="A1155">
        <v>231749</v>
      </c>
      <c r="B1155" t="s">
        <v>18653</v>
      </c>
      <c r="C1155" t="s">
        <v>18654</v>
      </c>
      <c r="D1155">
        <v>6</v>
      </c>
      <c r="F1155" s="126"/>
      <c r="G1155" s="7">
        <v>0</v>
      </c>
      <c r="H1155" s="7">
        <v>0</v>
      </c>
      <c r="I1155" s="7">
        <v>0</v>
      </c>
      <c r="J1155" s="7">
        <v>0</v>
      </c>
      <c r="K1155" s="3">
        <f t="shared" si="45"/>
        <v>0</v>
      </c>
      <c r="L1155" s="3"/>
      <c r="M1155" s="3">
        <f t="shared" si="46"/>
        <v>0</v>
      </c>
      <c r="O1155" s="5"/>
      <c r="S1155" s="6"/>
    </row>
    <row r="1156" spans="1:22" customFormat="1" x14ac:dyDescent="0.45">
      <c r="A1156">
        <v>231772</v>
      </c>
      <c r="B1156" t="s">
        <v>18655</v>
      </c>
      <c r="C1156" t="s">
        <v>16331</v>
      </c>
      <c r="D1156">
        <v>1</v>
      </c>
      <c r="E1156" t="s">
        <v>16331</v>
      </c>
      <c r="F1156" s="126"/>
      <c r="K1156" s="3">
        <f t="shared" si="45"/>
        <v>0</v>
      </c>
      <c r="L1156" s="3"/>
      <c r="M1156" s="3">
        <f t="shared" si="46"/>
        <v>0</v>
      </c>
      <c r="O1156" s="5"/>
      <c r="S1156" s="6"/>
    </row>
    <row r="1157" spans="1:22" customFormat="1" x14ac:dyDescent="0.45">
      <c r="A1157">
        <v>231791</v>
      </c>
      <c r="B1157" t="s">
        <v>18656</v>
      </c>
      <c r="C1157" t="s">
        <v>18657</v>
      </c>
      <c r="D1157">
        <v>0</v>
      </c>
      <c r="E1157" t="s">
        <v>16561</v>
      </c>
      <c r="F1157" s="126"/>
      <c r="G1157" s="7">
        <v>0</v>
      </c>
      <c r="H1157" s="7">
        <v>0</v>
      </c>
      <c r="I1157" s="7">
        <v>0</v>
      </c>
      <c r="J1157" s="7">
        <v>0</v>
      </c>
      <c r="K1157" s="3">
        <f t="shared" si="45"/>
        <v>0</v>
      </c>
      <c r="L1157" s="3"/>
      <c r="M1157" s="3">
        <f t="shared" si="46"/>
        <v>0</v>
      </c>
      <c r="N1157" s="7"/>
      <c r="O1157" s="5"/>
      <c r="S1157" s="6"/>
    </row>
    <row r="1158" spans="1:22" x14ac:dyDescent="0.45">
      <c r="A1158" s="124">
        <v>823906</v>
      </c>
      <c r="B1158" s="124" t="s">
        <v>18658</v>
      </c>
      <c r="C1158" s="124" t="s">
        <v>18659</v>
      </c>
      <c r="D1158" s="124">
        <v>12</v>
      </c>
      <c r="E1158" s="124" t="s">
        <v>16334</v>
      </c>
      <c r="F1158" s="126">
        <v>1.6999999999999999E-3</v>
      </c>
      <c r="G1158" s="126"/>
      <c r="H1158" s="126"/>
      <c r="I1158" s="127">
        <v>3.0000000000000001E-3</v>
      </c>
      <c r="J1158" s="127">
        <v>5.0000000000000001E-3</v>
      </c>
      <c r="K1158" s="126">
        <f t="shared" si="45"/>
        <v>8.0000000000000002E-3</v>
      </c>
      <c r="L1158" s="3"/>
      <c r="M1158" s="126">
        <f t="shared" si="46"/>
        <v>9.7000000000000003E-3</v>
      </c>
      <c r="O1158" s="125" t="s">
        <v>18660</v>
      </c>
      <c r="P1158" s="128" t="s">
        <v>26918</v>
      </c>
      <c r="Q1158" s="130">
        <f>454117+807543</f>
        <v>1261660</v>
      </c>
      <c r="R1158" s="124" t="s">
        <v>16348</v>
      </c>
      <c r="S1158" s="130">
        <v>412850</v>
      </c>
      <c r="T1158" s="129">
        <f>S1158/Q1158</f>
        <v>0.32722762075361034</v>
      </c>
      <c r="V1158" s="125" t="s">
        <v>18661</v>
      </c>
    </row>
    <row r="1159" spans="1:22" customFormat="1" x14ac:dyDescent="0.45">
      <c r="A1159">
        <v>231905</v>
      </c>
      <c r="B1159" t="s">
        <v>18662</v>
      </c>
      <c r="C1159" t="s">
        <v>16331</v>
      </c>
      <c r="D1159">
        <v>1</v>
      </c>
      <c r="E1159" t="s">
        <v>16331</v>
      </c>
      <c r="F1159" s="126"/>
      <c r="G1159" s="7">
        <v>0</v>
      </c>
      <c r="H1159" s="7">
        <v>0</v>
      </c>
      <c r="I1159" s="7">
        <v>0</v>
      </c>
      <c r="J1159" s="7">
        <v>0</v>
      </c>
      <c r="K1159" s="3">
        <f t="shared" si="45"/>
        <v>0</v>
      </c>
      <c r="L1159" s="3"/>
      <c r="M1159" s="3">
        <f t="shared" si="46"/>
        <v>0</v>
      </c>
      <c r="O1159" s="5"/>
      <c r="S1159" s="6"/>
    </row>
    <row r="1160" spans="1:22" customFormat="1" x14ac:dyDescent="0.45">
      <c r="A1160">
        <v>231910</v>
      </c>
      <c r="B1160" t="s">
        <v>18663</v>
      </c>
      <c r="C1160" t="s">
        <v>18664</v>
      </c>
      <c r="D1160">
        <v>4</v>
      </c>
      <c r="F1160" s="126"/>
      <c r="K1160" s="3">
        <f t="shared" si="45"/>
        <v>0</v>
      </c>
      <c r="L1160" s="3"/>
      <c r="M1160" s="3">
        <f t="shared" si="46"/>
        <v>0</v>
      </c>
      <c r="O1160" s="5"/>
      <c r="S1160" s="6"/>
    </row>
    <row r="1161" spans="1:22" customFormat="1" x14ac:dyDescent="0.45">
      <c r="A1161">
        <v>231993</v>
      </c>
      <c r="B1161" t="s">
        <v>18665</v>
      </c>
      <c r="C1161" t="s">
        <v>18666</v>
      </c>
      <c r="D1161">
        <v>2</v>
      </c>
      <c r="F1161" s="126"/>
      <c r="G1161" s="7">
        <v>0</v>
      </c>
      <c r="H1161" s="7">
        <v>0</v>
      </c>
      <c r="I1161" s="7">
        <v>0</v>
      </c>
      <c r="J1161" s="7">
        <v>0</v>
      </c>
      <c r="K1161" s="3">
        <f t="shared" si="45"/>
        <v>0</v>
      </c>
      <c r="L1161" s="3"/>
      <c r="M1161" s="3">
        <f t="shared" si="46"/>
        <v>0</v>
      </c>
      <c r="O1161" s="5"/>
      <c r="S1161" s="6"/>
    </row>
    <row r="1162" spans="1:22" customFormat="1" x14ac:dyDescent="0.45">
      <c r="A1162">
        <v>232027</v>
      </c>
      <c r="B1162" t="s">
        <v>18667</v>
      </c>
      <c r="C1162" t="s">
        <v>16331</v>
      </c>
      <c r="D1162">
        <v>1</v>
      </c>
      <c r="E1162" t="s">
        <v>16331</v>
      </c>
      <c r="F1162" s="126"/>
      <c r="G1162" s="7">
        <v>0</v>
      </c>
      <c r="H1162" s="7">
        <v>0</v>
      </c>
      <c r="I1162" s="7">
        <v>0</v>
      </c>
      <c r="J1162" s="7">
        <v>0</v>
      </c>
      <c r="K1162" s="3">
        <f t="shared" si="45"/>
        <v>0</v>
      </c>
      <c r="L1162" s="3"/>
      <c r="M1162" s="3">
        <f t="shared" si="46"/>
        <v>0</v>
      </c>
      <c r="O1162" s="5"/>
      <c r="S1162" s="6"/>
    </row>
    <row r="1163" spans="1:22" customFormat="1" x14ac:dyDescent="0.45">
      <c r="A1163">
        <v>232052</v>
      </c>
      <c r="B1163" t="s">
        <v>18668</v>
      </c>
      <c r="C1163" t="s">
        <v>18669</v>
      </c>
      <c r="D1163">
        <v>3</v>
      </c>
      <c r="E1163" t="s">
        <v>16334</v>
      </c>
      <c r="F1163" s="126"/>
      <c r="G1163" s="3">
        <v>0</v>
      </c>
      <c r="H1163" s="3">
        <v>0</v>
      </c>
      <c r="I1163" s="3">
        <v>0</v>
      </c>
      <c r="J1163" s="3">
        <v>0</v>
      </c>
      <c r="K1163" s="3">
        <f t="shared" si="45"/>
        <v>0</v>
      </c>
      <c r="L1163" s="3"/>
      <c r="M1163" s="3">
        <f t="shared" si="46"/>
        <v>0</v>
      </c>
      <c r="O1163" s="5"/>
      <c r="S1163" s="6"/>
    </row>
    <row r="1164" spans="1:22" customFormat="1" x14ac:dyDescent="0.45">
      <c r="A1164">
        <v>232070</v>
      </c>
      <c r="B1164" t="s">
        <v>18670</v>
      </c>
      <c r="C1164" t="s">
        <v>18671</v>
      </c>
      <c r="D1164">
        <v>5</v>
      </c>
      <c r="E1164" t="s">
        <v>16334</v>
      </c>
      <c r="F1164" s="126"/>
      <c r="G1164" s="3">
        <v>0</v>
      </c>
      <c r="H1164" s="3">
        <v>0</v>
      </c>
      <c r="I1164" s="3">
        <v>0</v>
      </c>
      <c r="J1164" s="3">
        <v>0</v>
      </c>
      <c r="K1164" s="3">
        <f t="shared" si="45"/>
        <v>0</v>
      </c>
      <c r="L1164" s="3"/>
      <c r="M1164" s="3">
        <f t="shared" si="46"/>
        <v>0</v>
      </c>
      <c r="O1164" s="5"/>
      <c r="S1164" s="6"/>
    </row>
    <row r="1165" spans="1:22" x14ac:dyDescent="0.45">
      <c r="A1165" s="124">
        <v>190914</v>
      </c>
      <c r="B1165" s="124" t="s">
        <v>18672</v>
      </c>
      <c r="C1165" s="124" t="s">
        <v>18673</v>
      </c>
      <c r="D1165" s="124">
        <v>5</v>
      </c>
      <c r="E1165" s="124" t="s">
        <v>16334</v>
      </c>
      <c r="F1165" s="126">
        <v>1.6999999999999999E-3</v>
      </c>
      <c r="G1165" s="126">
        <f>2250/100000</f>
        <v>2.2499999999999999E-2</v>
      </c>
      <c r="H1165" s="126">
        <v>0.01</v>
      </c>
      <c r="I1165" s="127">
        <v>0</v>
      </c>
      <c r="J1165" s="127">
        <v>0</v>
      </c>
      <c r="K1165" s="126">
        <f t="shared" si="45"/>
        <v>3.2500000000000001E-2</v>
      </c>
      <c r="L1165" s="3"/>
      <c r="M1165" s="126">
        <f t="shared" si="46"/>
        <v>3.4200000000000001E-2</v>
      </c>
      <c r="O1165" s="125" t="s">
        <v>18674</v>
      </c>
      <c r="P1165" s="128" t="s">
        <v>26918</v>
      </c>
      <c r="Q1165" s="130">
        <f>389331+8720</f>
        <v>398051</v>
      </c>
      <c r="R1165" s="124" t="s">
        <v>16348</v>
      </c>
      <c r="S1165" s="130">
        <v>239238</v>
      </c>
      <c r="T1165" s="129">
        <f>S1165/Q1165</f>
        <v>0.60102348694011576</v>
      </c>
      <c r="V1165" s="125" t="s">
        <v>18675</v>
      </c>
    </row>
    <row r="1166" spans="1:22" customFormat="1" x14ac:dyDescent="0.45">
      <c r="A1166">
        <v>232166</v>
      </c>
      <c r="B1166" t="s">
        <v>18676</v>
      </c>
      <c r="C1166" t="s">
        <v>18677</v>
      </c>
      <c r="D1166">
        <v>3</v>
      </c>
      <c r="E1166" t="s">
        <v>16334</v>
      </c>
      <c r="F1166" s="126"/>
      <c r="G1166" s="3">
        <v>0</v>
      </c>
      <c r="H1166" s="3">
        <v>0</v>
      </c>
      <c r="I1166" s="3">
        <v>0</v>
      </c>
      <c r="J1166" s="3">
        <v>0</v>
      </c>
      <c r="K1166" s="3">
        <f t="shared" si="45"/>
        <v>0</v>
      </c>
      <c r="L1166" s="3"/>
      <c r="M1166" s="3">
        <f t="shared" si="46"/>
        <v>0</v>
      </c>
      <c r="O1166" s="5"/>
      <c r="S1166" s="6"/>
    </row>
    <row r="1167" spans="1:22" customFormat="1" x14ac:dyDescent="0.45">
      <c r="A1167">
        <v>232169</v>
      </c>
      <c r="B1167" t="s">
        <v>18678</v>
      </c>
      <c r="C1167" t="s">
        <v>18679</v>
      </c>
      <c r="D1167">
        <v>2</v>
      </c>
      <c r="F1167" s="126"/>
      <c r="K1167" s="3">
        <f t="shared" si="45"/>
        <v>0</v>
      </c>
      <c r="L1167" s="3"/>
      <c r="M1167" s="3">
        <f t="shared" si="46"/>
        <v>0</v>
      </c>
      <c r="O1167" s="5"/>
      <c r="S1167" s="6"/>
    </row>
    <row r="1168" spans="1:22" customFormat="1" x14ac:dyDescent="0.45">
      <c r="A1168">
        <v>232170</v>
      </c>
      <c r="B1168" t="s">
        <v>18680</v>
      </c>
      <c r="C1168" t="s">
        <v>18681</v>
      </c>
      <c r="D1168">
        <v>1</v>
      </c>
      <c r="F1168" s="126"/>
      <c r="G1168" s="7">
        <v>0</v>
      </c>
      <c r="H1168" s="7">
        <v>0</v>
      </c>
      <c r="I1168" s="7">
        <v>0</v>
      </c>
      <c r="J1168" s="7">
        <v>0</v>
      </c>
      <c r="K1168" s="3">
        <f t="shared" si="45"/>
        <v>0</v>
      </c>
      <c r="L1168" s="3"/>
      <c r="M1168" s="3">
        <f t="shared" si="46"/>
        <v>0</v>
      </c>
      <c r="O1168" s="5"/>
      <c r="S1168" s="6"/>
    </row>
    <row r="1169" spans="1:23" customFormat="1" x14ac:dyDescent="0.45">
      <c r="A1169">
        <v>232236</v>
      </c>
      <c r="B1169" t="s">
        <v>18682</v>
      </c>
      <c r="C1169" s="41" t="s">
        <v>18683</v>
      </c>
      <c r="D1169">
        <v>24</v>
      </c>
      <c r="F1169" s="126"/>
      <c r="G1169" s="7">
        <v>0</v>
      </c>
      <c r="H1169" s="7">
        <v>0</v>
      </c>
      <c r="I1169" s="7">
        <v>0</v>
      </c>
      <c r="J1169" s="7">
        <v>0</v>
      </c>
      <c r="K1169" s="3">
        <f t="shared" si="45"/>
        <v>0</v>
      </c>
      <c r="L1169" s="3"/>
      <c r="M1169" s="3">
        <f t="shared" si="46"/>
        <v>0</v>
      </c>
      <c r="N1169" t="s">
        <v>18684</v>
      </c>
      <c r="O1169" s="5"/>
      <c r="S1169" s="6"/>
    </row>
    <row r="1170" spans="1:23" customFormat="1" x14ac:dyDescent="0.45">
      <c r="A1170">
        <v>232445</v>
      </c>
      <c r="B1170" t="s">
        <v>18685</v>
      </c>
      <c r="C1170" t="s">
        <v>18231</v>
      </c>
      <c r="D1170">
        <v>0</v>
      </c>
      <c r="F1170" s="126"/>
      <c r="G1170" s="7">
        <v>0</v>
      </c>
      <c r="H1170" s="7">
        <v>0</v>
      </c>
      <c r="I1170" s="7">
        <v>0</v>
      </c>
      <c r="J1170" s="7">
        <v>0</v>
      </c>
      <c r="K1170" s="3">
        <f t="shared" si="45"/>
        <v>0</v>
      </c>
      <c r="L1170" s="3"/>
      <c r="M1170" s="3">
        <f t="shared" si="46"/>
        <v>0</v>
      </c>
      <c r="O1170" s="5"/>
      <c r="S1170" s="6"/>
    </row>
    <row r="1171" spans="1:23" x14ac:dyDescent="0.45">
      <c r="A1171" s="124">
        <v>618272</v>
      </c>
      <c r="B1171" s="124" t="s">
        <v>18686</v>
      </c>
      <c r="C1171" s="124" t="s">
        <v>18687</v>
      </c>
      <c r="D1171" s="124">
        <v>20</v>
      </c>
      <c r="E1171" s="124" t="s">
        <v>16334</v>
      </c>
      <c r="F1171" s="126">
        <v>1.6999999999999999E-3</v>
      </c>
      <c r="G1171" s="126">
        <v>0</v>
      </c>
      <c r="H1171" s="126">
        <v>0</v>
      </c>
      <c r="I1171" s="126">
        <v>0.03</v>
      </c>
      <c r="J1171" s="126">
        <v>7.4999999999999997E-3</v>
      </c>
      <c r="K1171" s="126">
        <f t="shared" si="45"/>
        <v>3.7499999999999999E-2</v>
      </c>
      <c r="L1171" s="3"/>
      <c r="M1171" s="126">
        <f t="shared" si="46"/>
        <v>3.9199999999999999E-2</v>
      </c>
      <c r="N1171" s="124" t="s">
        <v>18688</v>
      </c>
      <c r="O1171" s="131" t="s">
        <v>18689</v>
      </c>
      <c r="P1171" s="128" t="s">
        <v>26918</v>
      </c>
      <c r="Q1171" s="130">
        <f>1326386+984359</f>
        <v>2310745</v>
      </c>
      <c r="R1171" s="124" t="s">
        <v>16348</v>
      </c>
      <c r="S1171" s="132">
        <v>1306958</v>
      </c>
      <c r="T1171" s="129">
        <f>S1171/Q1171</f>
        <v>0.56560027177382188</v>
      </c>
      <c r="V1171" s="125" t="s">
        <v>18690</v>
      </c>
    </row>
    <row r="1172" spans="1:23" customFormat="1" x14ac:dyDescent="0.45">
      <c r="A1172">
        <v>232552</v>
      </c>
      <c r="B1172" t="s">
        <v>18691</v>
      </c>
      <c r="C1172" t="s">
        <v>16331</v>
      </c>
      <c r="D1172">
        <v>1</v>
      </c>
      <c r="E1172" t="s">
        <v>16331</v>
      </c>
      <c r="F1172" s="126"/>
      <c r="G1172" s="7">
        <v>0</v>
      </c>
      <c r="H1172" s="7">
        <v>0</v>
      </c>
      <c r="I1172" s="7">
        <v>0</v>
      </c>
      <c r="J1172" s="7">
        <v>0</v>
      </c>
      <c r="K1172" s="3">
        <f t="shared" si="45"/>
        <v>0</v>
      </c>
      <c r="L1172" s="3"/>
      <c r="M1172" s="3">
        <f t="shared" si="46"/>
        <v>0</v>
      </c>
      <c r="O1172" s="5"/>
      <c r="S1172" s="6"/>
    </row>
    <row r="1173" spans="1:23" customFormat="1" x14ac:dyDescent="0.45">
      <c r="A1173">
        <v>300190</v>
      </c>
      <c r="B1173" t="s">
        <v>18692</v>
      </c>
      <c r="C1173" t="s">
        <v>16331</v>
      </c>
      <c r="D1173">
        <v>1</v>
      </c>
      <c r="E1173" t="s">
        <v>16331</v>
      </c>
      <c r="F1173" s="126"/>
      <c r="G1173" s="7">
        <v>0</v>
      </c>
      <c r="H1173" s="7">
        <v>0</v>
      </c>
      <c r="I1173" s="7">
        <v>0</v>
      </c>
      <c r="J1173" s="7">
        <v>0</v>
      </c>
      <c r="K1173" s="3">
        <f t="shared" si="45"/>
        <v>0</v>
      </c>
      <c r="L1173" s="3"/>
      <c r="M1173" s="3">
        <f t="shared" si="46"/>
        <v>0</v>
      </c>
      <c r="O1173" s="5"/>
      <c r="S1173" s="6"/>
    </row>
    <row r="1174" spans="1:23" customFormat="1" x14ac:dyDescent="0.45">
      <c r="A1174">
        <v>300261</v>
      </c>
      <c r="B1174" t="s">
        <v>18693</v>
      </c>
      <c r="C1174" t="s">
        <v>18694</v>
      </c>
      <c r="D1174">
        <v>1</v>
      </c>
      <c r="E1174" t="s">
        <v>16491</v>
      </c>
      <c r="F1174" s="126"/>
      <c r="G1174" s="7">
        <v>0</v>
      </c>
      <c r="H1174" s="7">
        <v>0</v>
      </c>
      <c r="I1174" s="7">
        <v>0</v>
      </c>
      <c r="J1174" s="7">
        <v>0</v>
      </c>
      <c r="K1174" s="3">
        <f t="shared" si="45"/>
        <v>0</v>
      </c>
      <c r="L1174" s="3"/>
      <c r="M1174" s="3">
        <f t="shared" si="46"/>
        <v>0</v>
      </c>
      <c r="O1174" s="5"/>
      <c r="S1174" s="6"/>
    </row>
    <row r="1175" spans="1:23" customFormat="1" x14ac:dyDescent="0.45">
      <c r="A1175">
        <v>300320</v>
      </c>
      <c r="B1175" t="s">
        <v>18695</v>
      </c>
      <c r="C1175" t="s">
        <v>18696</v>
      </c>
      <c r="D1175">
        <v>1</v>
      </c>
      <c r="F1175" s="126"/>
      <c r="G1175" s="7">
        <v>0</v>
      </c>
      <c r="H1175" s="7">
        <v>0</v>
      </c>
      <c r="I1175" s="7">
        <v>0</v>
      </c>
      <c r="J1175" s="7">
        <v>0</v>
      </c>
      <c r="K1175" s="3">
        <f t="shared" si="45"/>
        <v>0</v>
      </c>
      <c r="L1175" s="3"/>
      <c r="M1175" s="3">
        <f t="shared" si="46"/>
        <v>0</v>
      </c>
      <c r="O1175" s="5"/>
      <c r="S1175" s="6"/>
    </row>
    <row r="1176" spans="1:23" x14ac:dyDescent="0.45">
      <c r="A1176" s="124">
        <v>457946</v>
      </c>
      <c r="B1176" s="124" t="s">
        <v>18697</v>
      </c>
      <c r="C1176" s="124" t="s">
        <v>18698</v>
      </c>
      <c r="D1176" s="124">
        <v>3</v>
      </c>
      <c r="E1176" s="124" t="s">
        <v>16334</v>
      </c>
      <c r="F1176" s="126">
        <v>1.6999999999999999E-3</v>
      </c>
      <c r="G1176" s="126">
        <f>4%+2%</f>
        <v>0.06</v>
      </c>
      <c r="H1176" s="126">
        <v>6.0000000000000001E-3</v>
      </c>
      <c r="I1176" s="127">
        <v>0</v>
      </c>
      <c r="J1176" s="127">
        <v>0</v>
      </c>
      <c r="K1176" s="126">
        <f t="shared" si="45"/>
        <v>6.6000000000000003E-2</v>
      </c>
      <c r="L1176" s="3"/>
      <c r="M1176" s="126">
        <f t="shared" si="46"/>
        <v>6.7699999999999996E-2</v>
      </c>
      <c r="O1176" s="131" t="s">
        <v>18699</v>
      </c>
      <c r="P1176" s="128" t="s">
        <v>26918</v>
      </c>
      <c r="Q1176" s="132">
        <f>S1176+71424</f>
        <v>343179</v>
      </c>
      <c r="R1176" s="124" t="s">
        <v>16348</v>
      </c>
      <c r="S1176" s="132">
        <v>271755</v>
      </c>
      <c r="T1176" s="129">
        <f>S1176/Q1176</f>
        <v>0.79187537698985078</v>
      </c>
      <c r="V1176" s="125" t="s">
        <v>18700</v>
      </c>
      <c r="W1176" s="124" t="s">
        <v>17130</v>
      </c>
    </row>
    <row r="1177" spans="1:23" customFormat="1" x14ac:dyDescent="0.45">
      <c r="A1177">
        <v>300657</v>
      </c>
      <c r="B1177" t="s">
        <v>18701</v>
      </c>
      <c r="C1177" t="s">
        <v>18702</v>
      </c>
      <c r="D1177">
        <v>6</v>
      </c>
      <c r="F1177" s="126"/>
      <c r="K1177" s="3">
        <f t="shared" si="45"/>
        <v>0</v>
      </c>
      <c r="L1177" s="3"/>
      <c r="M1177" s="3">
        <f t="shared" si="46"/>
        <v>0</v>
      </c>
      <c r="O1177" s="5"/>
      <c r="S1177" s="6"/>
    </row>
    <row r="1178" spans="1:23" s="44" customFormat="1" x14ac:dyDescent="0.45">
      <c r="A1178" s="44">
        <v>300684</v>
      </c>
      <c r="B1178" s="44" t="s">
        <v>18703</v>
      </c>
      <c r="C1178" s="44" t="s">
        <v>18704</v>
      </c>
      <c r="D1178" s="44">
        <v>4</v>
      </c>
      <c r="F1178" s="126"/>
      <c r="G1178" s="45">
        <v>0</v>
      </c>
      <c r="H1178" s="45">
        <v>0</v>
      </c>
      <c r="I1178" s="45">
        <v>0</v>
      </c>
      <c r="J1178" s="45">
        <v>0</v>
      </c>
      <c r="K1178" s="45">
        <f t="shared" si="45"/>
        <v>0</v>
      </c>
      <c r="L1178" s="45"/>
      <c r="M1178" s="45">
        <f t="shared" si="46"/>
        <v>0</v>
      </c>
      <c r="T1178" s="10"/>
    </row>
    <row r="1179" spans="1:23" customFormat="1" x14ac:dyDescent="0.45">
      <c r="A1179">
        <v>300718</v>
      </c>
      <c r="B1179" t="s">
        <v>18705</v>
      </c>
      <c r="C1179" t="s">
        <v>18706</v>
      </c>
      <c r="D1179">
        <v>0</v>
      </c>
      <c r="E1179" t="s">
        <v>16334</v>
      </c>
      <c r="F1179" s="126"/>
      <c r="G1179" s="7">
        <v>0</v>
      </c>
      <c r="H1179" s="7">
        <v>0</v>
      </c>
      <c r="I1179" s="7">
        <v>0</v>
      </c>
      <c r="J1179" s="7">
        <v>0</v>
      </c>
      <c r="K1179" s="3">
        <f t="shared" si="45"/>
        <v>0</v>
      </c>
      <c r="L1179" s="3"/>
      <c r="M1179" s="3">
        <f t="shared" si="46"/>
        <v>0</v>
      </c>
      <c r="O1179" s="5"/>
      <c r="S1179" s="6"/>
    </row>
    <row r="1180" spans="1:23" customFormat="1" x14ac:dyDescent="0.45">
      <c r="A1180">
        <v>300784</v>
      </c>
      <c r="B1180" t="s">
        <v>18707</v>
      </c>
      <c r="C1180" t="s">
        <v>18708</v>
      </c>
      <c r="D1180">
        <v>2</v>
      </c>
      <c r="E1180" t="s">
        <v>16334</v>
      </c>
      <c r="F1180" s="126"/>
      <c r="G1180" s="3">
        <v>0</v>
      </c>
      <c r="H1180" s="3">
        <v>0</v>
      </c>
      <c r="I1180" s="3">
        <v>0</v>
      </c>
      <c r="J1180" s="3">
        <v>0</v>
      </c>
      <c r="K1180" s="3">
        <f t="shared" si="45"/>
        <v>0</v>
      </c>
      <c r="L1180" s="3"/>
      <c r="M1180" s="3">
        <f t="shared" si="46"/>
        <v>0</v>
      </c>
      <c r="O1180" s="5"/>
      <c r="S1180" s="6"/>
    </row>
    <row r="1181" spans="1:23" customFormat="1" x14ac:dyDescent="0.45">
      <c r="A1181">
        <v>300815</v>
      </c>
      <c r="B1181" t="s">
        <v>18709</v>
      </c>
      <c r="C1181" t="s">
        <v>18710</v>
      </c>
      <c r="D1181">
        <v>1</v>
      </c>
      <c r="E1181" t="s">
        <v>16334</v>
      </c>
      <c r="F1181" s="126"/>
      <c r="G1181" s="7">
        <v>0</v>
      </c>
      <c r="H1181" s="7">
        <v>0</v>
      </c>
      <c r="I1181" s="7">
        <v>0</v>
      </c>
      <c r="J1181" s="7">
        <v>0</v>
      </c>
      <c r="K1181" s="3">
        <f t="shared" si="45"/>
        <v>0</v>
      </c>
      <c r="L1181" s="3"/>
      <c r="M1181" s="3">
        <f t="shared" si="46"/>
        <v>0</v>
      </c>
      <c r="O1181" s="5"/>
      <c r="S1181" s="6"/>
    </row>
    <row r="1182" spans="1:23" customFormat="1" x14ac:dyDescent="0.45">
      <c r="A1182">
        <v>300856</v>
      </c>
      <c r="B1182" t="s">
        <v>18711</v>
      </c>
      <c r="C1182" t="s">
        <v>18712</v>
      </c>
      <c r="D1182">
        <v>2</v>
      </c>
      <c r="E1182" t="s">
        <v>16334</v>
      </c>
      <c r="F1182" s="126"/>
      <c r="G1182" s="7">
        <v>0</v>
      </c>
      <c r="H1182" s="7">
        <v>0</v>
      </c>
      <c r="I1182" s="7">
        <v>0</v>
      </c>
      <c r="J1182" s="7">
        <v>0</v>
      </c>
      <c r="K1182" s="3">
        <f t="shared" si="45"/>
        <v>0</v>
      </c>
      <c r="L1182" s="3"/>
      <c r="M1182" s="3">
        <f t="shared" si="46"/>
        <v>0</v>
      </c>
      <c r="O1182" s="5"/>
      <c r="S1182" s="6"/>
    </row>
    <row r="1183" spans="1:23" customFormat="1" x14ac:dyDescent="0.45">
      <c r="A1183">
        <v>300899</v>
      </c>
      <c r="B1183" t="s">
        <v>18713</v>
      </c>
      <c r="C1183" t="s">
        <v>18714</v>
      </c>
      <c r="D1183">
        <v>2</v>
      </c>
      <c r="E1183" t="s">
        <v>16334</v>
      </c>
      <c r="F1183" s="126"/>
      <c r="K1183" s="3">
        <f t="shared" si="45"/>
        <v>0</v>
      </c>
      <c r="L1183" s="3"/>
      <c r="M1183" s="3">
        <f t="shared" si="46"/>
        <v>0</v>
      </c>
      <c r="O1183" s="5"/>
      <c r="S1183" s="6"/>
    </row>
    <row r="1184" spans="1:23" customFormat="1" x14ac:dyDescent="0.45">
      <c r="A1184">
        <v>300939</v>
      </c>
      <c r="B1184" t="s">
        <v>18715</v>
      </c>
      <c r="C1184" t="s">
        <v>16331</v>
      </c>
      <c r="D1184">
        <v>1</v>
      </c>
      <c r="E1184" t="s">
        <v>16331</v>
      </c>
      <c r="F1184" s="126"/>
      <c r="G1184" s="7">
        <v>0</v>
      </c>
      <c r="H1184" s="7">
        <v>0</v>
      </c>
      <c r="I1184" s="7">
        <v>0</v>
      </c>
      <c r="J1184" s="7">
        <v>0</v>
      </c>
      <c r="K1184" s="3">
        <f t="shared" si="45"/>
        <v>0</v>
      </c>
      <c r="L1184" s="3"/>
      <c r="M1184" s="3">
        <f t="shared" si="46"/>
        <v>0</v>
      </c>
      <c r="O1184" s="5"/>
      <c r="S1184" s="6"/>
    </row>
    <row r="1185" spans="1:22" customFormat="1" x14ac:dyDescent="0.45">
      <c r="A1185">
        <v>300999</v>
      </c>
      <c r="B1185" t="s">
        <v>18716</v>
      </c>
      <c r="C1185" t="s">
        <v>18717</v>
      </c>
      <c r="D1185">
        <v>5</v>
      </c>
      <c r="E1185" t="s">
        <v>16334</v>
      </c>
      <c r="F1185" s="126"/>
      <c r="K1185" s="3">
        <f t="shared" si="45"/>
        <v>0</v>
      </c>
      <c r="L1185" s="3"/>
      <c r="M1185" s="3">
        <f t="shared" si="46"/>
        <v>0</v>
      </c>
      <c r="O1185" s="5"/>
      <c r="S1185" s="6"/>
    </row>
    <row r="1186" spans="1:22" customFormat="1" x14ac:dyDescent="0.45">
      <c r="A1186">
        <v>301132</v>
      </c>
      <c r="B1186" t="s">
        <v>18718</v>
      </c>
      <c r="C1186" t="s">
        <v>18719</v>
      </c>
      <c r="D1186">
        <v>3</v>
      </c>
      <c r="E1186" t="s">
        <v>16334</v>
      </c>
      <c r="F1186" s="126"/>
      <c r="G1186" s="7">
        <v>0</v>
      </c>
      <c r="H1186" s="7">
        <v>0</v>
      </c>
      <c r="I1186" s="7">
        <v>0</v>
      </c>
      <c r="J1186" s="7">
        <v>0</v>
      </c>
      <c r="K1186" s="3">
        <f t="shared" si="45"/>
        <v>0</v>
      </c>
      <c r="L1186" s="3"/>
      <c r="M1186" s="3">
        <f t="shared" si="46"/>
        <v>0</v>
      </c>
      <c r="O1186" s="5"/>
      <c r="S1186" s="6"/>
    </row>
    <row r="1187" spans="1:22" customFormat="1" x14ac:dyDescent="0.45">
      <c r="A1187">
        <v>301296</v>
      </c>
      <c r="B1187" t="s">
        <v>18720</v>
      </c>
      <c r="C1187" t="s">
        <v>18721</v>
      </c>
      <c r="D1187">
        <v>2</v>
      </c>
      <c r="E1187" t="s">
        <v>16334</v>
      </c>
      <c r="F1187" s="126"/>
      <c r="G1187" s="3">
        <v>0</v>
      </c>
      <c r="H1187" s="3">
        <v>0</v>
      </c>
      <c r="I1187" s="3">
        <v>0</v>
      </c>
      <c r="J1187" s="3">
        <v>0</v>
      </c>
      <c r="K1187" s="3">
        <f t="shared" si="45"/>
        <v>0</v>
      </c>
      <c r="L1187" s="3"/>
      <c r="M1187" s="3">
        <f t="shared" si="46"/>
        <v>0</v>
      </c>
      <c r="O1187" s="5"/>
      <c r="S1187" s="6"/>
    </row>
    <row r="1188" spans="1:22" customFormat="1" x14ac:dyDescent="0.45">
      <c r="A1188">
        <v>301368</v>
      </c>
      <c r="B1188" t="s">
        <v>18722</v>
      </c>
      <c r="C1188" t="s">
        <v>18723</v>
      </c>
      <c r="D1188">
        <v>1</v>
      </c>
      <c r="E1188" t="s">
        <v>16334</v>
      </c>
      <c r="F1188" s="126"/>
      <c r="G1188" s="7">
        <v>0</v>
      </c>
      <c r="H1188" s="7">
        <v>0</v>
      </c>
      <c r="I1188" s="7">
        <v>0</v>
      </c>
      <c r="J1188" s="7">
        <v>0</v>
      </c>
      <c r="K1188" s="3">
        <f t="shared" si="45"/>
        <v>0</v>
      </c>
      <c r="L1188" s="3"/>
      <c r="M1188" s="3">
        <f t="shared" si="46"/>
        <v>0</v>
      </c>
      <c r="O1188" s="5"/>
      <c r="S1188" s="6"/>
    </row>
    <row r="1189" spans="1:22" x14ac:dyDescent="0.45">
      <c r="A1189" s="124">
        <v>114394</v>
      </c>
      <c r="B1189" s="124" t="s">
        <v>18724</v>
      </c>
      <c r="C1189" s="125" t="s">
        <v>18725</v>
      </c>
      <c r="D1189" s="124">
        <v>19</v>
      </c>
      <c r="E1189" s="124" t="s">
        <v>16417</v>
      </c>
      <c r="F1189" s="126">
        <f>(0.99%+0.66%)/2</f>
        <v>8.2500000000000004E-3</v>
      </c>
      <c r="G1189" s="126">
        <v>0.02</v>
      </c>
      <c r="H1189" s="126">
        <v>7.4999999999999997E-3</v>
      </c>
      <c r="I1189" s="127">
        <v>0</v>
      </c>
      <c r="J1189" s="127">
        <v>0</v>
      </c>
      <c r="K1189" s="126">
        <f t="shared" si="45"/>
        <v>2.75E-2</v>
      </c>
      <c r="L1189" s="30"/>
      <c r="M1189" s="126">
        <f t="shared" si="46"/>
        <v>3.5750000000000004E-2</v>
      </c>
      <c r="N1189" s="124" t="s">
        <v>18726</v>
      </c>
      <c r="O1189" s="125" t="s">
        <v>18727</v>
      </c>
      <c r="P1189" s="125" t="s">
        <v>18728</v>
      </c>
      <c r="Q1189" s="130">
        <f>21895536+2032833</f>
        <v>23928369</v>
      </c>
      <c r="R1189" s="130" t="s">
        <v>16348</v>
      </c>
      <c r="S1189" s="130">
        <v>21891619</v>
      </c>
      <c r="T1189" s="134">
        <f>S1189/Q1189</f>
        <v>0.91488136947403309</v>
      </c>
      <c r="U1189" s="130"/>
      <c r="V1189" s="125" t="s">
        <v>18729</v>
      </c>
    </row>
    <row r="1190" spans="1:22" customFormat="1" x14ac:dyDescent="0.45">
      <c r="A1190">
        <v>301860</v>
      </c>
      <c r="B1190" t="s">
        <v>18730</v>
      </c>
      <c r="C1190" t="s">
        <v>18731</v>
      </c>
      <c r="D1190">
        <v>14</v>
      </c>
      <c r="E1190" t="s">
        <v>16334</v>
      </c>
      <c r="F1190" s="126"/>
      <c r="G1190" s="7">
        <v>0</v>
      </c>
      <c r="H1190" s="7">
        <v>0</v>
      </c>
      <c r="I1190" s="7">
        <v>0</v>
      </c>
      <c r="J1190" s="7">
        <v>0</v>
      </c>
      <c r="K1190" s="3">
        <f t="shared" si="45"/>
        <v>0</v>
      </c>
      <c r="L1190" s="3"/>
      <c r="M1190" s="3">
        <f t="shared" si="46"/>
        <v>0</v>
      </c>
      <c r="O1190" s="5"/>
      <c r="S1190" s="6"/>
    </row>
    <row r="1191" spans="1:22" customFormat="1" x14ac:dyDescent="0.45">
      <c r="A1191">
        <v>301880</v>
      </c>
      <c r="B1191" t="s">
        <v>18732</v>
      </c>
      <c r="C1191" t="s">
        <v>16331</v>
      </c>
      <c r="D1191">
        <v>1</v>
      </c>
      <c r="E1191" t="s">
        <v>16331</v>
      </c>
      <c r="F1191" s="126"/>
      <c r="G1191" s="7">
        <v>0</v>
      </c>
      <c r="H1191" s="7">
        <v>0</v>
      </c>
      <c r="I1191" s="7">
        <v>0</v>
      </c>
      <c r="J1191" s="7">
        <v>0</v>
      </c>
      <c r="K1191" s="3">
        <f t="shared" ref="K1191:K1254" si="47">SUM(G1191:J1191)</f>
        <v>0</v>
      </c>
      <c r="L1191" s="3"/>
      <c r="M1191" s="3">
        <f t="shared" si="46"/>
        <v>0</v>
      </c>
      <c r="O1191" s="5"/>
      <c r="S1191" s="6"/>
    </row>
    <row r="1192" spans="1:22" customFormat="1" x14ac:dyDescent="0.45">
      <c r="A1192">
        <v>302104</v>
      </c>
      <c r="B1192" t="s">
        <v>18733</v>
      </c>
      <c r="C1192" t="s">
        <v>16331</v>
      </c>
      <c r="D1192">
        <v>1</v>
      </c>
      <c r="E1192" t="s">
        <v>16331</v>
      </c>
      <c r="F1192" s="126"/>
      <c r="G1192" s="7">
        <v>0</v>
      </c>
      <c r="H1192" s="7">
        <v>0</v>
      </c>
      <c r="I1192" s="7">
        <v>0</v>
      </c>
      <c r="J1192" s="7">
        <v>0</v>
      </c>
      <c r="K1192" s="3">
        <f t="shared" si="47"/>
        <v>0</v>
      </c>
      <c r="L1192" s="3"/>
      <c r="M1192" s="3">
        <f t="shared" si="46"/>
        <v>0</v>
      </c>
      <c r="O1192" s="5"/>
      <c r="S1192" s="6"/>
    </row>
    <row r="1193" spans="1:22" customFormat="1" x14ac:dyDescent="0.45">
      <c r="A1193">
        <v>302170</v>
      </c>
      <c r="B1193" t="s">
        <v>18734</v>
      </c>
      <c r="C1193" t="s">
        <v>16331</v>
      </c>
      <c r="D1193">
        <v>1</v>
      </c>
      <c r="E1193" t="s">
        <v>16331</v>
      </c>
      <c r="F1193" s="126"/>
      <c r="G1193" s="7">
        <v>0</v>
      </c>
      <c r="H1193" s="7">
        <v>0</v>
      </c>
      <c r="I1193" s="7">
        <v>0</v>
      </c>
      <c r="J1193" s="7">
        <v>0</v>
      </c>
      <c r="K1193" s="3">
        <f t="shared" si="47"/>
        <v>0</v>
      </c>
      <c r="L1193" s="3"/>
      <c r="M1193" s="3">
        <f t="shared" si="46"/>
        <v>0</v>
      </c>
      <c r="N1193" s="7"/>
      <c r="O1193" s="5"/>
      <c r="S1193" s="6"/>
    </row>
    <row r="1194" spans="1:22" customFormat="1" x14ac:dyDescent="0.45">
      <c r="A1194">
        <v>302540</v>
      </c>
      <c r="B1194" t="s">
        <v>18735</v>
      </c>
      <c r="C1194" t="s">
        <v>18736</v>
      </c>
      <c r="D1194">
        <v>3</v>
      </c>
      <c r="E1194" t="s">
        <v>16334</v>
      </c>
      <c r="F1194" s="126"/>
      <c r="G1194" s="7">
        <v>0</v>
      </c>
      <c r="H1194" s="7">
        <v>0</v>
      </c>
      <c r="I1194" s="7">
        <v>0</v>
      </c>
      <c r="J1194" s="7">
        <v>0</v>
      </c>
      <c r="K1194" s="3">
        <f t="shared" si="47"/>
        <v>0</v>
      </c>
      <c r="L1194" s="3"/>
      <c r="M1194" s="3">
        <f t="shared" si="46"/>
        <v>0</v>
      </c>
      <c r="O1194" s="5"/>
      <c r="S1194" s="6"/>
    </row>
    <row r="1195" spans="1:22" customFormat="1" x14ac:dyDescent="0.45">
      <c r="A1195">
        <v>302553</v>
      </c>
      <c r="B1195" t="s">
        <v>18737</v>
      </c>
      <c r="C1195" t="s">
        <v>18738</v>
      </c>
      <c r="D1195">
        <v>4</v>
      </c>
      <c r="E1195" t="s">
        <v>18739</v>
      </c>
      <c r="F1195" s="126"/>
      <c r="G1195" s="7">
        <v>0</v>
      </c>
      <c r="H1195" s="7">
        <v>0</v>
      </c>
      <c r="I1195" s="7">
        <v>0</v>
      </c>
      <c r="J1195" s="7">
        <v>0</v>
      </c>
      <c r="K1195" s="3">
        <f t="shared" si="47"/>
        <v>0</v>
      </c>
      <c r="L1195" s="3"/>
      <c r="M1195" s="3">
        <f t="shared" si="46"/>
        <v>0</v>
      </c>
      <c r="O1195" s="5"/>
      <c r="S1195" s="6"/>
    </row>
    <row r="1196" spans="1:22" customFormat="1" x14ac:dyDescent="0.45">
      <c r="A1196">
        <v>302581</v>
      </c>
      <c r="B1196" t="s">
        <v>18740</v>
      </c>
      <c r="C1196" t="s">
        <v>18741</v>
      </c>
      <c r="D1196">
        <v>3</v>
      </c>
      <c r="E1196" t="s">
        <v>16334</v>
      </c>
      <c r="F1196" s="126"/>
      <c r="G1196" s="7">
        <v>0</v>
      </c>
      <c r="H1196" s="7">
        <v>0</v>
      </c>
      <c r="I1196" s="7">
        <v>0</v>
      </c>
      <c r="J1196" s="7">
        <v>0</v>
      </c>
      <c r="K1196" s="3">
        <f t="shared" si="47"/>
        <v>0</v>
      </c>
      <c r="L1196" s="3"/>
      <c r="M1196" s="3">
        <f t="shared" si="46"/>
        <v>0</v>
      </c>
      <c r="O1196" s="5"/>
      <c r="S1196" s="6"/>
    </row>
    <row r="1197" spans="1:22" customFormat="1" x14ac:dyDescent="0.45">
      <c r="A1197">
        <v>302865</v>
      </c>
      <c r="B1197" t="s">
        <v>18742</v>
      </c>
      <c r="C1197" t="s">
        <v>18743</v>
      </c>
      <c r="D1197">
        <v>2</v>
      </c>
      <c r="E1197" t="s">
        <v>16334</v>
      </c>
      <c r="F1197" s="126"/>
      <c r="G1197" s="7">
        <v>0</v>
      </c>
      <c r="H1197" s="7">
        <v>0</v>
      </c>
      <c r="I1197" s="7">
        <v>0</v>
      </c>
      <c r="J1197" s="7">
        <v>0</v>
      </c>
      <c r="K1197" s="3">
        <f t="shared" si="47"/>
        <v>0</v>
      </c>
      <c r="L1197" s="3"/>
      <c r="M1197" s="3">
        <f t="shared" si="46"/>
        <v>0</v>
      </c>
      <c r="O1197" s="5"/>
      <c r="S1197" s="6"/>
    </row>
    <row r="1198" spans="1:22" customFormat="1" x14ac:dyDescent="0.45">
      <c r="A1198">
        <v>302942</v>
      </c>
      <c r="B1198" t="s">
        <v>18744</v>
      </c>
      <c r="C1198" t="s">
        <v>18745</v>
      </c>
      <c r="D1198">
        <v>1</v>
      </c>
      <c r="E1198" t="s">
        <v>16334</v>
      </c>
      <c r="F1198" s="126"/>
      <c r="G1198" s="3">
        <v>0</v>
      </c>
      <c r="H1198" s="3">
        <v>0</v>
      </c>
      <c r="I1198" s="3">
        <v>0</v>
      </c>
      <c r="J1198" s="3">
        <v>0</v>
      </c>
      <c r="K1198" s="3">
        <f t="shared" si="47"/>
        <v>0</v>
      </c>
      <c r="L1198" s="3"/>
      <c r="M1198" s="3">
        <f t="shared" si="46"/>
        <v>0</v>
      </c>
      <c r="O1198" s="5"/>
      <c r="S1198" s="6"/>
    </row>
    <row r="1199" spans="1:22" customFormat="1" x14ac:dyDescent="0.45">
      <c r="A1199">
        <v>302979</v>
      </c>
      <c r="B1199" t="s">
        <v>18746</v>
      </c>
      <c r="C1199" t="s">
        <v>18747</v>
      </c>
      <c r="D1199">
        <v>2</v>
      </c>
      <c r="E1199" t="s">
        <v>18748</v>
      </c>
      <c r="F1199" s="126"/>
      <c r="G1199" s="7">
        <v>0</v>
      </c>
      <c r="H1199" s="7">
        <v>0</v>
      </c>
      <c r="I1199" s="7">
        <v>0</v>
      </c>
      <c r="J1199" s="7">
        <v>0</v>
      </c>
      <c r="K1199" s="3">
        <f t="shared" si="47"/>
        <v>0</v>
      </c>
      <c r="L1199" s="3"/>
      <c r="M1199" s="3">
        <f t="shared" si="46"/>
        <v>0</v>
      </c>
      <c r="O1199" s="5"/>
      <c r="S1199" s="6"/>
    </row>
    <row r="1200" spans="1:22" customFormat="1" x14ac:dyDescent="0.45">
      <c r="A1200">
        <v>303315</v>
      </c>
      <c r="B1200" t="s">
        <v>18749</v>
      </c>
      <c r="C1200" t="s">
        <v>18750</v>
      </c>
      <c r="D1200">
        <v>1</v>
      </c>
      <c r="E1200" t="s">
        <v>16334</v>
      </c>
      <c r="F1200" s="126"/>
      <c r="G1200" s="7">
        <v>0</v>
      </c>
      <c r="H1200" s="7">
        <v>0</v>
      </c>
      <c r="I1200" s="7">
        <v>0</v>
      </c>
      <c r="J1200" s="7">
        <v>0</v>
      </c>
      <c r="K1200" s="3">
        <f t="shared" si="47"/>
        <v>0</v>
      </c>
      <c r="L1200" s="3"/>
      <c r="M1200" s="3">
        <f t="shared" si="46"/>
        <v>0</v>
      </c>
      <c r="O1200" s="5"/>
      <c r="S1200" s="6"/>
    </row>
    <row r="1201" spans="1:22" customFormat="1" x14ac:dyDescent="0.45">
      <c r="A1201">
        <v>303543</v>
      </c>
      <c r="B1201" t="s">
        <v>18751</v>
      </c>
      <c r="C1201" t="s">
        <v>18752</v>
      </c>
      <c r="D1201">
        <v>1</v>
      </c>
      <c r="F1201" s="126"/>
      <c r="G1201" s="7">
        <v>0</v>
      </c>
      <c r="H1201" s="7">
        <v>0</v>
      </c>
      <c r="I1201" s="7">
        <v>0</v>
      </c>
      <c r="J1201" s="7">
        <v>0</v>
      </c>
      <c r="K1201" s="3">
        <f t="shared" si="47"/>
        <v>0</v>
      </c>
      <c r="L1201" s="3"/>
      <c r="M1201" s="3">
        <f t="shared" si="46"/>
        <v>0</v>
      </c>
      <c r="O1201" s="5"/>
      <c r="S1201" s="6"/>
    </row>
    <row r="1202" spans="1:22" customFormat="1" x14ac:dyDescent="0.45">
      <c r="A1202">
        <v>303560</v>
      </c>
      <c r="B1202" t="s">
        <v>18753</v>
      </c>
      <c r="C1202" t="s">
        <v>16331</v>
      </c>
      <c r="D1202">
        <v>3</v>
      </c>
      <c r="E1202" t="s">
        <v>16331</v>
      </c>
      <c r="F1202" s="126"/>
      <c r="G1202" s="7">
        <v>0</v>
      </c>
      <c r="H1202" s="7">
        <v>0</v>
      </c>
      <c r="I1202" s="7">
        <v>0</v>
      </c>
      <c r="J1202" s="7">
        <v>0</v>
      </c>
      <c r="K1202" s="3">
        <f t="shared" si="47"/>
        <v>0</v>
      </c>
      <c r="L1202" s="3"/>
      <c r="M1202" s="3">
        <f t="shared" si="46"/>
        <v>0</v>
      </c>
      <c r="O1202" s="5"/>
      <c r="S1202" s="6"/>
    </row>
    <row r="1203" spans="1:22" customFormat="1" x14ac:dyDescent="0.45">
      <c r="A1203">
        <v>303713</v>
      </c>
      <c r="B1203" t="s">
        <v>18754</v>
      </c>
      <c r="C1203" t="s">
        <v>18755</v>
      </c>
      <c r="D1203">
        <v>0</v>
      </c>
      <c r="E1203" t="s">
        <v>16561</v>
      </c>
      <c r="F1203" s="126"/>
      <c r="K1203" s="3">
        <f t="shared" si="47"/>
        <v>0</v>
      </c>
      <c r="L1203" s="3"/>
      <c r="M1203" s="3">
        <f t="shared" si="46"/>
        <v>0</v>
      </c>
      <c r="O1203" s="5"/>
      <c r="S1203" s="6"/>
    </row>
    <row r="1204" spans="1:22" customFormat="1" x14ac:dyDescent="0.45">
      <c r="A1204">
        <v>303822</v>
      </c>
      <c r="B1204" t="s">
        <v>18756</v>
      </c>
      <c r="C1204" t="s">
        <v>18757</v>
      </c>
      <c r="D1204">
        <v>1</v>
      </c>
      <c r="F1204" s="126"/>
      <c r="G1204" s="3">
        <v>0</v>
      </c>
      <c r="H1204" s="3">
        <v>0</v>
      </c>
      <c r="I1204" s="3">
        <v>0</v>
      </c>
      <c r="J1204" s="3">
        <v>0</v>
      </c>
      <c r="K1204" s="3">
        <f t="shared" si="47"/>
        <v>0</v>
      </c>
      <c r="L1204" s="3"/>
      <c r="M1204" s="3">
        <f t="shared" si="46"/>
        <v>0</v>
      </c>
      <c r="O1204" s="5"/>
      <c r="S1204" s="6"/>
    </row>
    <row r="1205" spans="1:22" customFormat="1" x14ac:dyDescent="0.45">
      <c r="A1205">
        <v>304902</v>
      </c>
      <c r="B1205" t="s">
        <v>18758</v>
      </c>
      <c r="C1205" t="s">
        <v>16331</v>
      </c>
      <c r="D1205">
        <v>1</v>
      </c>
      <c r="E1205" t="s">
        <v>16331</v>
      </c>
      <c r="F1205" s="126"/>
      <c r="G1205" s="7">
        <v>0</v>
      </c>
      <c r="H1205" s="7">
        <v>0</v>
      </c>
      <c r="I1205" s="7">
        <v>0</v>
      </c>
      <c r="J1205" s="7">
        <v>0</v>
      </c>
      <c r="K1205" s="3">
        <f t="shared" si="47"/>
        <v>0</v>
      </c>
      <c r="L1205" s="3"/>
      <c r="M1205" s="3">
        <f t="shared" si="46"/>
        <v>0</v>
      </c>
      <c r="O1205" s="5"/>
      <c r="S1205" s="6"/>
    </row>
    <row r="1206" spans="1:22" x14ac:dyDescent="0.45">
      <c r="A1206" s="124">
        <v>229892</v>
      </c>
      <c r="B1206" s="124" t="s">
        <v>18759</v>
      </c>
      <c r="C1206" s="124" t="s">
        <v>18760</v>
      </c>
      <c r="D1206" s="124">
        <v>6</v>
      </c>
      <c r="E1206" s="124" t="s">
        <v>16417</v>
      </c>
      <c r="F1206" s="126">
        <f>(0.99%+0.66%)/2</f>
        <v>8.2500000000000004E-3</v>
      </c>
      <c r="G1206" s="126">
        <v>0.02</v>
      </c>
      <c r="H1206" s="126">
        <v>7.4999999999999997E-3</v>
      </c>
      <c r="I1206" s="127">
        <v>0</v>
      </c>
      <c r="J1206" s="127">
        <v>0</v>
      </c>
      <c r="K1206" s="126">
        <f t="shared" si="47"/>
        <v>2.75E-2</v>
      </c>
      <c r="L1206" s="3"/>
      <c r="M1206" s="126">
        <f t="shared" si="46"/>
        <v>3.5750000000000004E-2</v>
      </c>
      <c r="N1206" s="135"/>
      <c r="O1206" s="125" t="s">
        <v>18727</v>
      </c>
      <c r="P1206" s="125" t="s">
        <v>18728</v>
      </c>
      <c r="Q1206" s="130">
        <f>21895536+2032833</f>
        <v>23928369</v>
      </c>
      <c r="R1206" s="130" t="s">
        <v>16348</v>
      </c>
      <c r="S1206" s="130">
        <v>21891619</v>
      </c>
      <c r="T1206" s="129">
        <f>S1206/Q1206</f>
        <v>0.91488136947403309</v>
      </c>
      <c r="V1206" s="125" t="s">
        <v>18729</v>
      </c>
    </row>
    <row r="1207" spans="1:22" customFormat="1" x14ac:dyDescent="0.45">
      <c r="A1207">
        <v>305375</v>
      </c>
      <c r="B1207" t="s">
        <v>18761</v>
      </c>
      <c r="C1207" t="s">
        <v>18762</v>
      </c>
      <c r="D1207">
        <v>1</v>
      </c>
      <c r="F1207" s="126"/>
      <c r="G1207" s="7">
        <v>0</v>
      </c>
      <c r="H1207" s="7">
        <v>0</v>
      </c>
      <c r="I1207" s="7">
        <v>0</v>
      </c>
      <c r="J1207" s="7">
        <v>0</v>
      </c>
      <c r="K1207" s="3">
        <f t="shared" si="47"/>
        <v>0</v>
      </c>
      <c r="L1207" s="3"/>
      <c r="M1207" s="3">
        <f t="shared" si="46"/>
        <v>0</v>
      </c>
      <c r="O1207" s="5"/>
      <c r="S1207" s="6"/>
    </row>
    <row r="1208" spans="1:22" customFormat="1" x14ac:dyDescent="0.45">
      <c r="A1208">
        <v>305811</v>
      </c>
      <c r="B1208" t="s">
        <v>18763</v>
      </c>
      <c r="C1208" t="s">
        <v>18764</v>
      </c>
      <c r="D1208">
        <v>3</v>
      </c>
      <c r="F1208" s="126"/>
      <c r="G1208" s="7">
        <v>0</v>
      </c>
      <c r="H1208" s="7">
        <v>0</v>
      </c>
      <c r="I1208" s="7">
        <v>0</v>
      </c>
      <c r="J1208" s="7">
        <v>0</v>
      </c>
      <c r="K1208" s="3">
        <f t="shared" si="47"/>
        <v>0</v>
      </c>
      <c r="L1208" s="3"/>
      <c r="M1208" s="3">
        <f t="shared" si="46"/>
        <v>0</v>
      </c>
      <c r="O1208" s="5"/>
      <c r="S1208" s="6"/>
    </row>
    <row r="1209" spans="1:22" customFormat="1" x14ac:dyDescent="0.45">
      <c r="A1209">
        <v>305837</v>
      </c>
      <c r="B1209" t="s">
        <v>18765</v>
      </c>
      <c r="C1209" t="s">
        <v>18766</v>
      </c>
      <c r="D1209">
        <v>2</v>
      </c>
      <c r="F1209" s="126"/>
      <c r="G1209" s="3">
        <v>0</v>
      </c>
      <c r="H1209" s="3">
        <v>0</v>
      </c>
      <c r="I1209" s="3">
        <v>0</v>
      </c>
      <c r="J1209" s="3">
        <v>0</v>
      </c>
      <c r="K1209" s="3">
        <f t="shared" si="47"/>
        <v>0</v>
      </c>
      <c r="L1209" s="3"/>
      <c r="M1209" s="3">
        <f t="shared" si="46"/>
        <v>0</v>
      </c>
      <c r="O1209" s="5"/>
      <c r="S1209" s="6"/>
    </row>
    <row r="1210" spans="1:22" customFormat="1" x14ac:dyDescent="0.45">
      <c r="A1210">
        <v>306352</v>
      </c>
      <c r="B1210" t="s">
        <v>18767</v>
      </c>
      <c r="C1210" t="s">
        <v>16331</v>
      </c>
      <c r="D1210">
        <v>1</v>
      </c>
      <c r="E1210" t="s">
        <v>16331</v>
      </c>
      <c r="F1210" s="126"/>
      <c r="G1210" s="7">
        <v>0</v>
      </c>
      <c r="H1210" s="7">
        <v>0</v>
      </c>
      <c r="I1210" s="7">
        <v>0</v>
      </c>
      <c r="J1210" s="7">
        <v>0</v>
      </c>
      <c r="K1210" s="3">
        <f t="shared" si="47"/>
        <v>0</v>
      </c>
      <c r="L1210" s="3"/>
      <c r="M1210" s="3">
        <f t="shared" ref="M1210:M1276" si="48">K1210+F1210</f>
        <v>0</v>
      </c>
      <c r="O1210" s="5"/>
      <c r="S1210" s="6"/>
    </row>
    <row r="1211" spans="1:22" customFormat="1" x14ac:dyDescent="0.45">
      <c r="A1211">
        <v>307222</v>
      </c>
      <c r="B1211" t="s">
        <v>18768</v>
      </c>
      <c r="C1211" t="s">
        <v>18769</v>
      </c>
      <c r="D1211">
        <v>0</v>
      </c>
      <c r="E1211" t="s">
        <v>16561</v>
      </c>
      <c r="F1211" s="126"/>
      <c r="G1211" s="3">
        <v>0</v>
      </c>
      <c r="H1211" s="3">
        <v>0</v>
      </c>
      <c r="I1211" s="3">
        <v>0</v>
      </c>
      <c r="J1211" s="3">
        <v>0</v>
      </c>
      <c r="K1211" s="3">
        <f t="shared" si="47"/>
        <v>0</v>
      </c>
      <c r="L1211" s="3"/>
      <c r="M1211" s="3">
        <f t="shared" si="48"/>
        <v>0</v>
      </c>
      <c r="O1211" s="5"/>
      <c r="S1211" s="6"/>
    </row>
    <row r="1212" spans="1:22" customFormat="1" x14ac:dyDescent="0.45">
      <c r="A1212">
        <v>307774</v>
      </c>
      <c r="B1212" t="s">
        <v>18770</v>
      </c>
      <c r="C1212" t="s">
        <v>18771</v>
      </c>
      <c r="D1212">
        <v>2</v>
      </c>
      <c r="F1212" s="126"/>
      <c r="G1212" s="7">
        <v>0</v>
      </c>
      <c r="H1212" s="7">
        <v>0</v>
      </c>
      <c r="I1212" s="7">
        <v>0</v>
      </c>
      <c r="J1212" s="7">
        <v>0</v>
      </c>
      <c r="K1212" s="3">
        <f t="shared" si="47"/>
        <v>0</v>
      </c>
      <c r="L1212" s="3"/>
      <c r="M1212" s="3">
        <f t="shared" si="48"/>
        <v>0</v>
      </c>
      <c r="O1212" s="5"/>
      <c r="S1212" s="6"/>
    </row>
    <row r="1213" spans="1:22" customFormat="1" x14ac:dyDescent="0.45">
      <c r="A1213">
        <v>308443</v>
      </c>
      <c r="B1213" t="s">
        <v>18772</v>
      </c>
      <c r="C1213" t="s">
        <v>16331</v>
      </c>
      <c r="D1213">
        <v>1</v>
      </c>
      <c r="E1213" t="s">
        <v>16331</v>
      </c>
      <c r="F1213" s="126"/>
      <c r="K1213" s="3">
        <f t="shared" si="47"/>
        <v>0</v>
      </c>
      <c r="L1213" s="3"/>
      <c r="M1213" s="3">
        <f t="shared" si="48"/>
        <v>0</v>
      </c>
      <c r="O1213" s="5"/>
      <c r="S1213" s="6"/>
    </row>
    <row r="1214" spans="1:22" customFormat="1" x14ac:dyDescent="0.45">
      <c r="A1214">
        <v>309124</v>
      </c>
      <c r="B1214" t="s">
        <v>18773</v>
      </c>
      <c r="C1214" s="2" t="s">
        <v>18774</v>
      </c>
      <c r="D1214">
        <v>5</v>
      </c>
      <c r="F1214" s="126"/>
      <c r="G1214" s="3">
        <v>0</v>
      </c>
      <c r="H1214" s="3">
        <v>0</v>
      </c>
      <c r="I1214" s="3">
        <v>0</v>
      </c>
      <c r="J1214" s="3">
        <v>0</v>
      </c>
      <c r="K1214" s="3">
        <f t="shared" si="47"/>
        <v>0</v>
      </c>
      <c r="L1214" s="3"/>
      <c r="M1214" s="3">
        <f t="shared" si="48"/>
        <v>0</v>
      </c>
      <c r="O1214" s="5"/>
      <c r="S1214" s="6"/>
    </row>
    <row r="1215" spans="1:22" customFormat="1" x14ac:dyDescent="0.45">
      <c r="A1215">
        <v>309463</v>
      </c>
      <c r="B1215" t="s">
        <v>18775</v>
      </c>
      <c r="C1215" t="s">
        <v>18776</v>
      </c>
      <c r="D1215">
        <v>1</v>
      </c>
      <c r="F1215" s="126"/>
      <c r="K1215" s="3">
        <f t="shared" si="47"/>
        <v>0</v>
      </c>
      <c r="L1215" s="3"/>
      <c r="M1215" s="3">
        <f t="shared" si="48"/>
        <v>0</v>
      </c>
      <c r="O1215" s="5"/>
      <c r="S1215" s="6"/>
    </row>
    <row r="1216" spans="1:22" customFormat="1" x14ac:dyDescent="0.45">
      <c r="A1216">
        <v>309709</v>
      </c>
      <c r="B1216" t="s">
        <v>18777</v>
      </c>
      <c r="C1216" t="s">
        <v>18778</v>
      </c>
      <c r="D1216">
        <v>1</v>
      </c>
      <c r="F1216" s="126"/>
      <c r="G1216" s="7">
        <v>0</v>
      </c>
      <c r="H1216" s="7">
        <v>0</v>
      </c>
      <c r="I1216" s="7">
        <v>0</v>
      </c>
      <c r="J1216" s="7">
        <v>0</v>
      </c>
      <c r="K1216" s="3">
        <f t="shared" si="47"/>
        <v>0</v>
      </c>
      <c r="L1216" s="3"/>
      <c r="M1216" s="3">
        <f t="shared" si="48"/>
        <v>0</v>
      </c>
      <c r="O1216" s="5"/>
      <c r="S1216" s="6"/>
    </row>
    <row r="1217" spans="1:19" customFormat="1" x14ac:dyDescent="0.45">
      <c r="A1217">
        <v>310129</v>
      </c>
      <c r="B1217" t="s">
        <v>18779</v>
      </c>
      <c r="C1217" t="s">
        <v>16331</v>
      </c>
      <c r="D1217">
        <v>1</v>
      </c>
      <c r="E1217" t="s">
        <v>16331</v>
      </c>
      <c r="F1217" s="126"/>
      <c r="G1217" s="7">
        <v>0</v>
      </c>
      <c r="H1217" s="7">
        <v>0</v>
      </c>
      <c r="I1217" s="7">
        <v>0</v>
      </c>
      <c r="J1217" s="7">
        <v>0</v>
      </c>
      <c r="K1217" s="3">
        <f t="shared" si="47"/>
        <v>0</v>
      </c>
      <c r="L1217" s="3"/>
      <c r="M1217" s="3">
        <f t="shared" si="48"/>
        <v>0</v>
      </c>
      <c r="O1217" s="5"/>
      <c r="S1217" s="6"/>
    </row>
    <row r="1218" spans="1:19" customFormat="1" x14ac:dyDescent="0.45">
      <c r="A1218">
        <v>310451</v>
      </c>
      <c r="B1218" t="s">
        <v>18780</v>
      </c>
      <c r="C1218" t="s">
        <v>18781</v>
      </c>
      <c r="D1218">
        <v>16</v>
      </c>
      <c r="E1218" t="s">
        <v>16561</v>
      </c>
      <c r="F1218" s="126"/>
      <c r="G1218" s="7">
        <v>0</v>
      </c>
      <c r="H1218" s="7">
        <v>0</v>
      </c>
      <c r="I1218" s="7">
        <v>0</v>
      </c>
      <c r="J1218" s="7">
        <v>0</v>
      </c>
      <c r="K1218" s="3">
        <f t="shared" si="47"/>
        <v>0</v>
      </c>
      <c r="L1218" s="3"/>
      <c r="M1218" s="3">
        <f t="shared" si="48"/>
        <v>0</v>
      </c>
      <c r="N1218" s="7"/>
      <c r="O1218" s="5"/>
      <c r="S1218" s="6"/>
    </row>
    <row r="1219" spans="1:19" customFormat="1" x14ac:dyDescent="0.45">
      <c r="A1219">
        <v>310658</v>
      </c>
      <c r="B1219" t="s">
        <v>18782</v>
      </c>
      <c r="C1219" t="s">
        <v>18783</v>
      </c>
      <c r="D1219">
        <v>0</v>
      </c>
      <c r="E1219" t="s">
        <v>16561</v>
      </c>
      <c r="F1219" s="126"/>
      <c r="G1219" s="7">
        <v>0</v>
      </c>
      <c r="H1219" s="7">
        <v>0</v>
      </c>
      <c r="I1219" s="7">
        <v>0</v>
      </c>
      <c r="J1219" s="7">
        <v>0</v>
      </c>
      <c r="K1219" s="3">
        <f t="shared" si="47"/>
        <v>0</v>
      </c>
      <c r="L1219" s="3"/>
      <c r="M1219" s="3">
        <f t="shared" si="48"/>
        <v>0</v>
      </c>
      <c r="O1219" s="5"/>
      <c r="S1219" s="6"/>
    </row>
    <row r="1220" spans="1:19" customFormat="1" x14ac:dyDescent="0.45">
      <c r="A1220">
        <v>312045</v>
      </c>
      <c r="B1220" t="s">
        <v>18784</v>
      </c>
      <c r="C1220" t="s">
        <v>16331</v>
      </c>
      <c r="D1220">
        <v>1</v>
      </c>
      <c r="E1220" t="s">
        <v>16331</v>
      </c>
      <c r="F1220" s="126"/>
      <c r="G1220" s="7">
        <v>0</v>
      </c>
      <c r="H1220" s="7">
        <v>0</v>
      </c>
      <c r="I1220" s="7">
        <v>0</v>
      </c>
      <c r="J1220" s="7">
        <v>0</v>
      </c>
      <c r="K1220" s="3">
        <f t="shared" si="47"/>
        <v>0</v>
      </c>
      <c r="L1220" s="3"/>
      <c r="M1220" s="3">
        <f t="shared" si="48"/>
        <v>0</v>
      </c>
      <c r="O1220" s="5"/>
      <c r="S1220" s="6"/>
    </row>
    <row r="1221" spans="1:19" customFormat="1" x14ac:dyDescent="0.45">
      <c r="A1221">
        <v>312416</v>
      </c>
      <c r="B1221" t="s">
        <v>18785</v>
      </c>
      <c r="C1221" t="s">
        <v>18786</v>
      </c>
      <c r="D1221">
        <v>0</v>
      </c>
      <c r="E1221" t="s">
        <v>16561</v>
      </c>
      <c r="F1221" s="126"/>
      <c r="G1221" s="7">
        <v>0</v>
      </c>
      <c r="H1221" s="7">
        <v>0</v>
      </c>
      <c r="I1221" s="7">
        <v>0</v>
      </c>
      <c r="J1221" s="7">
        <v>0</v>
      </c>
      <c r="K1221" s="3">
        <f t="shared" si="47"/>
        <v>0</v>
      </c>
      <c r="L1221" s="3"/>
      <c r="M1221" s="3">
        <f t="shared" si="48"/>
        <v>0</v>
      </c>
      <c r="O1221" s="5"/>
      <c r="S1221" s="6"/>
    </row>
    <row r="1222" spans="1:19" customFormat="1" x14ac:dyDescent="0.45">
      <c r="A1222">
        <v>312841</v>
      </c>
      <c r="B1222" t="s">
        <v>18787</v>
      </c>
      <c r="C1222" t="s">
        <v>18788</v>
      </c>
      <c r="D1222">
        <v>1</v>
      </c>
      <c r="F1222" s="126"/>
      <c r="G1222" s="7">
        <v>0</v>
      </c>
      <c r="H1222" s="7">
        <v>0</v>
      </c>
      <c r="I1222" s="7">
        <v>0</v>
      </c>
      <c r="J1222" s="7">
        <v>0</v>
      </c>
      <c r="K1222" s="3">
        <f t="shared" si="47"/>
        <v>0</v>
      </c>
      <c r="L1222" s="3"/>
      <c r="M1222" s="3">
        <f t="shared" si="48"/>
        <v>0</v>
      </c>
      <c r="N1222" s="7"/>
      <c r="O1222" s="5"/>
      <c r="S1222" s="6"/>
    </row>
    <row r="1223" spans="1:19" customFormat="1" x14ac:dyDescent="0.45">
      <c r="A1223">
        <v>313189</v>
      </c>
      <c r="B1223" t="s">
        <v>18789</v>
      </c>
      <c r="C1223" t="s">
        <v>18790</v>
      </c>
      <c r="D1223">
        <v>16</v>
      </c>
      <c r="F1223" s="126"/>
      <c r="G1223" s="7">
        <v>0</v>
      </c>
      <c r="H1223" s="7">
        <v>0</v>
      </c>
      <c r="I1223" s="7">
        <v>0</v>
      </c>
      <c r="J1223" s="7">
        <v>0</v>
      </c>
      <c r="K1223" s="3">
        <f t="shared" si="47"/>
        <v>0</v>
      </c>
      <c r="L1223" s="3"/>
      <c r="M1223" s="3">
        <f t="shared" si="48"/>
        <v>0</v>
      </c>
      <c r="N1223" s="7"/>
      <c r="O1223" s="5"/>
      <c r="S1223" s="6"/>
    </row>
    <row r="1224" spans="1:19" customFormat="1" x14ac:dyDescent="0.45">
      <c r="A1224">
        <v>313234</v>
      </c>
      <c r="B1224" t="s">
        <v>18791</v>
      </c>
      <c r="C1224" t="s">
        <v>16331</v>
      </c>
      <c r="D1224">
        <v>1</v>
      </c>
      <c r="E1224" t="s">
        <v>16331</v>
      </c>
      <c r="F1224" s="126"/>
      <c r="G1224" s="7">
        <v>0</v>
      </c>
      <c r="H1224" s="7">
        <v>0</v>
      </c>
      <c r="I1224" s="7">
        <v>0</v>
      </c>
      <c r="J1224" s="7">
        <v>0</v>
      </c>
      <c r="K1224" s="3">
        <f t="shared" si="47"/>
        <v>0</v>
      </c>
      <c r="L1224" s="3"/>
      <c r="M1224" s="3">
        <f t="shared" si="48"/>
        <v>0</v>
      </c>
      <c r="O1224" s="5"/>
      <c r="S1224" s="6"/>
    </row>
    <row r="1225" spans="1:19" customFormat="1" x14ac:dyDescent="0.45">
      <c r="A1225">
        <v>313585</v>
      </c>
      <c r="B1225" t="s">
        <v>18792</v>
      </c>
      <c r="C1225" t="s">
        <v>18793</v>
      </c>
      <c r="D1225">
        <v>1</v>
      </c>
      <c r="F1225" s="126"/>
      <c r="G1225" s="7">
        <v>0</v>
      </c>
      <c r="H1225" s="7">
        <v>0</v>
      </c>
      <c r="I1225" s="7">
        <v>0</v>
      </c>
      <c r="J1225" s="7">
        <v>0</v>
      </c>
      <c r="K1225" s="3">
        <f t="shared" si="47"/>
        <v>0</v>
      </c>
      <c r="L1225" s="3"/>
      <c r="M1225" s="3">
        <f t="shared" si="48"/>
        <v>0</v>
      </c>
      <c r="O1225" s="5"/>
      <c r="S1225" s="6"/>
    </row>
    <row r="1226" spans="1:19" customFormat="1" x14ac:dyDescent="0.45">
      <c r="A1226">
        <v>313897</v>
      </c>
      <c r="B1226" t="s">
        <v>18794</v>
      </c>
      <c r="C1226" t="s">
        <v>16331</v>
      </c>
      <c r="D1226">
        <v>1</v>
      </c>
      <c r="E1226" t="s">
        <v>16331</v>
      </c>
      <c r="F1226" s="126"/>
      <c r="K1226" s="3">
        <f t="shared" si="47"/>
        <v>0</v>
      </c>
      <c r="L1226" s="3"/>
      <c r="M1226" s="3">
        <f t="shared" si="48"/>
        <v>0</v>
      </c>
      <c r="O1226" s="5"/>
      <c r="S1226" s="6"/>
    </row>
    <row r="1227" spans="1:19" customFormat="1" x14ac:dyDescent="0.45">
      <c r="A1227">
        <v>400040</v>
      </c>
      <c r="B1227" t="s">
        <v>18795</v>
      </c>
      <c r="C1227" t="s">
        <v>18796</v>
      </c>
      <c r="D1227">
        <v>2</v>
      </c>
      <c r="F1227" s="126"/>
      <c r="G1227" s="7">
        <v>0</v>
      </c>
      <c r="H1227" s="7">
        <v>0</v>
      </c>
      <c r="I1227" s="7">
        <v>0</v>
      </c>
      <c r="J1227" s="7">
        <v>0</v>
      </c>
      <c r="K1227" s="3">
        <f t="shared" si="47"/>
        <v>0</v>
      </c>
      <c r="L1227" s="3"/>
      <c r="M1227" s="3">
        <f t="shared" si="48"/>
        <v>0</v>
      </c>
      <c r="N1227" s="7"/>
      <c r="O1227" s="5"/>
      <c r="S1227" s="6"/>
    </row>
    <row r="1228" spans="1:19" customFormat="1" x14ac:dyDescent="0.45">
      <c r="A1228">
        <v>400042</v>
      </c>
      <c r="B1228" t="s">
        <v>18797</v>
      </c>
      <c r="C1228" t="s">
        <v>18798</v>
      </c>
      <c r="D1228">
        <v>2</v>
      </c>
      <c r="F1228" s="126"/>
      <c r="G1228" s="7">
        <v>0</v>
      </c>
      <c r="H1228" s="7">
        <v>0</v>
      </c>
      <c r="I1228" s="7">
        <v>0</v>
      </c>
      <c r="J1228" s="7">
        <v>0</v>
      </c>
      <c r="K1228" s="3">
        <f t="shared" si="47"/>
        <v>0</v>
      </c>
      <c r="L1228" s="3"/>
      <c r="M1228" s="3">
        <f t="shared" si="48"/>
        <v>0</v>
      </c>
      <c r="N1228" s="7"/>
      <c r="O1228" s="5"/>
      <c r="S1228" s="6"/>
    </row>
    <row r="1229" spans="1:19" customFormat="1" x14ac:dyDescent="0.45">
      <c r="A1229">
        <v>400072</v>
      </c>
      <c r="B1229" t="s">
        <v>18799</v>
      </c>
      <c r="C1229" t="s">
        <v>16331</v>
      </c>
      <c r="D1229">
        <v>7</v>
      </c>
      <c r="E1229" t="s">
        <v>16331</v>
      </c>
      <c r="F1229" s="126"/>
      <c r="G1229" s="7">
        <v>0</v>
      </c>
      <c r="H1229" s="7">
        <v>0</v>
      </c>
      <c r="I1229" s="7">
        <v>0</v>
      </c>
      <c r="J1229" s="7">
        <v>0</v>
      </c>
      <c r="K1229" s="3">
        <f t="shared" si="47"/>
        <v>0</v>
      </c>
      <c r="L1229" s="3"/>
      <c r="M1229" s="3">
        <f t="shared" si="48"/>
        <v>0</v>
      </c>
      <c r="O1229" s="5"/>
      <c r="S1229" s="6"/>
    </row>
    <row r="1230" spans="1:19" customFormat="1" x14ac:dyDescent="0.45">
      <c r="A1230">
        <v>400119</v>
      </c>
      <c r="B1230" t="s">
        <v>18800</v>
      </c>
      <c r="C1230" t="s">
        <v>18801</v>
      </c>
      <c r="D1230">
        <v>3</v>
      </c>
      <c r="F1230" s="126"/>
      <c r="K1230" s="3">
        <f t="shared" si="47"/>
        <v>0</v>
      </c>
      <c r="L1230" s="3"/>
      <c r="M1230" s="3">
        <f t="shared" si="48"/>
        <v>0</v>
      </c>
      <c r="O1230" s="5"/>
      <c r="S1230" s="6"/>
    </row>
    <row r="1231" spans="1:19" customFormat="1" x14ac:dyDescent="0.45">
      <c r="A1231">
        <v>400155</v>
      </c>
      <c r="B1231" t="s">
        <v>18802</v>
      </c>
      <c r="C1231" t="s">
        <v>16331</v>
      </c>
      <c r="D1231">
        <v>1</v>
      </c>
      <c r="E1231" t="s">
        <v>16331</v>
      </c>
      <c r="F1231" s="126"/>
      <c r="K1231" s="3">
        <f t="shared" si="47"/>
        <v>0</v>
      </c>
      <c r="L1231" s="3"/>
      <c r="M1231" s="3">
        <f t="shared" si="48"/>
        <v>0</v>
      </c>
      <c r="O1231" s="5"/>
      <c r="S1231" s="6"/>
    </row>
    <row r="1232" spans="1:19" customFormat="1" x14ac:dyDescent="0.45">
      <c r="A1232">
        <v>400263</v>
      </c>
      <c r="B1232" t="s">
        <v>18803</v>
      </c>
      <c r="C1232" t="s">
        <v>18804</v>
      </c>
      <c r="D1232">
        <v>1</v>
      </c>
      <c r="F1232" s="126"/>
      <c r="K1232" s="3">
        <f t="shared" si="47"/>
        <v>0</v>
      </c>
      <c r="L1232" s="3"/>
      <c r="M1232" s="3">
        <f t="shared" si="48"/>
        <v>0</v>
      </c>
      <c r="O1232" s="5"/>
      <c r="S1232" s="6"/>
    </row>
    <row r="1233" spans="1:19" customFormat="1" x14ac:dyDescent="0.45">
      <c r="A1233">
        <v>400269</v>
      </c>
      <c r="B1233" t="s">
        <v>18805</v>
      </c>
      <c r="C1233" t="s">
        <v>18806</v>
      </c>
      <c r="D1233">
        <v>2</v>
      </c>
      <c r="F1233" s="126"/>
      <c r="G1233" s="7">
        <v>0</v>
      </c>
      <c r="H1233" s="7">
        <v>0</v>
      </c>
      <c r="I1233" s="7">
        <v>0</v>
      </c>
      <c r="J1233" s="7">
        <v>0</v>
      </c>
      <c r="K1233" s="3">
        <f t="shared" si="47"/>
        <v>0</v>
      </c>
      <c r="L1233" s="3"/>
      <c r="M1233" s="3">
        <f t="shared" si="48"/>
        <v>0</v>
      </c>
      <c r="O1233" s="5"/>
      <c r="S1233" s="6"/>
    </row>
    <row r="1234" spans="1:19" customFormat="1" x14ac:dyDescent="0.45">
      <c r="A1234">
        <v>400275</v>
      </c>
      <c r="B1234" t="s">
        <v>18807</v>
      </c>
      <c r="C1234" t="s">
        <v>18808</v>
      </c>
      <c r="D1234">
        <v>1</v>
      </c>
      <c r="F1234" s="126"/>
      <c r="G1234" s="7">
        <v>0</v>
      </c>
      <c r="H1234" s="7">
        <v>0</v>
      </c>
      <c r="I1234" s="7">
        <v>0</v>
      </c>
      <c r="J1234" s="7">
        <v>0</v>
      </c>
      <c r="K1234" s="3">
        <f t="shared" si="47"/>
        <v>0</v>
      </c>
      <c r="L1234" s="3"/>
      <c r="M1234" s="3">
        <f t="shared" si="48"/>
        <v>0</v>
      </c>
      <c r="O1234" s="5"/>
      <c r="S1234" s="6"/>
    </row>
    <row r="1235" spans="1:19" customFormat="1" x14ac:dyDescent="0.45">
      <c r="A1235">
        <v>400276</v>
      </c>
      <c r="B1235" t="s">
        <v>18809</v>
      </c>
      <c r="C1235" t="s">
        <v>18810</v>
      </c>
      <c r="D1235">
        <v>1</v>
      </c>
      <c r="F1235" s="126"/>
      <c r="G1235" s="7">
        <v>0</v>
      </c>
      <c r="H1235" s="7">
        <v>0</v>
      </c>
      <c r="I1235" s="7">
        <v>0</v>
      </c>
      <c r="J1235" s="7">
        <v>0</v>
      </c>
      <c r="K1235" s="3">
        <f t="shared" si="47"/>
        <v>0</v>
      </c>
      <c r="L1235" s="3"/>
      <c r="M1235" s="3">
        <f t="shared" si="48"/>
        <v>0</v>
      </c>
      <c r="O1235" s="5"/>
      <c r="S1235" s="6"/>
    </row>
    <row r="1236" spans="1:19" customFormat="1" x14ac:dyDescent="0.45">
      <c r="A1236">
        <v>400309</v>
      </c>
      <c r="B1236" t="s">
        <v>18811</v>
      </c>
      <c r="C1236" t="s">
        <v>18812</v>
      </c>
      <c r="D1236">
        <v>18</v>
      </c>
      <c r="E1236" t="s">
        <v>16561</v>
      </c>
      <c r="F1236" s="126"/>
      <c r="G1236" s="7">
        <v>0</v>
      </c>
      <c r="H1236" s="3">
        <v>0</v>
      </c>
      <c r="I1236" s="3">
        <v>0</v>
      </c>
      <c r="J1236">
        <v>0</v>
      </c>
      <c r="K1236" s="3">
        <f t="shared" si="47"/>
        <v>0</v>
      </c>
      <c r="L1236" s="3"/>
      <c r="M1236" s="3">
        <f t="shared" si="48"/>
        <v>0</v>
      </c>
      <c r="O1236" s="5"/>
      <c r="S1236" s="6"/>
    </row>
    <row r="1237" spans="1:19" customFormat="1" x14ac:dyDescent="0.45">
      <c r="A1237">
        <v>400359</v>
      </c>
      <c r="B1237" t="s">
        <v>18813</v>
      </c>
      <c r="C1237" t="s">
        <v>18814</v>
      </c>
      <c r="D1237">
        <v>1</v>
      </c>
      <c r="F1237" s="126"/>
      <c r="G1237" s="7">
        <v>0</v>
      </c>
      <c r="H1237" s="7">
        <v>0</v>
      </c>
      <c r="I1237" s="7">
        <v>0</v>
      </c>
      <c r="J1237" s="7">
        <v>0</v>
      </c>
      <c r="K1237" s="3">
        <f t="shared" si="47"/>
        <v>0</v>
      </c>
      <c r="L1237" s="3"/>
      <c r="M1237" s="3">
        <f t="shared" si="48"/>
        <v>0</v>
      </c>
      <c r="O1237" s="5"/>
      <c r="S1237" s="6"/>
    </row>
    <row r="1238" spans="1:19" customFormat="1" x14ac:dyDescent="0.45">
      <c r="A1238">
        <v>400367</v>
      </c>
      <c r="B1238" t="s">
        <v>18815</v>
      </c>
      <c r="C1238" t="s">
        <v>18816</v>
      </c>
      <c r="D1238">
        <v>2</v>
      </c>
      <c r="F1238" s="126"/>
      <c r="G1238" s="3">
        <v>0</v>
      </c>
      <c r="H1238" s="3">
        <v>0</v>
      </c>
      <c r="I1238" s="3">
        <v>0</v>
      </c>
      <c r="J1238" s="3">
        <v>0</v>
      </c>
      <c r="K1238" s="3">
        <f t="shared" si="47"/>
        <v>0</v>
      </c>
      <c r="L1238" s="3"/>
      <c r="M1238" s="3">
        <f t="shared" si="48"/>
        <v>0</v>
      </c>
      <c r="O1238" s="5"/>
      <c r="S1238" s="6"/>
    </row>
    <row r="1239" spans="1:19" customFormat="1" x14ac:dyDescent="0.45">
      <c r="A1239">
        <v>400453</v>
      </c>
      <c r="B1239" t="s">
        <v>18817</v>
      </c>
      <c r="C1239" t="s">
        <v>16331</v>
      </c>
      <c r="D1239">
        <v>1</v>
      </c>
      <c r="E1239" t="s">
        <v>16331</v>
      </c>
      <c r="F1239" s="126"/>
      <c r="G1239" s="7">
        <v>0</v>
      </c>
      <c r="H1239" s="7">
        <v>0</v>
      </c>
      <c r="I1239" s="7">
        <v>0</v>
      </c>
      <c r="J1239" s="7">
        <v>0</v>
      </c>
      <c r="K1239" s="3">
        <f t="shared" si="47"/>
        <v>0</v>
      </c>
      <c r="L1239" s="3"/>
      <c r="M1239" s="3">
        <f t="shared" si="48"/>
        <v>0</v>
      </c>
      <c r="O1239" s="5"/>
      <c r="S1239" s="6"/>
    </row>
    <row r="1240" spans="1:19" customFormat="1" x14ac:dyDescent="0.45">
      <c r="A1240">
        <v>400473</v>
      </c>
      <c r="B1240" t="s">
        <v>18818</v>
      </c>
      <c r="C1240" t="s">
        <v>16331</v>
      </c>
      <c r="D1240">
        <v>1</v>
      </c>
      <c r="E1240" t="s">
        <v>16331</v>
      </c>
      <c r="F1240" s="126"/>
      <c r="G1240" s="7">
        <v>0</v>
      </c>
      <c r="H1240" s="7">
        <v>0</v>
      </c>
      <c r="I1240" s="7">
        <v>0</v>
      </c>
      <c r="J1240" s="7">
        <v>0</v>
      </c>
      <c r="K1240" s="3">
        <f t="shared" si="47"/>
        <v>0</v>
      </c>
      <c r="L1240" s="3"/>
      <c r="M1240" s="3">
        <f t="shared" si="48"/>
        <v>0</v>
      </c>
      <c r="O1240" s="5"/>
      <c r="S1240" s="6"/>
    </row>
    <row r="1241" spans="1:19" customFormat="1" x14ac:dyDescent="0.45">
      <c r="A1241">
        <v>400509</v>
      </c>
      <c r="B1241" t="s">
        <v>18819</v>
      </c>
      <c r="C1241" t="s">
        <v>18820</v>
      </c>
      <c r="D1241">
        <v>3</v>
      </c>
      <c r="F1241" s="126"/>
      <c r="G1241" s="7">
        <v>0</v>
      </c>
      <c r="H1241" s="7">
        <v>0</v>
      </c>
      <c r="I1241" s="7">
        <v>0</v>
      </c>
      <c r="J1241" s="7">
        <v>0</v>
      </c>
      <c r="K1241" s="3">
        <f t="shared" si="47"/>
        <v>0</v>
      </c>
      <c r="L1241" s="3"/>
      <c r="M1241" s="3">
        <f t="shared" si="48"/>
        <v>0</v>
      </c>
      <c r="O1241" s="5"/>
      <c r="S1241" s="6"/>
    </row>
    <row r="1242" spans="1:19" customFormat="1" x14ac:dyDescent="0.45">
      <c r="A1242">
        <v>400529</v>
      </c>
      <c r="B1242" t="s">
        <v>18821</v>
      </c>
      <c r="C1242" t="s">
        <v>16331</v>
      </c>
      <c r="D1242">
        <v>9</v>
      </c>
      <c r="E1242" t="s">
        <v>16331</v>
      </c>
      <c r="F1242" s="126"/>
      <c r="G1242" s="7">
        <v>0</v>
      </c>
      <c r="H1242" s="7">
        <v>0</v>
      </c>
      <c r="I1242" s="7">
        <v>0</v>
      </c>
      <c r="J1242" s="7">
        <v>0</v>
      </c>
      <c r="K1242" s="3">
        <f t="shared" si="47"/>
        <v>0</v>
      </c>
      <c r="L1242" s="3"/>
      <c r="M1242" s="3">
        <f t="shared" si="48"/>
        <v>0</v>
      </c>
      <c r="O1242" s="5"/>
      <c r="S1242" s="6"/>
    </row>
    <row r="1243" spans="1:19" customFormat="1" x14ac:dyDescent="0.45">
      <c r="A1243">
        <v>400531</v>
      </c>
      <c r="B1243" t="s">
        <v>18822</v>
      </c>
      <c r="C1243" t="s">
        <v>18823</v>
      </c>
      <c r="D1243">
        <v>4</v>
      </c>
      <c r="F1243" s="126"/>
      <c r="K1243" s="3">
        <f t="shared" si="47"/>
        <v>0</v>
      </c>
      <c r="L1243" s="3"/>
      <c r="M1243" s="3">
        <f t="shared" si="48"/>
        <v>0</v>
      </c>
      <c r="O1243" s="5"/>
      <c r="S1243" s="6"/>
    </row>
    <row r="1244" spans="1:19" customFormat="1" x14ac:dyDescent="0.45">
      <c r="A1244">
        <v>400533</v>
      </c>
      <c r="B1244" t="s">
        <v>18824</v>
      </c>
      <c r="C1244" t="s">
        <v>18825</v>
      </c>
      <c r="D1244">
        <v>1</v>
      </c>
      <c r="F1244" s="126"/>
      <c r="G1244" s="7">
        <v>0</v>
      </c>
      <c r="H1244" s="7">
        <v>0</v>
      </c>
      <c r="I1244" s="7">
        <v>0</v>
      </c>
      <c r="J1244" s="7">
        <v>0</v>
      </c>
      <c r="K1244" s="3">
        <f t="shared" si="47"/>
        <v>0</v>
      </c>
      <c r="L1244" s="3"/>
      <c r="M1244" s="3">
        <f t="shared" si="48"/>
        <v>0</v>
      </c>
      <c r="O1244" s="5"/>
      <c r="S1244" s="6"/>
    </row>
    <row r="1245" spans="1:19" customFormat="1" x14ac:dyDescent="0.45">
      <c r="A1245">
        <v>400536</v>
      </c>
      <c r="B1245" t="s">
        <v>18826</v>
      </c>
      <c r="C1245" t="s">
        <v>18827</v>
      </c>
      <c r="D1245">
        <v>2</v>
      </c>
      <c r="F1245" s="126"/>
      <c r="G1245" s="7">
        <v>0</v>
      </c>
      <c r="H1245" s="7">
        <v>0</v>
      </c>
      <c r="I1245" s="7">
        <v>0</v>
      </c>
      <c r="J1245" s="7">
        <v>0</v>
      </c>
      <c r="K1245" s="3">
        <f t="shared" si="47"/>
        <v>0</v>
      </c>
      <c r="L1245" s="3"/>
      <c r="M1245" s="3">
        <f t="shared" si="48"/>
        <v>0</v>
      </c>
      <c r="O1245" s="5"/>
      <c r="S1245" s="6"/>
    </row>
    <row r="1246" spans="1:19" customFormat="1" x14ac:dyDescent="0.45">
      <c r="A1246">
        <v>400566</v>
      </c>
      <c r="B1246" t="s">
        <v>18828</v>
      </c>
      <c r="C1246" t="s">
        <v>18829</v>
      </c>
      <c r="D1246">
        <v>1</v>
      </c>
      <c r="F1246" s="126"/>
      <c r="G1246" s="7">
        <v>0</v>
      </c>
      <c r="H1246" s="7">
        <v>0</v>
      </c>
      <c r="I1246" s="7">
        <v>0</v>
      </c>
      <c r="J1246" s="7">
        <v>0</v>
      </c>
      <c r="K1246" s="3">
        <f t="shared" si="47"/>
        <v>0</v>
      </c>
      <c r="L1246" s="3"/>
      <c r="M1246" s="3">
        <f t="shared" si="48"/>
        <v>0</v>
      </c>
      <c r="O1246" s="5"/>
      <c r="S1246" s="6"/>
    </row>
    <row r="1247" spans="1:19" customFormat="1" x14ac:dyDescent="0.45">
      <c r="A1247">
        <v>400603</v>
      </c>
      <c r="B1247" t="s">
        <v>18830</v>
      </c>
      <c r="C1247" t="s">
        <v>18831</v>
      </c>
      <c r="D1247">
        <v>1</v>
      </c>
      <c r="F1247" s="126"/>
      <c r="G1247" s="7">
        <v>0</v>
      </c>
      <c r="H1247" s="7">
        <v>0</v>
      </c>
      <c r="I1247" s="7">
        <v>0</v>
      </c>
      <c r="J1247" s="7">
        <v>0</v>
      </c>
      <c r="K1247" s="3">
        <f t="shared" si="47"/>
        <v>0</v>
      </c>
      <c r="L1247" s="3"/>
      <c r="M1247" s="3">
        <f t="shared" si="48"/>
        <v>0</v>
      </c>
      <c r="O1247" s="5"/>
      <c r="S1247" s="6"/>
    </row>
    <row r="1248" spans="1:19" customFormat="1" x14ac:dyDescent="0.45">
      <c r="A1248">
        <v>400658</v>
      </c>
      <c r="B1248" t="s">
        <v>18832</v>
      </c>
      <c r="C1248" t="s">
        <v>18833</v>
      </c>
      <c r="D1248">
        <v>3</v>
      </c>
      <c r="F1248" s="126"/>
      <c r="G1248" s="3">
        <v>0</v>
      </c>
      <c r="H1248" s="3">
        <v>0</v>
      </c>
      <c r="I1248" s="3">
        <v>0</v>
      </c>
      <c r="J1248" s="3">
        <v>0</v>
      </c>
      <c r="K1248" s="3">
        <f t="shared" si="47"/>
        <v>0</v>
      </c>
      <c r="L1248" s="3"/>
      <c r="M1248" s="3">
        <f t="shared" si="48"/>
        <v>0</v>
      </c>
      <c r="O1248" s="5"/>
      <c r="S1248" s="6"/>
    </row>
    <row r="1249" spans="1:22" customFormat="1" x14ac:dyDescent="0.45">
      <c r="A1249">
        <v>400804</v>
      </c>
      <c r="B1249" t="s">
        <v>18834</v>
      </c>
      <c r="C1249" t="s">
        <v>16331</v>
      </c>
      <c r="D1249">
        <v>1</v>
      </c>
      <c r="E1249" t="s">
        <v>16331</v>
      </c>
      <c r="F1249" s="126"/>
      <c r="G1249" s="7">
        <v>0</v>
      </c>
      <c r="H1249" s="7">
        <v>0</v>
      </c>
      <c r="I1249" s="7">
        <v>0</v>
      </c>
      <c r="J1249" s="7">
        <v>0</v>
      </c>
      <c r="K1249" s="3">
        <f t="shared" si="47"/>
        <v>0</v>
      </c>
      <c r="L1249" s="3"/>
      <c r="M1249" s="3">
        <f t="shared" si="48"/>
        <v>0</v>
      </c>
      <c r="O1249" s="5"/>
      <c r="S1249" s="6"/>
    </row>
    <row r="1250" spans="1:22" customFormat="1" x14ac:dyDescent="0.45">
      <c r="A1250">
        <v>400805</v>
      </c>
      <c r="B1250" t="s">
        <v>18835</v>
      </c>
      <c r="C1250" t="s">
        <v>18836</v>
      </c>
      <c r="D1250">
        <v>1</v>
      </c>
      <c r="F1250" s="126"/>
      <c r="G1250" s="7">
        <v>0</v>
      </c>
      <c r="H1250" s="7">
        <v>0</v>
      </c>
      <c r="I1250" s="7">
        <v>0</v>
      </c>
      <c r="J1250" s="7">
        <v>0</v>
      </c>
      <c r="K1250" s="3">
        <f t="shared" si="47"/>
        <v>0</v>
      </c>
      <c r="L1250" s="3"/>
      <c r="M1250" s="3">
        <f t="shared" si="48"/>
        <v>0</v>
      </c>
      <c r="O1250" s="5"/>
      <c r="S1250" s="6"/>
    </row>
    <row r="1251" spans="1:22" customFormat="1" x14ac:dyDescent="0.45">
      <c r="A1251">
        <v>400806</v>
      </c>
      <c r="B1251" t="s">
        <v>18837</v>
      </c>
      <c r="C1251" t="s">
        <v>16331</v>
      </c>
      <c r="D1251">
        <v>1</v>
      </c>
      <c r="E1251" t="s">
        <v>16331</v>
      </c>
      <c r="F1251" s="126"/>
      <c r="K1251" s="3">
        <f t="shared" si="47"/>
        <v>0</v>
      </c>
      <c r="L1251" s="3"/>
      <c r="M1251" s="3">
        <f t="shared" si="48"/>
        <v>0</v>
      </c>
      <c r="O1251" s="5"/>
      <c r="S1251" s="6"/>
    </row>
    <row r="1252" spans="1:22" customFormat="1" x14ac:dyDescent="0.45">
      <c r="A1252">
        <v>400853</v>
      </c>
      <c r="B1252" t="s">
        <v>18838</v>
      </c>
      <c r="C1252" t="s">
        <v>16331</v>
      </c>
      <c r="D1252">
        <v>1</v>
      </c>
      <c r="E1252" t="s">
        <v>16331</v>
      </c>
      <c r="F1252" s="126"/>
      <c r="G1252" s="7">
        <v>0</v>
      </c>
      <c r="H1252" s="7">
        <v>0</v>
      </c>
      <c r="I1252" s="7">
        <v>0</v>
      </c>
      <c r="J1252" s="7">
        <v>0</v>
      </c>
      <c r="K1252" s="3">
        <f t="shared" si="47"/>
        <v>0</v>
      </c>
      <c r="L1252" s="3"/>
      <c r="M1252" s="3">
        <f t="shared" si="48"/>
        <v>0</v>
      </c>
      <c r="O1252" s="5"/>
      <c r="S1252" s="6"/>
    </row>
    <row r="1253" spans="1:22" customFormat="1" x14ac:dyDescent="0.45">
      <c r="A1253">
        <v>400865</v>
      </c>
      <c r="B1253" t="s">
        <v>18839</v>
      </c>
      <c r="C1253" t="s">
        <v>16331</v>
      </c>
      <c r="D1253">
        <v>0</v>
      </c>
      <c r="E1253" t="s">
        <v>16331</v>
      </c>
      <c r="F1253" s="126"/>
      <c r="G1253" s="7">
        <v>0</v>
      </c>
      <c r="H1253" s="7">
        <v>0</v>
      </c>
      <c r="I1253" s="7">
        <v>0</v>
      </c>
      <c r="J1253" s="7">
        <v>0</v>
      </c>
      <c r="K1253" s="3">
        <f t="shared" si="47"/>
        <v>0</v>
      </c>
      <c r="L1253" s="3"/>
      <c r="M1253" s="3">
        <f t="shared" si="48"/>
        <v>0</v>
      </c>
      <c r="N1253" s="7"/>
      <c r="O1253" s="5"/>
      <c r="S1253" s="6"/>
    </row>
    <row r="1254" spans="1:22" customFormat="1" x14ac:dyDescent="0.45">
      <c r="A1254">
        <v>400992</v>
      </c>
      <c r="B1254" t="s">
        <v>18840</v>
      </c>
      <c r="C1254" t="s">
        <v>16331</v>
      </c>
      <c r="D1254">
        <v>1</v>
      </c>
      <c r="E1254" t="s">
        <v>16331</v>
      </c>
      <c r="F1254" s="126"/>
      <c r="G1254" s="7">
        <v>0</v>
      </c>
      <c r="H1254" s="7">
        <v>0</v>
      </c>
      <c r="I1254" s="7">
        <v>0</v>
      </c>
      <c r="J1254" s="7">
        <v>0</v>
      </c>
      <c r="K1254" s="3">
        <f t="shared" si="47"/>
        <v>0</v>
      </c>
      <c r="L1254" s="3"/>
      <c r="M1254" s="3">
        <f t="shared" si="48"/>
        <v>0</v>
      </c>
      <c r="O1254" s="5"/>
      <c r="S1254" s="6"/>
    </row>
    <row r="1255" spans="1:22" customFormat="1" x14ac:dyDescent="0.45">
      <c r="A1255">
        <v>401000</v>
      </c>
      <c r="B1255" t="s">
        <v>18841</v>
      </c>
      <c r="C1255" t="s">
        <v>18842</v>
      </c>
      <c r="D1255">
        <v>2</v>
      </c>
      <c r="F1255" s="126"/>
      <c r="G1255" s="7">
        <v>0</v>
      </c>
      <c r="H1255" s="7">
        <v>0</v>
      </c>
      <c r="I1255" s="7">
        <v>0</v>
      </c>
      <c r="J1255" s="7">
        <v>0</v>
      </c>
      <c r="K1255" s="3">
        <f t="shared" ref="K1255:K1276" si="49">SUM(G1255:J1255)</f>
        <v>0</v>
      </c>
      <c r="L1255" s="3"/>
      <c r="M1255" s="3">
        <f t="shared" si="48"/>
        <v>0</v>
      </c>
      <c r="N1255" s="7"/>
      <c r="O1255" s="5"/>
      <c r="S1255" s="6"/>
    </row>
    <row r="1256" spans="1:22" customFormat="1" x14ac:dyDescent="0.45">
      <c r="A1256">
        <v>401022</v>
      </c>
      <c r="B1256" t="s">
        <v>18843</v>
      </c>
      <c r="C1256" t="s">
        <v>18844</v>
      </c>
      <c r="D1256">
        <v>2</v>
      </c>
      <c r="F1256" s="126"/>
      <c r="G1256" s="7">
        <v>0</v>
      </c>
      <c r="H1256" s="7">
        <v>0</v>
      </c>
      <c r="I1256" s="7">
        <v>0</v>
      </c>
      <c r="J1256" s="7">
        <v>0</v>
      </c>
      <c r="K1256" s="3">
        <f t="shared" si="49"/>
        <v>0</v>
      </c>
      <c r="L1256" s="3"/>
      <c r="M1256" s="3">
        <f t="shared" si="48"/>
        <v>0</v>
      </c>
      <c r="O1256" s="5"/>
      <c r="S1256" s="6"/>
    </row>
    <row r="1257" spans="1:22" customFormat="1" x14ac:dyDescent="0.45">
      <c r="A1257">
        <v>401041</v>
      </c>
      <c r="B1257" t="s">
        <v>18845</v>
      </c>
      <c r="C1257" t="s">
        <v>18846</v>
      </c>
      <c r="D1257">
        <v>3</v>
      </c>
      <c r="F1257" s="126"/>
      <c r="G1257" s="7">
        <v>0</v>
      </c>
      <c r="H1257" s="7">
        <v>0</v>
      </c>
      <c r="I1257" s="7">
        <v>0</v>
      </c>
      <c r="J1257" s="7">
        <v>0</v>
      </c>
      <c r="K1257" s="3">
        <f t="shared" si="49"/>
        <v>0</v>
      </c>
      <c r="L1257" s="3"/>
      <c r="M1257" s="3">
        <f t="shared" si="48"/>
        <v>0</v>
      </c>
      <c r="O1257" s="5"/>
      <c r="S1257" s="6"/>
    </row>
    <row r="1258" spans="1:22" customFormat="1" x14ac:dyDescent="0.45">
      <c r="A1258">
        <v>401042</v>
      </c>
      <c r="B1258" t="s">
        <v>18847</v>
      </c>
      <c r="C1258" t="s">
        <v>18848</v>
      </c>
      <c r="D1258">
        <v>0</v>
      </c>
      <c r="E1258" t="s">
        <v>16561</v>
      </c>
      <c r="F1258" s="126"/>
      <c r="G1258" s="7">
        <v>0</v>
      </c>
      <c r="H1258" s="3">
        <v>0</v>
      </c>
      <c r="I1258" s="3">
        <v>0</v>
      </c>
      <c r="J1258">
        <v>0</v>
      </c>
      <c r="K1258" s="3">
        <f t="shared" si="49"/>
        <v>0</v>
      </c>
      <c r="L1258" s="3"/>
      <c r="M1258" s="3">
        <f t="shared" si="48"/>
        <v>0</v>
      </c>
      <c r="O1258" s="5"/>
      <c r="S1258" s="6"/>
    </row>
    <row r="1259" spans="1:22" customFormat="1" x14ac:dyDescent="0.45">
      <c r="A1259">
        <v>401049</v>
      </c>
      <c r="B1259" t="s">
        <v>18849</v>
      </c>
      <c r="C1259" t="s">
        <v>18850</v>
      </c>
      <c r="D1259">
        <v>2</v>
      </c>
      <c r="F1259" s="126"/>
      <c r="G1259" s="7">
        <v>0</v>
      </c>
      <c r="H1259" s="7">
        <v>0</v>
      </c>
      <c r="I1259" s="7">
        <v>0</v>
      </c>
      <c r="J1259" s="7">
        <v>0</v>
      </c>
      <c r="K1259" s="3">
        <f t="shared" si="49"/>
        <v>0</v>
      </c>
      <c r="L1259" s="3"/>
      <c r="M1259" s="3">
        <f t="shared" si="48"/>
        <v>0</v>
      </c>
      <c r="O1259" s="5"/>
      <c r="S1259" s="6"/>
    </row>
    <row r="1260" spans="1:22" customFormat="1" x14ac:dyDescent="0.45">
      <c r="A1260">
        <v>401059</v>
      </c>
      <c r="B1260" t="s">
        <v>18851</v>
      </c>
      <c r="C1260" t="s">
        <v>16331</v>
      </c>
      <c r="D1260">
        <v>1</v>
      </c>
      <c r="E1260" t="s">
        <v>16331</v>
      </c>
      <c r="F1260" s="126"/>
      <c r="G1260" s="7">
        <v>0</v>
      </c>
      <c r="H1260" s="7">
        <v>0</v>
      </c>
      <c r="I1260" s="7">
        <v>0</v>
      </c>
      <c r="J1260" s="7">
        <v>0</v>
      </c>
      <c r="K1260" s="3">
        <f t="shared" si="49"/>
        <v>0</v>
      </c>
      <c r="L1260" s="3"/>
      <c r="M1260" s="3">
        <f t="shared" si="48"/>
        <v>0</v>
      </c>
      <c r="O1260" s="5"/>
      <c r="S1260" s="6"/>
    </row>
    <row r="1261" spans="1:22" customFormat="1" x14ac:dyDescent="0.45">
      <c r="A1261">
        <v>401101</v>
      </c>
      <c r="B1261" t="s">
        <v>18852</v>
      </c>
      <c r="C1261" t="s">
        <v>18853</v>
      </c>
      <c r="D1261">
        <v>3</v>
      </c>
      <c r="F1261" s="126"/>
      <c r="K1261" s="3">
        <f t="shared" si="49"/>
        <v>0</v>
      </c>
      <c r="L1261" s="3"/>
      <c r="M1261" s="3">
        <f t="shared" si="48"/>
        <v>0</v>
      </c>
      <c r="O1261" s="5"/>
      <c r="S1261" s="6"/>
    </row>
    <row r="1262" spans="1:22" customFormat="1" x14ac:dyDescent="0.45">
      <c r="A1262">
        <v>401135</v>
      </c>
      <c r="B1262" t="s">
        <v>18854</v>
      </c>
      <c r="C1262" t="s">
        <v>18855</v>
      </c>
      <c r="D1262">
        <v>31</v>
      </c>
      <c r="E1262" t="s">
        <v>16334</v>
      </c>
      <c r="F1262" s="126"/>
      <c r="G1262" s="7">
        <v>0</v>
      </c>
      <c r="H1262" s="7">
        <v>0</v>
      </c>
      <c r="I1262" s="7">
        <v>0</v>
      </c>
      <c r="J1262" s="7">
        <v>0</v>
      </c>
      <c r="K1262" s="3">
        <f t="shared" si="49"/>
        <v>0</v>
      </c>
      <c r="L1262" s="3"/>
      <c r="M1262" s="3">
        <f t="shared" si="48"/>
        <v>0</v>
      </c>
      <c r="O1262" s="5"/>
      <c r="S1262" s="6"/>
    </row>
    <row r="1263" spans="1:22" x14ac:dyDescent="0.45">
      <c r="A1263" s="124">
        <v>231843</v>
      </c>
      <c r="B1263" s="124" t="s">
        <v>18856</v>
      </c>
      <c r="C1263" s="125" t="s">
        <v>18857</v>
      </c>
      <c r="D1263" s="124">
        <v>5</v>
      </c>
      <c r="E1263" s="124" t="s">
        <v>16417</v>
      </c>
      <c r="F1263" s="126">
        <f>(0.99%+0.66%)/2</f>
        <v>8.2500000000000004E-3</v>
      </c>
      <c r="G1263" s="126">
        <v>0.02</v>
      </c>
      <c r="H1263" s="126">
        <v>7.4999999999999997E-3</v>
      </c>
      <c r="I1263" s="127">
        <v>0</v>
      </c>
      <c r="J1263" s="127">
        <v>0</v>
      </c>
      <c r="K1263" s="126">
        <f t="shared" si="49"/>
        <v>2.75E-2</v>
      </c>
      <c r="L1263" s="3"/>
      <c r="M1263" s="126">
        <f t="shared" si="48"/>
        <v>3.5750000000000004E-2</v>
      </c>
      <c r="N1263" s="124" t="s">
        <v>18858</v>
      </c>
      <c r="O1263" s="125" t="s">
        <v>18727</v>
      </c>
      <c r="P1263" s="125" t="s">
        <v>18728</v>
      </c>
      <c r="Q1263" s="130">
        <f>21895536+2032833</f>
        <v>23928369</v>
      </c>
      <c r="R1263" s="130" t="s">
        <v>16348</v>
      </c>
      <c r="S1263" s="130">
        <v>21891619</v>
      </c>
      <c r="T1263" s="129">
        <f>S1263/Q1263</f>
        <v>0.91488136947403309</v>
      </c>
      <c r="V1263" s="125" t="s">
        <v>18729</v>
      </c>
    </row>
    <row r="1264" spans="1:22" customFormat="1" x14ac:dyDescent="0.45">
      <c r="A1264">
        <v>401223</v>
      </c>
      <c r="B1264" t="s">
        <v>18859</v>
      </c>
      <c r="C1264" t="s">
        <v>18860</v>
      </c>
      <c r="D1264">
        <v>2</v>
      </c>
      <c r="F1264" s="126"/>
      <c r="G1264" s="7">
        <v>0</v>
      </c>
      <c r="H1264" s="7">
        <v>0</v>
      </c>
      <c r="I1264" s="7">
        <v>0</v>
      </c>
      <c r="J1264" s="7">
        <v>0</v>
      </c>
      <c r="K1264" s="3">
        <f t="shared" si="49"/>
        <v>0</v>
      </c>
      <c r="L1264" s="3"/>
      <c r="M1264" s="3">
        <f t="shared" si="48"/>
        <v>0</v>
      </c>
      <c r="O1264" s="5"/>
      <c r="S1264" s="6"/>
    </row>
    <row r="1265" spans="1:20" customFormat="1" x14ac:dyDescent="0.45">
      <c r="A1265">
        <v>401226</v>
      </c>
      <c r="B1265" t="s">
        <v>18861</v>
      </c>
      <c r="C1265" t="s">
        <v>16607</v>
      </c>
      <c r="D1265">
        <v>2</v>
      </c>
      <c r="F1265" s="126"/>
      <c r="G1265" s="7">
        <v>0</v>
      </c>
      <c r="H1265" s="7">
        <v>0</v>
      </c>
      <c r="I1265" s="7">
        <v>0</v>
      </c>
      <c r="J1265" s="7">
        <v>0</v>
      </c>
      <c r="K1265" s="3">
        <f t="shared" si="49"/>
        <v>0</v>
      </c>
      <c r="L1265" s="3"/>
      <c r="M1265" s="3">
        <f t="shared" si="48"/>
        <v>0</v>
      </c>
      <c r="O1265" s="5"/>
      <c r="S1265" s="6"/>
    </row>
    <row r="1266" spans="1:20" customFormat="1" x14ac:dyDescent="0.45">
      <c r="A1266">
        <v>401283</v>
      </c>
      <c r="B1266" t="s">
        <v>18862</v>
      </c>
      <c r="C1266" t="s">
        <v>18863</v>
      </c>
      <c r="D1266">
        <v>5</v>
      </c>
      <c r="F1266" s="126"/>
      <c r="K1266" s="3">
        <f t="shared" si="49"/>
        <v>0</v>
      </c>
      <c r="L1266" s="3"/>
      <c r="M1266" s="3">
        <f t="shared" si="48"/>
        <v>0</v>
      </c>
      <c r="O1266" s="5"/>
      <c r="S1266" s="6"/>
    </row>
    <row r="1267" spans="1:20" customFormat="1" x14ac:dyDescent="0.45">
      <c r="A1267">
        <v>401295</v>
      </c>
      <c r="B1267" t="s">
        <v>18864</v>
      </c>
      <c r="C1267" t="s">
        <v>16331</v>
      </c>
      <c r="D1267">
        <v>3</v>
      </c>
      <c r="E1267" t="s">
        <v>16331</v>
      </c>
      <c r="F1267" s="126"/>
      <c r="G1267" s="7">
        <v>0</v>
      </c>
      <c r="H1267" s="7">
        <v>0</v>
      </c>
      <c r="I1267" s="7">
        <v>0</v>
      </c>
      <c r="J1267" s="7">
        <v>0</v>
      </c>
      <c r="K1267" s="3">
        <f t="shared" si="49"/>
        <v>0</v>
      </c>
      <c r="L1267" s="3"/>
      <c r="M1267" s="3">
        <f t="shared" si="48"/>
        <v>0</v>
      </c>
      <c r="O1267" s="5"/>
      <c r="S1267" s="6"/>
    </row>
    <row r="1268" spans="1:20" customFormat="1" x14ac:dyDescent="0.45">
      <c r="A1268">
        <v>401304</v>
      </c>
      <c r="B1268" t="s">
        <v>18865</v>
      </c>
      <c r="C1268" t="s">
        <v>16331</v>
      </c>
      <c r="D1268">
        <v>1</v>
      </c>
      <c r="E1268" t="s">
        <v>16331</v>
      </c>
      <c r="F1268" s="126"/>
      <c r="G1268" s="7">
        <v>0</v>
      </c>
      <c r="H1268" s="7">
        <v>0</v>
      </c>
      <c r="I1268" s="7">
        <v>0</v>
      </c>
      <c r="J1268" s="7">
        <v>0</v>
      </c>
      <c r="K1268" s="3">
        <f t="shared" si="49"/>
        <v>0</v>
      </c>
      <c r="L1268" s="3"/>
      <c r="M1268" s="3">
        <f t="shared" si="48"/>
        <v>0</v>
      </c>
      <c r="O1268" s="5"/>
      <c r="S1268" s="6"/>
    </row>
    <row r="1269" spans="1:20" customFormat="1" x14ac:dyDescent="0.45">
      <c r="A1269">
        <v>401315</v>
      </c>
      <c r="B1269" t="s">
        <v>18866</v>
      </c>
      <c r="C1269" t="s">
        <v>18867</v>
      </c>
      <c r="D1269">
        <v>1</v>
      </c>
      <c r="F1269" s="126"/>
      <c r="G1269" s="7">
        <v>0</v>
      </c>
      <c r="H1269" s="7">
        <v>0</v>
      </c>
      <c r="I1269" s="7">
        <v>0</v>
      </c>
      <c r="J1269" s="7">
        <v>0</v>
      </c>
      <c r="K1269" s="3">
        <f t="shared" si="49"/>
        <v>0</v>
      </c>
      <c r="L1269" s="3"/>
      <c r="M1269" s="3">
        <f t="shared" si="48"/>
        <v>0</v>
      </c>
      <c r="O1269" s="5"/>
      <c r="S1269" s="6"/>
    </row>
    <row r="1270" spans="1:20" customFormat="1" x14ac:dyDescent="0.45">
      <c r="A1270">
        <v>401319</v>
      </c>
      <c r="B1270" t="s">
        <v>18868</v>
      </c>
      <c r="C1270" t="s">
        <v>18869</v>
      </c>
      <c r="D1270">
        <v>2</v>
      </c>
      <c r="F1270" s="126"/>
      <c r="G1270" s="3">
        <v>0</v>
      </c>
      <c r="H1270" s="3">
        <v>0</v>
      </c>
      <c r="I1270" s="3">
        <v>0</v>
      </c>
      <c r="J1270" s="3">
        <v>0</v>
      </c>
      <c r="K1270" s="3">
        <f t="shared" si="49"/>
        <v>0</v>
      </c>
      <c r="L1270" s="3"/>
      <c r="M1270" s="3">
        <f t="shared" si="48"/>
        <v>0</v>
      </c>
      <c r="O1270" s="5"/>
      <c r="S1270" s="6"/>
    </row>
    <row r="1271" spans="1:20" customFormat="1" x14ac:dyDescent="0.45">
      <c r="A1271">
        <v>401320</v>
      </c>
      <c r="B1271" t="s">
        <v>18870</v>
      </c>
      <c r="C1271" t="s">
        <v>18871</v>
      </c>
      <c r="D1271">
        <v>2</v>
      </c>
      <c r="F1271" s="126"/>
      <c r="G1271" s="7">
        <v>0</v>
      </c>
      <c r="H1271" s="7">
        <v>0</v>
      </c>
      <c r="I1271" s="7">
        <v>0</v>
      </c>
      <c r="J1271" s="7">
        <v>0</v>
      </c>
      <c r="K1271" s="3">
        <f t="shared" si="49"/>
        <v>0</v>
      </c>
      <c r="L1271" s="3"/>
      <c r="M1271" s="3">
        <f t="shared" si="48"/>
        <v>0</v>
      </c>
      <c r="O1271" s="5"/>
      <c r="S1271" s="6"/>
    </row>
    <row r="1272" spans="1:20" customFormat="1" x14ac:dyDescent="0.45">
      <c r="A1272">
        <v>401372</v>
      </c>
      <c r="B1272" t="s">
        <v>18872</v>
      </c>
      <c r="C1272" t="s">
        <v>18873</v>
      </c>
      <c r="D1272">
        <v>5</v>
      </c>
      <c r="F1272" s="126"/>
      <c r="K1272" s="3">
        <f t="shared" si="49"/>
        <v>0</v>
      </c>
      <c r="L1272" s="3"/>
      <c r="M1272" s="3">
        <f t="shared" si="48"/>
        <v>0</v>
      </c>
      <c r="O1272" s="5"/>
      <c r="S1272" s="6"/>
    </row>
    <row r="1273" spans="1:20" customFormat="1" x14ac:dyDescent="0.45">
      <c r="A1273">
        <v>401373</v>
      </c>
      <c r="B1273" t="s">
        <v>18874</v>
      </c>
      <c r="C1273" t="s">
        <v>16331</v>
      </c>
      <c r="D1273">
        <v>2</v>
      </c>
      <c r="E1273" t="s">
        <v>16331</v>
      </c>
      <c r="F1273" s="126"/>
      <c r="G1273" s="7">
        <v>0</v>
      </c>
      <c r="H1273" s="7">
        <v>0</v>
      </c>
      <c r="I1273" s="7">
        <v>0</v>
      </c>
      <c r="J1273" s="7">
        <v>0</v>
      </c>
      <c r="K1273" s="3">
        <f t="shared" si="49"/>
        <v>0</v>
      </c>
      <c r="L1273" s="3"/>
      <c r="M1273" s="3">
        <f t="shared" si="48"/>
        <v>0</v>
      </c>
      <c r="N1273" s="7"/>
      <c r="O1273" s="5"/>
      <c r="S1273" s="6"/>
    </row>
    <row r="1274" spans="1:20" customFormat="1" x14ac:dyDescent="0.45">
      <c r="A1274">
        <v>401375</v>
      </c>
      <c r="B1274" t="s">
        <v>18875</v>
      </c>
      <c r="C1274" t="s">
        <v>16331</v>
      </c>
      <c r="D1274">
        <v>1</v>
      </c>
      <c r="E1274" t="s">
        <v>16331</v>
      </c>
      <c r="F1274" s="126"/>
      <c r="K1274" s="3">
        <f t="shared" si="49"/>
        <v>0</v>
      </c>
      <c r="L1274" s="3"/>
      <c r="M1274" s="3">
        <f t="shared" si="48"/>
        <v>0</v>
      </c>
      <c r="O1274" s="5"/>
      <c r="S1274" s="6"/>
    </row>
    <row r="1275" spans="1:20" customFormat="1" x14ac:dyDescent="0.45">
      <c r="A1275">
        <v>401398</v>
      </c>
      <c r="B1275" t="s">
        <v>18876</v>
      </c>
      <c r="C1275" t="s">
        <v>18877</v>
      </c>
      <c r="D1275">
        <v>6</v>
      </c>
      <c r="F1275" s="126"/>
      <c r="G1275" s="7">
        <v>0</v>
      </c>
      <c r="H1275" s="7">
        <v>0</v>
      </c>
      <c r="I1275" s="7">
        <v>0</v>
      </c>
      <c r="J1275" s="7">
        <v>0</v>
      </c>
      <c r="K1275" s="3">
        <f t="shared" si="49"/>
        <v>0</v>
      </c>
      <c r="L1275" s="3"/>
      <c r="M1275" s="3">
        <f t="shared" si="48"/>
        <v>0</v>
      </c>
      <c r="O1275" s="5"/>
      <c r="S1275" s="6"/>
    </row>
    <row r="1276" spans="1:20" customFormat="1" x14ac:dyDescent="0.45">
      <c r="A1276">
        <v>401461</v>
      </c>
      <c r="B1276" t="s">
        <v>18878</v>
      </c>
      <c r="C1276" t="s">
        <v>18879</v>
      </c>
      <c r="D1276">
        <v>1</v>
      </c>
      <c r="F1276" s="126"/>
      <c r="G1276" s="3">
        <v>0</v>
      </c>
      <c r="H1276" s="3">
        <v>0</v>
      </c>
      <c r="I1276" s="3">
        <v>0</v>
      </c>
      <c r="J1276" s="3">
        <v>0</v>
      </c>
      <c r="K1276" s="3">
        <f t="shared" si="49"/>
        <v>0</v>
      </c>
      <c r="L1276" s="3"/>
      <c r="M1276" s="3">
        <f t="shared" si="48"/>
        <v>0</v>
      </c>
      <c r="O1276" s="5"/>
      <c r="S1276" s="6"/>
    </row>
    <row r="1277" spans="1:20" customFormat="1" x14ac:dyDescent="0.45">
      <c r="A1277">
        <v>401477</v>
      </c>
      <c r="B1277" t="s">
        <v>18880</v>
      </c>
      <c r="C1277" t="s">
        <v>18881</v>
      </c>
      <c r="D1277" s="40">
        <v>0</v>
      </c>
      <c r="E1277" t="s">
        <v>18882</v>
      </c>
      <c r="F1277" s="126">
        <v>2.2000000000000001E-3</v>
      </c>
      <c r="G1277" s="3">
        <v>2.5000000000000001E-2</v>
      </c>
      <c r="H1277" s="3">
        <v>0.01</v>
      </c>
      <c r="I1277" s="4">
        <v>0</v>
      </c>
      <c r="J1277" s="4">
        <v>0</v>
      </c>
      <c r="K1277" s="3">
        <v>0</v>
      </c>
      <c r="L1277" s="3"/>
      <c r="M1277" s="3">
        <v>0</v>
      </c>
      <c r="N1277" s="46" t="s">
        <v>18883</v>
      </c>
      <c r="O1277" s="47" t="s">
        <v>18884</v>
      </c>
      <c r="P1277" s="47" t="s">
        <v>18884</v>
      </c>
      <c r="Q1277" s="19">
        <v>4028000</v>
      </c>
      <c r="R1277" t="s">
        <v>16348</v>
      </c>
      <c r="S1277" s="6">
        <v>2033000</v>
      </c>
      <c r="T1277" s="10">
        <f>S1277/Q1277</f>
        <v>0.50471698113207553</v>
      </c>
    </row>
    <row r="1278" spans="1:20" customFormat="1" x14ac:dyDescent="0.45">
      <c r="A1278">
        <v>401484</v>
      </c>
      <c r="B1278" t="s">
        <v>18885</v>
      </c>
      <c r="C1278" s="2" t="s">
        <v>18886</v>
      </c>
      <c r="D1278">
        <v>2</v>
      </c>
      <c r="F1278" s="126"/>
      <c r="G1278" s="3">
        <v>0</v>
      </c>
      <c r="H1278" s="3">
        <v>0</v>
      </c>
      <c r="I1278" s="3">
        <v>0</v>
      </c>
      <c r="J1278" s="3">
        <v>0</v>
      </c>
      <c r="K1278" s="3">
        <f t="shared" ref="K1278:K1341" si="50">SUM(G1278:J1278)</f>
        <v>0</v>
      </c>
      <c r="L1278" s="3"/>
      <c r="M1278" s="3">
        <f t="shared" ref="M1278:M1341" si="51">K1278+F1278</f>
        <v>0</v>
      </c>
      <c r="O1278" s="5"/>
      <c r="S1278" s="6"/>
    </row>
    <row r="1279" spans="1:20" customFormat="1" x14ac:dyDescent="0.45">
      <c r="A1279">
        <v>401507</v>
      </c>
      <c r="B1279" t="s">
        <v>18887</v>
      </c>
      <c r="C1279" t="s">
        <v>16331</v>
      </c>
      <c r="D1279">
        <v>1</v>
      </c>
      <c r="E1279" t="s">
        <v>16331</v>
      </c>
      <c r="F1279" s="126"/>
      <c r="G1279" s="7">
        <v>0</v>
      </c>
      <c r="H1279" s="7">
        <v>0</v>
      </c>
      <c r="I1279" s="7">
        <v>0</v>
      </c>
      <c r="J1279" s="7">
        <v>0</v>
      </c>
      <c r="K1279" s="3">
        <f t="shared" si="50"/>
        <v>0</v>
      </c>
      <c r="L1279" s="3"/>
      <c r="M1279" s="3">
        <f t="shared" si="51"/>
        <v>0</v>
      </c>
      <c r="O1279" s="5"/>
      <c r="S1279" s="6"/>
    </row>
    <row r="1280" spans="1:20" customFormat="1" x14ac:dyDescent="0.45">
      <c r="A1280">
        <v>401581</v>
      </c>
      <c r="B1280" t="s">
        <v>18888</v>
      </c>
      <c r="C1280" t="s">
        <v>16331</v>
      </c>
      <c r="D1280">
        <v>7</v>
      </c>
      <c r="E1280" t="s">
        <v>16331</v>
      </c>
      <c r="F1280" s="126"/>
      <c r="G1280" s="7">
        <v>0</v>
      </c>
      <c r="H1280" s="7">
        <v>0</v>
      </c>
      <c r="I1280" s="7">
        <v>0</v>
      </c>
      <c r="J1280" s="7">
        <v>0</v>
      </c>
      <c r="K1280" s="3">
        <f t="shared" si="50"/>
        <v>0</v>
      </c>
      <c r="L1280" s="3"/>
      <c r="M1280" s="3">
        <f t="shared" si="51"/>
        <v>0</v>
      </c>
      <c r="O1280" s="5"/>
      <c r="S1280" s="6"/>
    </row>
    <row r="1281" spans="1:19" customFormat="1" x14ac:dyDescent="0.45">
      <c r="A1281">
        <v>401740</v>
      </c>
      <c r="B1281" t="s">
        <v>18889</v>
      </c>
      <c r="C1281" t="s">
        <v>18890</v>
      </c>
      <c r="D1281">
        <v>1</v>
      </c>
      <c r="F1281" s="126"/>
      <c r="K1281" s="3">
        <f t="shared" si="50"/>
        <v>0</v>
      </c>
      <c r="L1281" s="3"/>
      <c r="M1281" s="3">
        <f t="shared" si="51"/>
        <v>0</v>
      </c>
      <c r="O1281" s="5"/>
      <c r="S1281" s="6"/>
    </row>
    <row r="1282" spans="1:19" customFormat="1" x14ac:dyDescent="0.45">
      <c r="A1282">
        <v>401741</v>
      </c>
      <c r="B1282" t="s">
        <v>18891</v>
      </c>
      <c r="C1282" t="s">
        <v>18892</v>
      </c>
      <c r="D1282">
        <v>1</v>
      </c>
      <c r="F1282" s="126"/>
      <c r="G1282" s="7">
        <v>0</v>
      </c>
      <c r="H1282" s="7">
        <v>0</v>
      </c>
      <c r="I1282" s="7">
        <v>0</v>
      </c>
      <c r="J1282" s="7">
        <v>0</v>
      </c>
      <c r="K1282" s="3">
        <f t="shared" si="50"/>
        <v>0</v>
      </c>
      <c r="L1282" s="3"/>
      <c r="M1282" s="3">
        <f t="shared" si="51"/>
        <v>0</v>
      </c>
      <c r="O1282" s="5"/>
      <c r="S1282" s="6"/>
    </row>
    <row r="1283" spans="1:19" customFormat="1" x14ac:dyDescent="0.45">
      <c r="A1283">
        <v>401757</v>
      </c>
      <c r="B1283" t="s">
        <v>18893</v>
      </c>
      <c r="C1283" t="s">
        <v>18894</v>
      </c>
      <c r="D1283">
        <v>1</v>
      </c>
      <c r="F1283" s="126"/>
      <c r="G1283" s="19"/>
      <c r="H1283" s="19"/>
      <c r="I1283" s="19"/>
      <c r="J1283" s="19"/>
      <c r="K1283" s="3">
        <f t="shared" si="50"/>
        <v>0</v>
      </c>
      <c r="L1283" s="3"/>
      <c r="M1283" s="3">
        <f t="shared" si="51"/>
        <v>0</v>
      </c>
      <c r="O1283" s="5"/>
      <c r="S1283" s="6"/>
    </row>
    <row r="1284" spans="1:19" customFormat="1" x14ac:dyDescent="0.45">
      <c r="A1284">
        <v>401758</v>
      </c>
      <c r="B1284" t="s">
        <v>18895</v>
      </c>
      <c r="C1284" t="s">
        <v>16331</v>
      </c>
      <c r="D1284">
        <v>2</v>
      </c>
      <c r="E1284" t="s">
        <v>16331</v>
      </c>
      <c r="F1284" s="126"/>
      <c r="G1284" s="7">
        <v>0</v>
      </c>
      <c r="H1284" s="7">
        <v>0</v>
      </c>
      <c r="I1284" s="7">
        <v>0</v>
      </c>
      <c r="J1284" s="7">
        <v>0</v>
      </c>
      <c r="K1284" s="3">
        <f t="shared" si="50"/>
        <v>0</v>
      </c>
      <c r="L1284" s="3"/>
      <c r="M1284" s="3">
        <f t="shared" si="51"/>
        <v>0</v>
      </c>
      <c r="O1284" s="5"/>
      <c r="S1284" s="6"/>
    </row>
    <row r="1285" spans="1:19" customFormat="1" x14ac:dyDescent="0.45">
      <c r="A1285">
        <v>401761</v>
      </c>
      <c r="B1285" t="s">
        <v>18896</v>
      </c>
      <c r="C1285" t="s">
        <v>18897</v>
      </c>
      <c r="D1285">
        <v>1</v>
      </c>
      <c r="F1285" s="126"/>
      <c r="G1285" s="7">
        <v>0</v>
      </c>
      <c r="H1285" s="7">
        <v>0</v>
      </c>
      <c r="I1285" s="7">
        <v>0</v>
      </c>
      <c r="J1285" s="7">
        <v>0</v>
      </c>
      <c r="K1285" s="3">
        <f t="shared" si="50"/>
        <v>0</v>
      </c>
      <c r="L1285" s="3"/>
      <c r="M1285" s="3">
        <f t="shared" si="51"/>
        <v>0</v>
      </c>
      <c r="O1285" s="5"/>
      <c r="S1285" s="6"/>
    </row>
    <row r="1286" spans="1:19" customFormat="1" x14ac:dyDescent="0.45">
      <c r="A1286">
        <v>401809</v>
      </c>
      <c r="B1286" t="s">
        <v>18898</v>
      </c>
      <c r="C1286" t="s">
        <v>18899</v>
      </c>
      <c r="D1286">
        <v>8</v>
      </c>
      <c r="F1286" s="126"/>
      <c r="G1286" s="7">
        <v>0</v>
      </c>
      <c r="H1286" s="7">
        <v>0</v>
      </c>
      <c r="I1286" s="7">
        <v>0</v>
      </c>
      <c r="J1286" s="7">
        <v>0</v>
      </c>
      <c r="K1286" s="3">
        <f t="shared" si="50"/>
        <v>0</v>
      </c>
      <c r="L1286" s="3"/>
      <c r="M1286" s="3">
        <f t="shared" si="51"/>
        <v>0</v>
      </c>
      <c r="N1286" s="7"/>
      <c r="O1286" s="5"/>
      <c r="S1286" s="6"/>
    </row>
    <row r="1287" spans="1:19" customFormat="1" x14ac:dyDescent="0.45">
      <c r="A1287">
        <v>401833</v>
      </c>
      <c r="B1287" t="s">
        <v>18900</v>
      </c>
      <c r="C1287" t="s">
        <v>18901</v>
      </c>
      <c r="D1287">
        <v>1</v>
      </c>
      <c r="F1287" s="126"/>
      <c r="G1287" s="7">
        <v>0</v>
      </c>
      <c r="H1287" s="7">
        <v>0</v>
      </c>
      <c r="I1287" s="7">
        <v>0</v>
      </c>
      <c r="J1287" s="7">
        <v>0</v>
      </c>
      <c r="K1287" s="3">
        <f t="shared" si="50"/>
        <v>0</v>
      </c>
      <c r="L1287" s="3"/>
      <c r="M1287" s="3">
        <f t="shared" si="51"/>
        <v>0</v>
      </c>
      <c r="O1287" s="5"/>
      <c r="S1287" s="6"/>
    </row>
    <row r="1288" spans="1:19" customFormat="1" x14ac:dyDescent="0.45">
      <c r="A1288">
        <v>401850</v>
      </c>
      <c r="B1288" t="s">
        <v>18902</v>
      </c>
      <c r="C1288" t="s">
        <v>18903</v>
      </c>
      <c r="D1288">
        <v>3</v>
      </c>
      <c r="F1288" s="126"/>
      <c r="G1288" s="7">
        <v>0</v>
      </c>
      <c r="H1288" s="7">
        <v>0</v>
      </c>
      <c r="I1288" s="7">
        <v>0</v>
      </c>
      <c r="J1288" s="7">
        <v>0</v>
      </c>
      <c r="K1288" s="3">
        <f t="shared" si="50"/>
        <v>0</v>
      </c>
      <c r="L1288" s="3"/>
      <c r="M1288" s="3">
        <f t="shared" si="51"/>
        <v>0</v>
      </c>
      <c r="O1288" s="5"/>
      <c r="S1288" s="6"/>
    </row>
    <row r="1289" spans="1:19" customFormat="1" x14ac:dyDescent="0.45">
      <c r="A1289">
        <v>402045</v>
      </c>
      <c r="B1289" t="s">
        <v>18904</v>
      </c>
      <c r="C1289" t="s">
        <v>16331</v>
      </c>
      <c r="D1289">
        <v>1</v>
      </c>
      <c r="E1289" t="s">
        <v>16331</v>
      </c>
      <c r="F1289" s="126"/>
      <c r="G1289" s="7">
        <v>0</v>
      </c>
      <c r="H1289" s="7">
        <v>0</v>
      </c>
      <c r="I1289" s="7">
        <v>0</v>
      </c>
      <c r="J1289" s="7">
        <v>0</v>
      </c>
      <c r="K1289" s="3">
        <f t="shared" si="50"/>
        <v>0</v>
      </c>
      <c r="L1289" s="3"/>
      <c r="M1289" s="3">
        <f t="shared" si="51"/>
        <v>0</v>
      </c>
      <c r="O1289" s="5"/>
      <c r="S1289" s="6"/>
    </row>
    <row r="1290" spans="1:19" customFormat="1" x14ac:dyDescent="0.45">
      <c r="A1290">
        <v>402130</v>
      </c>
      <c r="B1290" t="s">
        <v>18905</v>
      </c>
      <c r="C1290" t="s">
        <v>18906</v>
      </c>
      <c r="D1290">
        <v>2</v>
      </c>
      <c r="F1290" s="126"/>
      <c r="G1290" s="7">
        <v>0</v>
      </c>
      <c r="H1290" s="7">
        <v>0</v>
      </c>
      <c r="I1290" s="7">
        <v>0</v>
      </c>
      <c r="J1290" s="7">
        <v>0</v>
      </c>
      <c r="K1290" s="3">
        <f t="shared" si="50"/>
        <v>0</v>
      </c>
      <c r="L1290" s="3"/>
      <c r="M1290" s="3">
        <f t="shared" si="51"/>
        <v>0</v>
      </c>
      <c r="O1290" s="5"/>
      <c r="S1290" s="6"/>
    </row>
    <row r="1291" spans="1:19" customFormat="1" x14ac:dyDescent="0.45">
      <c r="A1291">
        <v>402190</v>
      </c>
      <c r="B1291" t="s">
        <v>18907</v>
      </c>
      <c r="C1291" t="s">
        <v>18908</v>
      </c>
      <c r="D1291">
        <v>2</v>
      </c>
      <c r="F1291" s="126"/>
      <c r="G1291" s="7">
        <v>0</v>
      </c>
      <c r="H1291" s="7">
        <v>0</v>
      </c>
      <c r="I1291" s="7">
        <v>0</v>
      </c>
      <c r="J1291" s="7">
        <v>0</v>
      </c>
      <c r="K1291" s="3">
        <f t="shared" si="50"/>
        <v>0</v>
      </c>
      <c r="L1291" s="3"/>
      <c r="M1291" s="3">
        <f t="shared" si="51"/>
        <v>0</v>
      </c>
      <c r="O1291" s="5"/>
      <c r="S1291" s="6"/>
    </row>
    <row r="1292" spans="1:19" customFormat="1" x14ac:dyDescent="0.45">
      <c r="A1292">
        <v>402226</v>
      </c>
      <c r="B1292" t="s">
        <v>18909</v>
      </c>
      <c r="C1292" t="s">
        <v>16331</v>
      </c>
      <c r="D1292">
        <v>2</v>
      </c>
      <c r="E1292" t="s">
        <v>16331</v>
      </c>
      <c r="F1292" s="126"/>
      <c r="G1292" s="7">
        <v>0</v>
      </c>
      <c r="H1292" s="7">
        <v>0</v>
      </c>
      <c r="I1292" s="7">
        <v>0</v>
      </c>
      <c r="J1292" s="7">
        <v>0</v>
      </c>
      <c r="K1292" s="3">
        <f t="shared" si="50"/>
        <v>0</v>
      </c>
      <c r="L1292" s="3"/>
      <c r="M1292" s="3">
        <f t="shared" si="51"/>
        <v>0</v>
      </c>
      <c r="O1292" s="5"/>
      <c r="S1292" s="6"/>
    </row>
    <row r="1293" spans="1:19" customFormat="1" x14ac:dyDescent="0.45">
      <c r="A1293">
        <v>402246</v>
      </c>
      <c r="B1293" t="s">
        <v>18910</v>
      </c>
      <c r="C1293" t="s">
        <v>18911</v>
      </c>
      <c r="D1293">
        <v>2</v>
      </c>
      <c r="F1293" s="126"/>
      <c r="G1293" s="7">
        <v>0</v>
      </c>
      <c r="H1293" s="7">
        <v>0</v>
      </c>
      <c r="I1293" s="7">
        <v>0</v>
      </c>
      <c r="J1293" s="7">
        <v>0</v>
      </c>
      <c r="K1293" s="3">
        <f t="shared" si="50"/>
        <v>0</v>
      </c>
      <c r="L1293" s="3"/>
      <c r="M1293" s="3">
        <f t="shared" si="51"/>
        <v>0</v>
      </c>
      <c r="O1293" s="5"/>
      <c r="S1293" s="6"/>
    </row>
    <row r="1294" spans="1:19" customFormat="1" x14ac:dyDescent="0.45">
      <c r="A1294">
        <v>402270</v>
      </c>
      <c r="B1294" t="s">
        <v>18912</v>
      </c>
      <c r="C1294" t="s">
        <v>16331</v>
      </c>
      <c r="D1294">
        <v>2</v>
      </c>
      <c r="E1294" t="s">
        <v>16331</v>
      </c>
      <c r="F1294" s="126"/>
      <c r="G1294" s="7">
        <v>0</v>
      </c>
      <c r="H1294" s="7">
        <v>0</v>
      </c>
      <c r="I1294" s="7">
        <v>0</v>
      </c>
      <c r="J1294" s="7">
        <v>0</v>
      </c>
      <c r="K1294" s="3">
        <f t="shared" si="50"/>
        <v>0</v>
      </c>
      <c r="L1294" s="3"/>
      <c r="M1294" s="3">
        <f t="shared" si="51"/>
        <v>0</v>
      </c>
      <c r="O1294" s="5"/>
      <c r="S1294" s="6"/>
    </row>
    <row r="1295" spans="1:19" customFormat="1" x14ac:dyDescent="0.45">
      <c r="A1295">
        <v>402291</v>
      </c>
      <c r="B1295" t="s">
        <v>18913</v>
      </c>
      <c r="C1295" t="s">
        <v>18914</v>
      </c>
      <c r="D1295">
        <v>1</v>
      </c>
      <c r="F1295" s="126"/>
      <c r="G1295" s="7">
        <v>0</v>
      </c>
      <c r="H1295" s="7">
        <v>0</v>
      </c>
      <c r="I1295" s="7">
        <v>0</v>
      </c>
      <c r="J1295" s="7">
        <v>0</v>
      </c>
      <c r="K1295" s="3">
        <f t="shared" si="50"/>
        <v>0</v>
      </c>
      <c r="L1295" s="3"/>
      <c r="M1295" s="3">
        <f t="shared" si="51"/>
        <v>0</v>
      </c>
      <c r="O1295" s="5"/>
      <c r="S1295" s="6"/>
    </row>
    <row r="1296" spans="1:19" customFormat="1" x14ac:dyDescent="0.45">
      <c r="A1296">
        <v>402303</v>
      </c>
      <c r="B1296" t="s">
        <v>18915</v>
      </c>
      <c r="C1296" t="s">
        <v>16331</v>
      </c>
      <c r="D1296">
        <v>0</v>
      </c>
      <c r="E1296" t="s">
        <v>16331</v>
      </c>
      <c r="F1296" s="126"/>
      <c r="G1296" s="7">
        <v>0</v>
      </c>
      <c r="H1296" s="7">
        <v>0</v>
      </c>
      <c r="I1296" s="7">
        <v>0</v>
      </c>
      <c r="J1296" s="7">
        <v>0</v>
      </c>
      <c r="K1296" s="3">
        <f t="shared" si="50"/>
        <v>0</v>
      </c>
      <c r="L1296" s="3"/>
      <c r="M1296" s="3">
        <f t="shared" si="51"/>
        <v>0</v>
      </c>
      <c r="O1296" s="5"/>
      <c r="S1296" s="6"/>
    </row>
    <row r="1297" spans="1:22" customFormat="1" x14ac:dyDescent="0.45">
      <c r="A1297">
        <v>402322</v>
      </c>
      <c r="B1297" t="s">
        <v>18916</v>
      </c>
      <c r="C1297" t="s">
        <v>16331</v>
      </c>
      <c r="D1297">
        <v>1</v>
      </c>
      <c r="E1297" t="s">
        <v>16331</v>
      </c>
      <c r="F1297" s="126"/>
      <c r="G1297" s="7">
        <v>0</v>
      </c>
      <c r="H1297" s="7">
        <v>0</v>
      </c>
      <c r="I1297" s="7">
        <v>0</v>
      </c>
      <c r="J1297" s="7">
        <v>0</v>
      </c>
      <c r="K1297" s="3">
        <f t="shared" si="50"/>
        <v>0</v>
      </c>
      <c r="L1297" s="3"/>
      <c r="M1297" s="3">
        <f t="shared" si="51"/>
        <v>0</v>
      </c>
      <c r="O1297" s="5"/>
      <c r="S1297" s="6"/>
    </row>
    <row r="1298" spans="1:22" customFormat="1" x14ac:dyDescent="0.45">
      <c r="A1298">
        <v>402324</v>
      </c>
      <c r="B1298" t="s">
        <v>18917</v>
      </c>
      <c r="C1298" t="s">
        <v>16331</v>
      </c>
      <c r="D1298">
        <v>1</v>
      </c>
      <c r="E1298" t="s">
        <v>16331</v>
      </c>
      <c r="F1298" s="126"/>
      <c r="G1298" s="7">
        <v>0</v>
      </c>
      <c r="H1298" s="7">
        <v>0</v>
      </c>
      <c r="I1298" s="7">
        <v>0</v>
      </c>
      <c r="J1298" s="7">
        <v>0</v>
      </c>
      <c r="K1298" s="3">
        <f t="shared" si="50"/>
        <v>0</v>
      </c>
      <c r="L1298" s="3"/>
      <c r="M1298" s="3">
        <f t="shared" si="51"/>
        <v>0</v>
      </c>
      <c r="O1298" s="5"/>
      <c r="S1298" s="6"/>
    </row>
    <row r="1299" spans="1:22" customFormat="1" x14ac:dyDescent="0.45">
      <c r="A1299">
        <v>402334</v>
      </c>
      <c r="B1299" t="s">
        <v>18918</v>
      </c>
      <c r="C1299" t="s">
        <v>16331</v>
      </c>
      <c r="D1299">
        <v>1</v>
      </c>
      <c r="E1299" t="s">
        <v>16331</v>
      </c>
      <c r="F1299" s="126"/>
      <c r="G1299" s="7">
        <v>0</v>
      </c>
      <c r="H1299" s="7">
        <v>0</v>
      </c>
      <c r="I1299" s="7">
        <v>0</v>
      </c>
      <c r="J1299" s="7">
        <v>0</v>
      </c>
      <c r="K1299" s="3">
        <f t="shared" si="50"/>
        <v>0</v>
      </c>
      <c r="L1299" s="3"/>
      <c r="M1299" s="3">
        <f t="shared" si="51"/>
        <v>0</v>
      </c>
      <c r="O1299" s="5"/>
      <c r="S1299" s="6"/>
    </row>
    <row r="1300" spans="1:22" customFormat="1" x14ac:dyDescent="0.45">
      <c r="A1300">
        <v>402391</v>
      </c>
      <c r="B1300" t="s">
        <v>18919</v>
      </c>
      <c r="C1300" t="s">
        <v>18920</v>
      </c>
      <c r="D1300">
        <v>1</v>
      </c>
      <c r="F1300" s="126"/>
      <c r="G1300" s="7">
        <v>0</v>
      </c>
      <c r="H1300" s="7">
        <v>0</v>
      </c>
      <c r="I1300" s="7">
        <v>0</v>
      </c>
      <c r="J1300" s="7">
        <v>0</v>
      </c>
      <c r="K1300" s="3">
        <f t="shared" si="50"/>
        <v>0</v>
      </c>
      <c r="L1300" s="3"/>
      <c r="M1300" s="3">
        <f t="shared" si="51"/>
        <v>0</v>
      </c>
      <c r="O1300" s="5"/>
      <c r="S1300" s="6"/>
    </row>
    <row r="1301" spans="1:22" customFormat="1" x14ac:dyDescent="0.45">
      <c r="A1301">
        <v>402393</v>
      </c>
      <c r="B1301" t="s">
        <v>18921</v>
      </c>
      <c r="C1301" t="s">
        <v>18922</v>
      </c>
      <c r="D1301">
        <v>5</v>
      </c>
      <c r="F1301" s="126"/>
      <c r="G1301" s="7">
        <v>0</v>
      </c>
      <c r="H1301" s="7">
        <v>0</v>
      </c>
      <c r="I1301" s="7">
        <v>0</v>
      </c>
      <c r="J1301" s="7">
        <v>0</v>
      </c>
      <c r="K1301" s="3">
        <f t="shared" si="50"/>
        <v>0</v>
      </c>
      <c r="L1301" s="3"/>
      <c r="M1301" s="3">
        <f t="shared" si="51"/>
        <v>0</v>
      </c>
      <c r="O1301" s="5"/>
      <c r="S1301" s="6"/>
    </row>
    <row r="1302" spans="1:22" customFormat="1" x14ac:dyDescent="0.45">
      <c r="A1302">
        <v>402410</v>
      </c>
      <c r="B1302" t="s">
        <v>18923</v>
      </c>
      <c r="C1302" t="s">
        <v>16331</v>
      </c>
      <c r="D1302">
        <v>1</v>
      </c>
      <c r="E1302" t="s">
        <v>16331</v>
      </c>
      <c r="F1302" s="126"/>
      <c r="K1302" s="3">
        <f t="shared" si="50"/>
        <v>0</v>
      </c>
      <c r="L1302" s="3"/>
      <c r="M1302" s="3">
        <f t="shared" si="51"/>
        <v>0</v>
      </c>
      <c r="O1302" s="5"/>
      <c r="S1302" s="6"/>
    </row>
    <row r="1303" spans="1:22" x14ac:dyDescent="0.45">
      <c r="A1303" s="124">
        <v>403170</v>
      </c>
      <c r="B1303" s="124" t="s">
        <v>18924</v>
      </c>
      <c r="C1303" s="124" t="s">
        <v>18925</v>
      </c>
      <c r="D1303" s="124">
        <v>6</v>
      </c>
      <c r="E1303" s="124" t="s">
        <v>16417</v>
      </c>
      <c r="F1303" s="126">
        <f>(0.99%+0.66%)/2</f>
        <v>8.2500000000000004E-3</v>
      </c>
      <c r="G1303" s="126">
        <v>0.02</v>
      </c>
      <c r="H1303" s="126">
        <v>7.4999999999999997E-3</v>
      </c>
      <c r="I1303" s="127">
        <v>0</v>
      </c>
      <c r="J1303" s="127">
        <v>0</v>
      </c>
      <c r="K1303" s="126">
        <f t="shared" si="50"/>
        <v>2.75E-2</v>
      </c>
      <c r="L1303" s="3"/>
      <c r="M1303" s="126">
        <f t="shared" si="51"/>
        <v>3.5750000000000004E-2</v>
      </c>
      <c r="O1303" s="125" t="s">
        <v>18727</v>
      </c>
      <c r="P1303" s="125" t="s">
        <v>18728</v>
      </c>
      <c r="Q1303" s="130">
        <f>21895536+2032833</f>
        <v>23928369</v>
      </c>
      <c r="R1303" s="130" t="s">
        <v>16348</v>
      </c>
      <c r="S1303" s="130">
        <v>21891619</v>
      </c>
      <c r="T1303" s="129">
        <f>S1303/Q1303</f>
        <v>0.91488136947403309</v>
      </c>
      <c r="V1303" s="125" t="s">
        <v>18729</v>
      </c>
    </row>
    <row r="1304" spans="1:22" customFormat="1" x14ac:dyDescent="0.45">
      <c r="A1304">
        <v>402441</v>
      </c>
      <c r="B1304" t="s">
        <v>18926</v>
      </c>
      <c r="C1304" t="s">
        <v>18927</v>
      </c>
      <c r="D1304">
        <v>5</v>
      </c>
      <c r="F1304" s="126"/>
      <c r="G1304" s="3">
        <v>0</v>
      </c>
      <c r="H1304" s="3">
        <v>0</v>
      </c>
      <c r="I1304" s="3">
        <v>0</v>
      </c>
      <c r="J1304" s="3">
        <v>0</v>
      </c>
      <c r="K1304" s="3">
        <f t="shared" si="50"/>
        <v>0</v>
      </c>
      <c r="L1304" s="3"/>
      <c r="M1304" s="3">
        <f t="shared" si="51"/>
        <v>0</v>
      </c>
      <c r="O1304" s="5"/>
      <c r="S1304" s="6"/>
    </row>
    <row r="1305" spans="1:22" customFormat="1" x14ac:dyDescent="0.45">
      <c r="A1305">
        <v>402458</v>
      </c>
      <c r="B1305" t="s">
        <v>18928</v>
      </c>
      <c r="C1305" t="s">
        <v>17108</v>
      </c>
      <c r="D1305">
        <v>7</v>
      </c>
      <c r="F1305" s="126"/>
      <c r="G1305" s="7">
        <v>0</v>
      </c>
      <c r="H1305" s="7">
        <v>0</v>
      </c>
      <c r="I1305" s="7">
        <v>0</v>
      </c>
      <c r="J1305" s="7">
        <v>0</v>
      </c>
      <c r="K1305" s="3">
        <f t="shared" si="50"/>
        <v>0</v>
      </c>
      <c r="L1305" s="3"/>
      <c r="M1305" s="3">
        <f t="shared" si="51"/>
        <v>0</v>
      </c>
      <c r="O1305" s="5"/>
      <c r="S1305" s="6"/>
    </row>
    <row r="1306" spans="1:22" x14ac:dyDescent="0.45">
      <c r="A1306" s="124">
        <v>422752</v>
      </c>
      <c r="B1306" s="124" t="s">
        <v>18929</v>
      </c>
      <c r="C1306" s="124" t="s">
        <v>18925</v>
      </c>
      <c r="D1306" s="124">
        <v>3</v>
      </c>
      <c r="E1306" s="124" t="s">
        <v>16417</v>
      </c>
      <c r="F1306" s="126">
        <f>(0.99%+0.66%)/2</f>
        <v>8.2500000000000004E-3</v>
      </c>
      <c r="G1306" s="126">
        <v>0.02</v>
      </c>
      <c r="H1306" s="126">
        <v>7.4999999999999997E-3</v>
      </c>
      <c r="I1306" s="127">
        <v>0</v>
      </c>
      <c r="J1306" s="127">
        <v>0</v>
      </c>
      <c r="K1306" s="126">
        <f t="shared" si="50"/>
        <v>2.75E-2</v>
      </c>
      <c r="L1306" s="3"/>
      <c r="M1306" s="126">
        <f t="shared" si="51"/>
        <v>3.5750000000000004E-2</v>
      </c>
      <c r="O1306" s="125" t="s">
        <v>18727</v>
      </c>
      <c r="P1306" s="125" t="s">
        <v>18728</v>
      </c>
      <c r="Q1306" s="130">
        <f>21895536+2032833</f>
        <v>23928369</v>
      </c>
      <c r="R1306" s="130" t="s">
        <v>16348</v>
      </c>
      <c r="S1306" s="130">
        <v>21891619</v>
      </c>
      <c r="T1306" s="129">
        <f>S1306/Q1306</f>
        <v>0.91488136947403309</v>
      </c>
      <c r="V1306" s="125" t="s">
        <v>18729</v>
      </c>
    </row>
    <row r="1307" spans="1:22" customFormat="1" x14ac:dyDescent="0.45">
      <c r="A1307">
        <v>402532</v>
      </c>
      <c r="B1307" t="s">
        <v>18930</v>
      </c>
      <c r="C1307" t="s">
        <v>18931</v>
      </c>
      <c r="D1307">
        <v>2</v>
      </c>
      <c r="F1307" s="126"/>
      <c r="G1307" s="7">
        <v>0</v>
      </c>
      <c r="H1307" s="7">
        <v>0</v>
      </c>
      <c r="I1307" s="7">
        <v>0</v>
      </c>
      <c r="J1307" s="7">
        <v>0</v>
      </c>
      <c r="K1307" s="3">
        <f t="shared" si="50"/>
        <v>0</v>
      </c>
      <c r="L1307" s="3"/>
      <c r="M1307" s="3">
        <f t="shared" si="51"/>
        <v>0</v>
      </c>
      <c r="O1307" s="5"/>
      <c r="S1307" s="6"/>
    </row>
    <row r="1308" spans="1:22" customFormat="1" x14ac:dyDescent="0.45">
      <c r="A1308">
        <v>402614</v>
      </c>
      <c r="B1308" t="s">
        <v>18932</v>
      </c>
      <c r="C1308" t="s">
        <v>18933</v>
      </c>
      <c r="D1308">
        <v>4</v>
      </c>
      <c r="F1308" s="126"/>
      <c r="G1308" s="7">
        <v>0</v>
      </c>
      <c r="H1308" s="7">
        <v>0</v>
      </c>
      <c r="I1308" s="7">
        <v>0</v>
      </c>
      <c r="J1308" s="7">
        <v>0</v>
      </c>
      <c r="K1308" s="3">
        <f t="shared" si="50"/>
        <v>0</v>
      </c>
      <c r="L1308" s="3"/>
      <c r="M1308" s="3">
        <f t="shared" si="51"/>
        <v>0</v>
      </c>
      <c r="O1308" s="5"/>
      <c r="S1308" s="6"/>
    </row>
    <row r="1309" spans="1:22" customFormat="1" x14ac:dyDescent="0.45">
      <c r="A1309">
        <v>402654</v>
      </c>
      <c r="B1309" t="s">
        <v>18934</v>
      </c>
      <c r="C1309" t="s">
        <v>18935</v>
      </c>
      <c r="D1309">
        <v>5</v>
      </c>
      <c r="F1309" s="126"/>
      <c r="G1309" s="3">
        <v>0</v>
      </c>
      <c r="H1309" s="3">
        <v>0</v>
      </c>
      <c r="I1309" s="3">
        <v>0</v>
      </c>
      <c r="J1309" s="3">
        <v>0</v>
      </c>
      <c r="K1309" s="3">
        <f t="shared" si="50"/>
        <v>0</v>
      </c>
      <c r="L1309" s="3"/>
      <c r="M1309" s="3">
        <f t="shared" si="51"/>
        <v>0</v>
      </c>
      <c r="O1309" s="5"/>
      <c r="S1309" s="6"/>
    </row>
    <row r="1310" spans="1:22" customFormat="1" x14ac:dyDescent="0.45">
      <c r="A1310">
        <v>402695</v>
      </c>
      <c r="B1310" t="s">
        <v>18936</v>
      </c>
      <c r="C1310" t="s">
        <v>16331</v>
      </c>
      <c r="D1310">
        <v>2</v>
      </c>
      <c r="E1310" t="s">
        <v>16331</v>
      </c>
      <c r="F1310" s="126"/>
      <c r="G1310" s="7">
        <v>0</v>
      </c>
      <c r="H1310" s="7">
        <v>0</v>
      </c>
      <c r="I1310" s="7">
        <v>0</v>
      </c>
      <c r="J1310" s="7">
        <v>0</v>
      </c>
      <c r="K1310" s="3">
        <f t="shared" si="50"/>
        <v>0</v>
      </c>
      <c r="L1310" s="3"/>
      <c r="M1310" s="3">
        <f t="shared" si="51"/>
        <v>0</v>
      </c>
      <c r="O1310" s="5"/>
      <c r="S1310" s="6"/>
    </row>
    <row r="1311" spans="1:22" customFormat="1" x14ac:dyDescent="0.45">
      <c r="A1311">
        <v>402725</v>
      </c>
      <c r="B1311" t="s">
        <v>18937</v>
      </c>
      <c r="C1311" t="s">
        <v>18938</v>
      </c>
      <c r="D1311">
        <v>1</v>
      </c>
      <c r="F1311" s="126"/>
      <c r="K1311" s="3">
        <f t="shared" si="50"/>
        <v>0</v>
      </c>
      <c r="L1311" s="3"/>
      <c r="M1311" s="3">
        <f t="shared" si="51"/>
        <v>0</v>
      </c>
      <c r="O1311" s="5"/>
      <c r="S1311" s="6"/>
    </row>
    <row r="1312" spans="1:22" customFormat="1" x14ac:dyDescent="0.45">
      <c r="A1312">
        <v>402740</v>
      </c>
      <c r="B1312" t="s">
        <v>18939</v>
      </c>
      <c r="C1312" t="s">
        <v>18940</v>
      </c>
      <c r="D1312">
        <v>0</v>
      </c>
      <c r="E1312" t="s">
        <v>16561</v>
      </c>
      <c r="F1312" s="126"/>
      <c r="K1312" s="3">
        <f t="shared" si="50"/>
        <v>0</v>
      </c>
      <c r="L1312" s="3"/>
      <c r="M1312" s="3">
        <f t="shared" si="51"/>
        <v>0</v>
      </c>
      <c r="O1312" s="5"/>
      <c r="S1312" s="6"/>
    </row>
    <row r="1313" spans="1:23" customFormat="1" x14ac:dyDescent="0.45">
      <c r="A1313">
        <v>402746</v>
      </c>
      <c r="B1313" t="s">
        <v>18941</v>
      </c>
      <c r="C1313" t="s">
        <v>18942</v>
      </c>
      <c r="D1313">
        <v>2</v>
      </c>
      <c r="F1313" s="126"/>
      <c r="G1313" s="7">
        <v>0</v>
      </c>
      <c r="H1313" s="7">
        <v>0</v>
      </c>
      <c r="I1313" s="7">
        <v>0</v>
      </c>
      <c r="J1313" s="7">
        <v>0</v>
      </c>
      <c r="K1313" s="3">
        <f t="shared" si="50"/>
        <v>0</v>
      </c>
      <c r="L1313" s="3"/>
      <c r="M1313" s="3">
        <f t="shared" si="51"/>
        <v>0</v>
      </c>
      <c r="O1313" s="5"/>
      <c r="S1313" s="6"/>
    </row>
    <row r="1314" spans="1:23" customFormat="1" x14ac:dyDescent="0.45">
      <c r="A1314">
        <v>402757</v>
      </c>
      <c r="B1314" t="s">
        <v>18943</v>
      </c>
      <c r="C1314" t="s">
        <v>18944</v>
      </c>
      <c r="D1314">
        <v>3</v>
      </c>
      <c r="F1314" s="126"/>
      <c r="G1314" s="3">
        <v>0</v>
      </c>
      <c r="H1314" s="3">
        <v>0</v>
      </c>
      <c r="I1314" s="3">
        <v>0</v>
      </c>
      <c r="J1314" s="3">
        <v>0</v>
      </c>
      <c r="K1314" s="3">
        <f t="shared" si="50"/>
        <v>0</v>
      </c>
      <c r="L1314" s="3"/>
      <c r="M1314" s="3">
        <f t="shared" si="51"/>
        <v>0</v>
      </c>
      <c r="O1314" s="5"/>
      <c r="S1314" s="6"/>
    </row>
    <row r="1315" spans="1:23" x14ac:dyDescent="0.45">
      <c r="A1315" s="124">
        <v>467858</v>
      </c>
      <c r="B1315" s="124" t="s">
        <v>18945</v>
      </c>
      <c r="C1315" s="124" t="s">
        <v>18760</v>
      </c>
      <c r="D1315" s="124">
        <v>4</v>
      </c>
      <c r="E1315" s="124" t="s">
        <v>16417</v>
      </c>
      <c r="F1315" s="126">
        <f>(0.99%+0.66%)/2</f>
        <v>8.2500000000000004E-3</v>
      </c>
      <c r="G1315" s="126">
        <v>0.02</v>
      </c>
      <c r="H1315" s="126">
        <v>7.4999999999999997E-3</v>
      </c>
      <c r="I1315" s="127">
        <v>0</v>
      </c>
      <c r="J1315" s="127">
        <v>0</v>
      </c>
      <c r="K1315" s="126">
        <f t="shared" si="50"/>
        <v>2.75E-2</v>
      </c>
      <c r="L1315" s="3"/>
      <c r="M1315" s="126">
        <f t="shared" si="51"/>
        <v>3.5750000000000004E-2</v>
      </c>
      <c r="O1315" s="125" t="s">
        <v>18727</v>
      </c>
      <c r="P1315" s="125" t="s">
        <v>18728</v>
      </c>
      <c r="Q1315" s="130">
        <f>21895536+2032833</f>
        <v>23928369</v>
      </c>
      <c r="R1315" s="130" t="s">
        <v>16348</v>
      </c>
      <c r="S1315" s="130">
        <v>21891619</v>
      </c>
      <c r="T1315" s="129">
        <f>S1315/Q1315</f>
        <v>0.91488136947403309</v>
      </c>
      <c r="V1315" s="125" t="s">
        <v>18729</v>
      </c>
    </row>
    <row r="1316" spans="1:23" customFormat="1" x14ac:dyDescent="0.45">
      <c r="A1316">
        <v>402899</v>
      </c>
      <c r="B1316" t="s">
        <v>18946</v>
      </c>
      <c r="C1316" t="s">
        <v>18947</v>
      </c>
      <c r="D1316">
        <v>2</v>
      </c>
      <c r="F1316" s="126"/>
      <c r="K1316" s="3">
        <f t="shared" si="50"/>
        <v>0</v>
      </c>
      <c r="L1316" s="3"/>
      <c r="M1316" s="3">
        <f t="shared" si="51"/>
        <v>0</v>
      </c>
      <c r="O1316" s="5"/>
      <c r="S1316" s="6"/>
    </row>
    <row r="1317" spans="1:23" customFormat="1" x14ac:dyDescent="0.45">
      <c r="A1317">
        <v>402915</v>
      </c>
      <c r="B1317" t="s">
        <v>18948</v>
      </c>
      <c r="C1317" t="s">
        <v>16331</v>
      </c>
      <c r="D1317">
        <v>1</v>
      </c>
      <c r="E1317" t="s">
        <v>16331</v>
      </c>
      <c r="F1317" s="126"/>
      <c r="G1317" s="7">
        <v>0</v>
      </c>
      <c r="H1317" s="7">
        <v>0</v>
      </c>
      <c r="I1317" s="7">
        <v>0</v>
      </c>
      <c r="J1317" s="7">
        <v>0</v>
      </c>
      <c r="K1317" s="3">
        <f t="shared" si="50"/>
        <v>0</v>
      </c>
      <c r="L1317" s="3"/>
      <c r="M1317" s="3">
        <f t="shared" si="51"/>
        <v>0</v>
      </c>
      <c r="O1317" s="5"/>
      <c r="S1317" s="6"/>
    </row>
    <row r="1318" spans="1:23" customFormat="1" x14ac:dyDescent="0.45">
      <c r="A1318">
        <v>402963</v>
      </c>
      <c r="B1318" t="s">
        <v>18949</v>
      </c>
      <c r="C1318" t="s">
        <v>18950</v>
      </c>
      <c r="D1318">
        <v>3</v>
      </c>
      <c r="F1318" s="126"/>
      <c r="G1318" s="3">
        <v>0</v>
      </c>
      <c r="H1318" s="3">
        <v>0</v>
      </c>
      <c r="I1318" s="3">
        <v>0</v>
      </c>
      <c r="J1318" s="3">
        <v>0</v>
      </c>
      <c r="K1318" s="3">
        <f t="shared" si="50"/>
        <v>0</v>
      </c>
      <c r="L1318" s="3"/>
      <c r="M1318" s="3">
        <f t="shared" si="51"/>
        <v>0</v>
      </c>
      <c r="O1318" s="5"/>
      <c r="S1318" s="6"/>
    </row>
    <row r="1319" spans="1:23" customFormat="1" x14ac:dyDescent="0.45">
      <c r="A1319">
        <v>403014</v>
      </c>
      <c r="B1319" t="s">
        <v>18951</v>
      </c>
      <c r="C1319" t="s">
        <v>18952</v>
      </c>
      <c r="D1319">
        <v>5</v>
      </c>
      <c r="F1319" s="126"/>
      <c r="K1319" s="3">
        <f t="shared" si="50"/>
        <v>0</v>
      </c>
      <c r="L1319" s="3"/>
      <c r="M1319" s="3">
        <f t="shared" si="51"/>
        <v>0</v>
      </c>
      <c r="O1319" s="5"/>
      <c r="S1319" s="6"/>
    </row>
    <row r="1320" spans="1:23" customFormat="1" x14ac:dyDescent="0.45">
      <c r="A1320">
        <v>403017</v>
      </c>
      <c r="B1320" t="s">
        <v>18953</v>
      </c>
      <c r="C1320" t="s">
        <v>18954</v>
      </c>
      <c r="D1320">
        <v>1</v>
      </c>
      <c r="F1320" s="126"/>
      <c r="G1320" s="7">
        <v>0</v>
      </c>
      <c r="H1320" s="7">
        <v>0</v>
      </c>
      <c r="I1320" s="7">
        <v>0</v>
      </c>
      <c r="J1320" s="7">
        <v>0</v>
      </c>
      <c r="K1320" s="3">
        <f t="shared" si="50"/>
        <v>0</v>
      </c>
      <c r="L1320" s="3"/>
      <c r="M1320" s="3">
        <f t="shared" si="51"/>
        <v>0</v>
      </c>
      <c r="O1320" s="5"/>
      <c r="S1320" s="6"/>
    </row>
    <row r="1321" spans="1:23" customFormat="1" x14ac:dyDescent="0.45">
      <c r="A1321">
        <v>403030</v>
      </c>
      <c r="B1321" t="s">
        <v>18955</v>
      </c>
      <c r="C1321" t="s">
        <v>16331</v>
      </c>
      <c r="D1321">
        <v>1</v>
      </c>
      <c r="E1321" t="s">
        <v>16331</v>
      </c>
      <c r="F1321" s="126"/>
      <c r="K1321" s="3">
        <f t="shared" si="50"/>
        <v>0</v>
      </c>
      <c r="L1321" s="3"/>
      <c r="M1321" s="3">
        <f t="shared" si="51"/>
        <v>0</v>
      </c>
      <c r="O1321" s="5"/>
      <c r="S1321" s="6"/>
    </row>
    <row r="1322" spans="1:23" customFormat="1" x14ac:dyDescent="0.45">
      <c r="A1322">
        <v>403031</v>
      </c>
      <c r="B1322" t="s">
        <v>18956</v>
      </c>
      <c r="C1322" t="s">
        <v>16331</v>
      </c>
      <c r="D1322">
        <v>1</v>
      </c>
      <c r="E1322" t="s">
        <v>16331</v>
      </c>
      <c r="F1322" s="126"/>
      <c r="G1322" s="7">
        <v>0</v>
      </c>
      <c r="H1322" s="7">
        <v>0</v>
      </c>
      <c r="I1322" s="7">
        <v>0</v>
      </c>
      <c r="J1322" s="7">
        <v>0</v>
      </c>
      <c r="K1322" s="3">
        <f t="shared" si="50"/>
        <v>0</v>
      </c>
      <c r="L1322" s="3"/>
      <c r="M1322" s="3">
        <f t="shared" si="51"/>
        <v>0</v>
      </c>
      <c r="O1322" s="5"/>
      <c r="S1322" s="6"/>
    </row>
    <row r="1323" spans="1:23" customFormat="1" x14ac:dyDescent="0.45">
      <c r="A1323">
        <v>403035</v>
      </c>
      <c r="B1323" t="s">
        <v>18957</v>
      </c>
      <c r="C1323" t="s">
        <v>18958</v>
      </c>
      <c r="D1323">
        <v>2</v>
      </c>
      <c r="F1323" s="126"/>
      <c r="G1323" s="7">
        <v>0</v>
      </c>
      <c r="H1323" s="7">
        <v>0</v>
      </c>
      <c r="I1323" s="7">
        <v>0</v>
      </c>
      <c r="J1323" s="7">
        <v>0</v>
      </c>
      <c r="K1323" s="3">
        <f t="shared" si="50"/>
        <v>0</v>
      </c>
      <c r="L1323" s="3"/>
      <c r="M1323" s="3">
        <f t="shared" si="51"/>
        <v>0</v>
      </c>
      <c r="N1323" s="7"/>
      <c r="O1323" s="5"/>
      <c r="S1323" s="6"/>
    </row>
    <row r="1324" spans="1:23" customFormat="1" x14ac:dyDescent="0.45">
      <c r="A1324">
        <v>403139</v>
      </c>
      <c r="B1324" t="s">
        <v>18959</v>
      </c>
      <c r="C1324" t="s">
        <v>18960</v>
      </c>
      <c r="D1324">
        <v>0</v>
      </c>
      <c r="E1324" t="s">
        <v>16561</v>
      </c>
      <c r="F1324" s="126"/>
      <c r="G1324" s="7">
        <v>0</v>
      </c>
      <c r="H1324" s="7">
        <v>0</v>
      </c>
      <c r="I1324" s="7">
        <v>0</v>
      </c>
      <c r="J1324" s="7">
        <v>0</v>
      </c>
      <c r="K1324" s="3">
        <f t="shared" si="50"/>
        <v>0</v>
      </c>
      <c r="L1324" s="3"/>
      <c r="M1324" s="3">
        <f t="shared" si="51"/>
        <v>0</v>
      </c>
      <c r="N1324" s="7"/>
      <c r="O1324" s="5"/>
      <c r="S1324" s="6"/>
    </row>
    <row r="1325" spans="1:23" customFormat="1" x14ac:dyDescent="0.45">
      <c r="A1325">
        <v>403154</v>
      </c>
      <c r="B1325" t="s">
        <v>18961</v>
      </c>
      <c r="C1325" t="s">
        <v>18962</v>
      </c>
      <c r="D1325">
        <v>3</v>
      </c>
      <c r="F1325" s="126"/>
      <c r="G1325" s="7">
        <v>0</v>
      </c>
      <c r="H1325" s="7">
        <v>0</v>
      </c>
      <c r="I1325" s="7">
        <v>0</v>
      </c>
      <c r="J1325" s="7">
        <v>0</v>
      </c>
      <c r="K1325" s="3">
        <f t="shared" si="50"/>
        <v>0</v>
      </c>
      <c r="L1325" s="3"/>
      <c r="M1325" s="3">
        <f t="shared" si="51"/>
        <v>0</v>
      </c>
      <c r="O1325" s="5"/>
      <c r="S1325" s="6"/>
    </row>
    <row r="1326" spans="1:23" x14ac:dyDescent="0.45">
      <c r="A1326" s="124">
        <v>912090</v>
      </c>
      <c r="B1326" s="124" t="s">
        <v>18963</v>
      </c>
      <c r="C1326" s="124" t="s">
        <v>18964</v>
      </c>
      <c r="D1326" s="124">
        <v>5</v>
      </c>
      <c r="E1326" s="124" t="s">
        <v>16334</v>
      </c>
      <c r="F1326" s="126">
        <v>1.6999999999999999E-3</v>
      </c>
      <c r="G1326" s="126">
        <f>2.8%+1.2%</f>
        <v>3.9999999999999994E-2</v>
      </c>
      <c r="H1326" s="126">
        <v>2.1000000000000001E-2</v>
      </c>
      <c r="I1326" s="127"/>
      <c r="J1326" s="127"/>
      <c r="K1326" s="126">
        <f t="shared" si="50"/>
        <v>6.0999999999999999E-2</v>
      </c>
      <c r="L1326" s="3"/>
      <c r="M1326" s="126">
        <f t="shared" si="51"/>
        <v>6.2699999999999992E-2</v>
      </c>
      <c r="N1326" s="124" t="s">
        <v>18965</v>
      </c>
      <c r="O1326" s="131" t="s">
        <v>18966</v>
      </c>
      <c r="P1326" s="128" t="s">
        <v>26918</v>
      </c>
      <c r="Q1326" s="124">
        <f>41989+73445</f>
        <v>115434</v>
      </c>
      <c r="R1326" s="124" t="s">
        <v>16348</v>
      </c>
      <c r="S1326" s="132">
        <v>41989</v>
      </c>
      <c r="T1326" s="129">
        <f>S1326/Q1326</f>
        <v>0.36374898210232687</v>
      </c>
      <c r="V1326" s="125" t="s">
        <v>18967</v>
      </c>
      <c r="W1326" s="124" t="s">
        <v>17021</v>
      </c>
    </row>
    <row r="1327" spans="1:23" customFormat="1" x14ac:dyDescent="0.45">
      <c r="A1327">
        <v>403210</v>
      </c>
      <c r="B1327" t="s">
        <v>18968</v>
      </c>
      <c r="C1327" t="s">
        <v>18969</v>
      </c>
      <c r="D1327">
        <v>3</v>
      </c>
      <c r="F1327" s="126"/>
      <c r="G1327" s="3">
        <v>0</v>
      </c>
      <c r="H1327" s="3">
        <v>0</v>
      </c>
      <c r="I1327" s="3">
        <v>0</v>
      </c>
      <c r="J1327" s="3">
        <v>0</v>
      </c>
      <c r="K1327" s="3">
        <f t="shared" si="50"/>
        <v>0</v>
      </c>
      <c r="L1327" s="3"/>
      <c r="M1327" s="3">
        <f t="shared" si="51"/>
        <v>0</v>
      </c>
      <c r="O1327" s="5"/>
      <c r="S1327" s="6"/>
    </row>
    <row r="1328" spans="1:23" customFormat="1" x14ac:dyDescent="0.45">
      <c r="A1328">
        <v>403248</v>
      </c>
      <c r="B1328" t="s">
        <v>18970</v>
      </c>
      <c r="C1328" t="s">
        <v>16331</v>
      </c>
      <c r="D1328">
        <v>3</v>
      </c>
      <c r="E1328" t="s">
        <v>16331</v>
      </c>
      <c r="F1328" s="126"/>
      <c r="G1328" s="7">
        <v>0</v>
      </c>
      <c r="H1328" s="7">
        <v>0</v>
      </c>
      <c r="I1328" s="7">
        <v>0</v>
      </c>
      <c r="J1328" s="7">
        <v>0</v>
      </c>
      <c r="K1328" s="3">
        <f t="shared" si="50"/>
        <v>0</v>
      </c>
      <c r="L1328" s="3"/>
      <c r="M1328" s="3">
        <f t="shared" si="51"/>
        <v>0</v>
      </c>
      <c r="O1328" s="5"/>
      <c r="S1328" s="6"/>
    </row>
    <row r="1329" spans="1:19" customFormat="1" x14ac:dyDescent="0.45">
      <c r="A1329">
        <v>403259</v>
      </c>
      <c r="B1329" t="s">
        <v>18971</v>
      </c>
      <c r="C1329" t="s">
        <v>18972</v>
      </c>
      <c r="D1329">
        <v>4</v>
      </c>
      <c r="F1329" s="126"/>
      <c r="G1329" s="7">
        <v>0</v>
      </c>
      <c r="H1329" s="7">
        <v>0</v>
      </c>
      <c r="I1329" s="7">
        <v>0</v>
      </c>
      <c r="J1329" s="7">
        <v>0</v>
      </c>
      <c r="K1329" s="3">
        <f t="shared" si="50"/>
        <v>0</v>
      </c>
      <c r="L1329" s="3"/>
      <c r="M1329" s="3">
        <f t="shared" si="51"/>
        <v>0</v>
      </c>
      <c r="O1329" s="5"/>
      <c r="S1329" s="6"/>
    </row>
    <row r="1330" spans="1:19" customFormat="1" x14ac:dyDescent="0.45">
      <c r="A1330">
        <v>403304</v>
      </c>
      <c r="B1330" t="s">
        <v>18973</v>
      </c>
      <c r="C1330" t="s">
        <v>18974</v>
      </c>
      <c r="D1330">
        <v>0</v>
      </c>
      <c r="E1330" t="s">
        <v>16561</v>
      </c>
      <c r="F1330" s="126"/>
      <c r="G1330" s="7">
        <v>0</v>
      </c>
      <c r="H1330" s="7">
        <v>0</v>
      </c>
      <c r="I1330" s="7">
        <v>0</v>
      </c>
      <c r="J1330" s="7">
        <v>0</v>
      </c>
      <c r="K1330" s="3">
        <f t="shared" si="50"/>
        <v>0</v>
      </c>
      <c r="L1330" s="3"/>
      <c r="M1330" s="3">
        <f t="shared" si="51"/>
        <v>0</v>
      </c>
      <c r="N1330" s="7"/>
      <c r="O1330" s="5"/>
      <c r="S1330" s="6"/>
    </row>
    <row r="1331" spans="1:19" customFormat="1" x14ac:dyDescent="0.45">
      <c r="A1331">
        <v>403308</v>
      </c>
      <c r="B1331" t="s">
        <v>18975</v>
      </c>
      <c r="C1331" t="s">
        <v>18976</v>
      </c>
      <c r="D1331">
        <v>3</v>
      </c>
      <c r="F1331" s="126"/>
      <c r="G1331" s="7">
        <v>0</v>
      </c>
      <c r="H1331" s="7">
        <v>0</v>
      </c>
      <c r="I1331" s="7">
        <v>0</v>
      </c>
      <c r="J1331" s="7">
        <v>0</v>
      </c>
      <c r="K1331" s="3">
        <f t="shared" si="50"/>
        <v>0</v>
      </c>
      <c r="L1331" s="3"/>
      <c r="M1331" s="3">
        <f t="shared" si="51"/>
        <v>0</v>
      </c>
      <c r="O1331" s="5"/>
      <c r="S1331" s="6"/>
    </row>
    <row r="1332" spans="1:19" customFormat="1" x14ac:dyDescent="0.45">
      <c r="A1332">
        <v>403360</v>
      </c>
      <c r="B1332" t="s">
        <v>18977</v>
      </c>
      <c r="C1332" t="s">
        <v>18196</v>
      </c>
      <c r="D1332">
        <v>0</v>
      </c>
      <c r="F1332" s="126"/>
      <c r="K1332" s="3">
        <f t="shared" si="50"/>
        <v>0</v>
      </c>
      <c r="L1332" s="3"/>
      <c r="M1332" s="3">
        <f t="shared" si="51"/>
        <v>0</v>
      </c>
      <c r="O1332" s="5"/>
      <c r="P1332" t="s">
        <v>18978</v>
      </c>
      <c r="S1332" s="6"/>
    </row>
    <row r="1333" spans="1:19" customFormat="1" x14ac:dyDescent="0.45">
      <c r="A1333">
        <v>403433</v>
      </c>
      <c r="B1333" t="s">
        <v>18979</v>
      </c>
      <c r="C1333" t="s">
        <v>16331</v>
      </c>
      <c r="D1333">
        <v>1</v>
      </c>
      <c r="E1333" t="s">
        <v>16331</v>
      </c>
      <c r="F1333" s="126"/>
      <c r="G1333" s="7">
        <v>0</v>
      </c>
      <c r="H1333" s="7">
        <v>0</v>
      </c>
      <c r="I1333" s="7">
        <v>0</v>
      </c>
      <c r="J1333" s="7">
        <v>0</v>
      </c>
      <c r="K1333" s="3">
        <f t="shared" si="50"/>
        <v>0</v>
      </c>
      <c r="L1333" s="3"/>
      <c r="M1333" s="3">
        <f t="shared" si="51"/>
        <v>0</v>
      </c>
      <c r="O1333" s="5"/>
      <c r="S1333" s="6"/>
    </row>
    <row r="1334" spans="1:19" customFormat="1" x14ac:dyDescent="0.45">
      <c r="A1334">
        <v>403456</v>
      </c>
      <c r="B1334" t="s">
        <v>18980</v>
      </c>
      <c r="C1334" t="s">
        <v>18981</v>
      </c>
      <c r="D1334">
        <v>2</v>
      </c>
      <c r="F1334" s="126"/>
      <c r="G1334" s="7">
        <v>0</v>
      </c>
      <c r="H1334" s="7">
        <v>0</v>
      </c>
      <c r="I1334" s="7">
        <v>0</v>
      </c>
      <c r="J1334" s="7">
        <v>0</v>
      </c>
      <c r="K1334" s="3">
        <f t="shared" si="50"/>
        <v>0</v>
      </c>
      <c r="L1334" s="3"/>
      <c r="M1334" s="3">
        <f t="shared" si="51"/>
        <v>0</v>
      </c>
      <c r="N1334" s="7"/>
      <c r="O1334" s="5"/>
      <c r="S1334" s="6"/>
    </row>
    <row r="1335" spans="1:19" customFormat="1" x14ac:dyDescent="0.45">
      <c r="A1335">
        <v>403458</v>
      </c>
      <c r="B1335" t="s">
        <v>18982</v>
      </c>
      <c r="C1335" t="s">
        <v>18983</v>
      </c>
      <c r="D1335">
        <v>1</v>
      </c>
      <c r="F1335" s="126"/>
      <c r="G1335" s="7">
        <v>0</v>
      </c>
      <c r="H1335" s="7">
        <v>0</v>
      </c>
      <c r="I1335" s="7">
        <v>0</v>
      </c>
      <c r="J1335" s="7">
        <v>0</v>
      </c>
      <c r="K1335" s="3">
        <f t="shared" si="50"/>
        <v>0</v>
      </c>
      <c r="L1335" s="3"/>
      <c r="M1335" s="3">
        <f t="shared" si="51"/>
        <v>0</v>
      </c>
      <c r="O1335" s="5"/>
      <c r="S1335" s="6"/>
    </row>
    <row r="1336" spans="1:19" customFormat="1" x14ac:dyDescent="0.45">
      <c r="A1336">
        <v>403464</v>
      </c>
      <c r="B1336" t="s">
        <v>18984</v>
      </c>
      <c r="C1336" t="s">
        <v>18985</v>
      </c>
      <c r="D1336">
        <v>1</v>
      </c>
      <c r="F1336" s="126"/>
      <c r="G1336" s="7">
        <v>0</v>
      </c>
      <c r="H1336" s="7">
        <v>0</v>
      </c>
      <c r="I1336" s="7">
        <v>0</v>
      </c>
      <c r="J1336" s="7">
        <v>0</v>
      </c>
      <c r="K1336" s="3">
        <f t="shared" si="50"/>
        <v>0</v>
      </c>
      <c r="L1336" s="3"/>
      <c r="M1336" s="3">
        <f t="shared" si="51"/>
        <v>0</v>
      </c>
      <c r="O1336" s="5"/>
      <c r="S1336" s="6"/>
    </row>
    <row r="1337" spans="1:19" customFormat="1" x14ac:dyDescent="0.45">
      <c r="A1337">
        <v>403595</v>
      </c>
      <c r="B1337" t="s">
        <v>18986</v>
      </c>
      <c r="C1337" t="s">
        <v>16331</v>
      </c>
      <c r="D1337">
        <v>1</v>
      </c>
      <c r="E1337" t="s">
        <v>16331</v>
      </c>
      <c r="F1337" s="126"/>
      <c r="G1337" s="7">
        <v>0</v>
      </c>
      <c r="H1337" s="7">
        <v>0</v>
      </c>
      <c r="I1337" s="7">
        <v>0</v>
      </c>
      <c r="J1337" s="7">
        <v>0</v>
      </c>
      <c r="K1337" s="3">
        <f t="shared" si="50"/>
        <v>0</v>
      </c>
      <c r="L1337" s="3"/>
      <c r="M1337" s="3">
        <f t="shared" si="51"/>
        <v>0</v>
      </c>
      <c r="O1337" s="5"/>
      <c r="S1337" s="6"/>
    </row>
    <row r="1338" spans="1:19" customFormat="1" x14ac:dyDescent="0.45">
      <c r="A1338">
        <v>403708</v>
      </c>
      <c r="B1338" t="s">
        <v>18987</v>
      </c>
      <c r="C1338" t="s">
        <v>18988</v>
      </c>
      <c r="D1338">
        <v>1</v>
      </c>
      <c r="F1338" s="126"/>
      <c r="G1338" s="7">
        <v>0</v>
      </c>
      <c r="H1338" s="7">
        <v>0</v>
      </c>
      <c r="I1338" s="7">
        <v>0</v>
      </c>
      <c r="J1338" s="7">
        <v>0</v>
      </c>
      <c r="K1338" s="3">
        <f t="shared" si="50"/>
        <v>0</v>
      </c>
      <c r="L1338" s="3"/>
      <c r="M1338" s="3">
        <f t="shared" si="51"/>
        <v>0</v>
      </c>
      <c r="O1338" s="5"/>
      <c r="S1338" s="6"/>
    </row>
    <row r="1339" spans="1:19" customFormat="1" x14ac:dyDescent="0.45">
      <c r="A1339">
        <v>403721</v>
      </c>
      <c r="B1339" t="s">
        <v>18989</v>
      </c>
      <c r="C1339" t="s">
        <v>18990</v>
      </c>
      <c r="D1339">
        <v>0</v>
      </c>
      <c r="E1339" t="s">
        <v>16561</v>
      </c>
      <c r="F1339" s="126"/>
      <c r="G1339" s="7">
        <v>0</v>
      </c>
      <c r="H1339" s="7">
        <v>0</v>
      </c>
      <c r="I1339" s="7">
        <v>0</v>
      </c>
      <c r="J1339" s="7">
        <v>0</v>
      </c>
      <c r="K1339" s="3">
        <f t="shared" si="50"/>
        <v>0</v>
      </c>
      <c r="L1339" s="3"/>
      <c r="M1339" s="3">
        <f t="shared" si="51"/>
        <v>0</v>
      </c>
      <c r="N1339" s="7"/>
      <c r="O1339" s="5"/>
      <c r="S1339" s="6"/>
    </row>
    <row r="1340" spans="1:19" customFormat="1" x14ac:dyDescent="0.45">
      <c r="A1340">
        <v>407373</v>
      </c>
      <c r="B1340" t="s">
        <v>18991</v>
      </c>
      <c r="C1340" t="s">
        <v>16331</v>
      </c>
      <c r="D1340">
        <v>1</v>
      </c>
      <c r="E1340" t="s">
        <v>16331</v>
      </c>
      <c r="F1340" s="126"/>
      <c r="G1340" s="7">
        <v>0</v>
      </c>
      <c r="H1340" s="7">
        <v>0</v>
      </c>
      <c r="I1340" s="7">
        <v>0</v>
      </c>
      <c r="J1340" s="7">
        <v>0</v>
      </c>
      <c r="K1340" s="3">
        <f t="shared" si="50"/>
        <v>0</v>
      </c>
      <c r="L1340" s="3"/>
      <c r="M1340" s="3">
        <f t="shared" si="51"/>
        <v>0</v>
      </c>
      <c r="O1340" s="5"/>
      <c r="S1340" s="6"/>
    </row>
    <row r="1341" spans="1:19" customFormat="1" x14ac:dyDescent="0.45">
      <c r="A1341">
        <v>407875</v>
      </c>
      <c r="B1341" t="s">
        <v>18992</v>
      </c>
      <c r="C1341" t="s">
        <v>16331</v>
      </c>
      <c r="D1341">
        <v>1</v>
      </c>
      <c r="E1341" t="s">
        <v>16331</v>
      </c>
      <c r="F1341" s="126"/>
      <c r="G1341" s="7">
        <v>0</v>
      </c>
      <c r="H1341" s="7">
        <v>0</v>
      </c>
      <c r="I1341" s="7">
        <v>0</v>
      </c>
      <c r="J1341" s="7">
        <v>0</v>
      </c>
      <c r="K1341" s="3">
        <f t="shared" si="50"/>
        <v>0</v>
      </c>
      <c r="L1341" s="3"/>
      <c r="M1341" s="3">
        <f t="shared" si="51"/>
        <v>0</v>
      </c>
      <c r="O1341" s="5"/>
      <c r="S1341" s="6"/>
    </row>
    <row r="1342" spans="1:19" customFormat="1" x14ac:dyDescent="0.45">
      <c r="A1342">
        <v>407889</v>
      </c>
      <c r="B1342" t="s">
        <v>18993</v>
      </c>
      <c r="C1342" t="s">
        <v>18994</v>
      </c>
      <c r="D1342">
        <v>17</v>
      </c>
      <c r="F1342" s="126"/>
      <c r="G1342" s="3">
        <v>0</v>
      </c>
      <c r="H1342" s="3">
        <v>0</v>
      </c>
      <c r="I1342" s="3">
        <v>0</v>
      </c>
      <c r="J1342" s="3">
        <v>0</v>
      </c>
      <c r="K1342" s="3">
        <f t="shared" ref="K1342:K1405" si="52">SUM(G1342:J1342)</f>
        <v>0</v>
      </c>
      <c r="L1342" s="3"/>
      <c r="M1342" s="3">
        <f t="shared" ref="M1342:M1405" si="53">K1342+F1342</f>
        <v>0</v>
      </c>
      <c r="O1342" s="5"/>
      <c r="S1342" s="6"/>
    </row>
    <row r="1343" spans="1:19" customFormat="1" x14ac:dyDescent="0.45">
      <c r="A1343">
        <v>407900</v>
      </c>
      <c r="B1343" t="s">
        <v>18995</v>
      </c>
      <c r="C1343" t="s">
        <v>18996</v>
      </c>
      <c r="D1343">
        <v>2</v>
      </c>
      <c r="F1343" s="126"/>
      <c r="G1343" s="7">
        <v>0</v>
      </c>
      <c r="H1343" s="7">
        <v>0</v>
      </c>
      <c r="I1343" s="7">
        <v>0</v>
      </c>
      <c r="J1343" s="7">
        <v>0</v>
      </c>
      <c r="K1343" s="3">
        <f t="shared" si="52"/>
        <v>0</v>
      </c>
      <c r="L1343" s="3"/>
      <c r="M1343" s="3">
        <f t="shared" si="53"/>
        <v>0</v>
      </c>
      <c r="O1343" s="5"/>
      <c r="S1343" s="6"/>
    </row>
    <row r="1344" spans="1:19" customFormat="1" x14ac:dyDescent="0.45">
      <c r="A1344">
        <v>408054</v>
      </c>
      <c r="B1344" t="s">
        <v>18997</v>
      </c>
      <c r="C1344" t="s">
        <v>18998</v>
      </c>
      <c r="D1344">
        <v>1</v>
      </c>
      <c r="F1344" s="126"/>
      <c r="G1344" s="7">
        <v>0</v>
      </c>
      <c r="H1344" s="7">
        <v>0</v>
      </c>
      <c r="I1344" s="7">
        <v>0</v>
      </c>
      <c r="J1344" s="7">
        <v>0</v>
      </c>
      <c r="K1344" s="3">
        <f t="shared" si="52"/>
        <v>0</v>
      </c>
      <c r="L1344" s="3"/>
      <c r="M1344" s="3">
        <f t="shared" si="53"/>
        <v>0</v>
      </c>
      <c r="O1344" s="5"/>
      <c r="S1344" s="6"/>
    </row>
    <row r="1345" spans="1:22" x14ac:dyDescent="0.45">
      <c r="A1345" s="124">
        <v>430562</v>
      </c>
      <c r="B1345" s="124" t="s">
        <v>18999</v>
      </c>
      <c r="C1345" s="124" t="s">
        <v>19000</v>
      </c>
      <c r="D1345" s="124">
        <v>1</v>
      </c>
      <c r="E1345" s="124" t="s">
        <v>16334</v>
      </c>
      <c r="F1345" s="126">
        <v>1.6999999999999999E-3</v>
      </c>
      <c r="G1345" s="126">
        <v>0.03</v>
      </c>
      <c r="H1345" s="126">
        <v>6.4999999999999997E-3</v>
      </c>
      <c r="I1345" s="127"/>
      <c r="J1345" s="127"/>
      <c r="K1345" s="126">
        <f t="shared" si="52"/>
        <v>3.6499999999999998E-2</v>
      </c>
      <c r="L1345" s="3"/>
      <c r="M1345" s="126">
        <f t="shared" si="53"/>
        <v>3.8199999999999998E-2</v>
      </c>
      <c r="O1345" s="125" t="s">
        <v>19001</v>
      </c>
      <c r="P1345" s="128" t="s">
        <v>26918</v>
      </c>
      <c r="Q1345" s="124">
        <f>198828+8921</f>
        <v>207749</v>
      </c>
      <c r="R1345" s="124" t="s">
        <v>16348</v>
      </c>
      <c r="S1345" s="130">
        <v>119359</v>
      </c>
      <c r="T1345" s="129">
        <f>S1345/Q1345</f>
        <v>0.57453465479978238</v>
      </c>
      <c r="V1345" s="125" t="s">
        <v>19002</v>
      </c>
    </row>
    <row r="1346" spans="1:22" customFormat="1" x14ac:dyDescent="0.45">
      <c r="A1346">
        <v>408228</v>
      </c>
      <c r="B1346" t="s">
        <v>19003</v>
      </c>
      <c r="C1346" t="s">
        <v>16331</v>
      </c>
      <c r="D1346">
        <v>2</v>
      </c>
      <c r="E1346" t="s">
        <v>16331</v>
      </c>
      <c r="F1346" s="126"/>
      <c r="G1346" s="7">
        <v>0</v>
      </c>
      <c r="H1346" s="7">
        <v>0</v>
      </c>
      <c r="I1346" s="7">
        <v>0</v>
      </c>
      <c r="J1346" s="7">
        <v>0</v>
      </c>
      <c r="K1346" s="3">
        <f t="shared" si="52"/>
        <v>0</v>
      </c>
      <c r="L1346" s="3"/>
      <c r="M1346" s="3">
        <f t="shared" si="53"/>
        <v>0</v>
      </c>
      <c r="O1346" s="5"/>
      <c r="S1346" s="6"/>
    </row>
    <row r="1347" spans="1:22" customFormat="1" x14ac:dyDescent="0.45">
      <c r="A1347">
        <v>408233</v>
      </c>
      <c r="B1347" t="s">
        <v>19004</v>
      </c>
      <c r="C1347" t="s">
        <v>19005</v>
      </c>
      <c r="D1347">
        <v>1</v>
      </c>
      <c r="F1347" s="126"/>
      <c r="G1347" s="3">
        <v>0</v>
      </c>
      <c r="H1347" s="3">
        <v>0</v>
      </c>
      <c r="I1347" s="3">
        <v>0</v>
      </c>
      <c r="J1347" s="3">
        <v>0</v>
      </c>
      <c r="K1347" s="3">
        <f t="shared" si="52"/>
        <v>0</v>
      </c>
      <c r="L1347" s="3"/>
      <c r="M1347" s="3">
        <f t="shared" si="53"/>
        <v>0</v>
      </c>
      <c r="O1347" s="5"/>
      <c r="S1347" s="6"/>
    </row>
    <row r="1348" spans="1:22" customFormat="1" x14ac:dyDescent="0.45">
      <c r="A1348">
        <v>408280</v>
      </c>
      <c r="B1348" t="s">
        <v>19006</v>
      </c>
      <c r="C1348" t="s">
        <v>19007</v>
      </c>
      <c r="D1348">
        <v>2</v>
      </c>
      <c r="F1348" s="126"/>
      <c r="K1348" s="3">
        <f t="shared" si="52"/>
        <v>0</v>
      </c>
      <c r="L1348" s="3"/>
      <c r="M1348" s="3">
        <f t="shared" si="53"/>
        <v>0</v>
      </c>
      <c r="O1348" s="5"/>
      <c r="S1348" s="6"/>
    </row>
    <row r="1349" spans="1:22" customFormat="1" x14ac:dyDescent="0.45">
      <c r="A1349">
        <v>408285</v>
      </c>
      <c r="B1349" t="s">
        <v>19008</v>
      </c>
      <c r="C1349" t="s">
        <v>19009</v>
      </c>
      <c r="D1349">
        <v>858</v>
      </c>
      <c r="F1349" s="126"/>
      <c r="G1349" s="7">
        <v>0</v>
      </c>
      <c r="H1349" s="7">
        <v>0</v>
      </c>
      <c r="I1349" s="7">
        <v>0</v>
      </c>
      <c r="J1349" s="7">
        <v>0</v>
      </c>
      <c r="K1349" s="3">
        <f t="shared" si="52"/>
        <v>0</v>
      </c>
      <c r="L1349" s="3"/>
      <c r="M1349" s="3">
        <f t="shared" si="53"/>
        <v>0</v>
      </c>
      <c r="N1349" t="s">
        <v>19010</v>
      </c>
      <c r="O1349" s="5"/>
      <c r="S1349" s="6"/>
    </row>
    <row r="1350" spans="1:22" customFormat="1" x14ac:dyDescent="0.45">
      <c r="A1350">
        <v>408286</v>
      </c>
      <c r="B1350" t="s">
        <v>19011</v>
      </c>
      <c r="C1350" t="s">
        <v>19012</v>
      </c>
      <c r="D1350">
        <v>6</v>
      </c>
      <c r="F1350" s="126"/>
      <c r="G1350" s="3">
        <v>0</v>
      </c>
      <c r="H1350" s="3">
        <v>0</v>
      </c>
      <c r="I1350" s="3">
        <v>0</v>
      </c>
      <c r="J1350" s="3">
        <v>0</v>
      </c>
      <c r="K1350" s="3">
        <f t="shared" si="52"/>
        <v>0</v>
      </c>
      <c r="L1350" s="3"/>
      <c r="M1350" s="3">
        <f t="shared" si="53"/>
        <v>0</v>
      </c>
      <c r="O1350" s="5"/>
      <c r="S1350" s="6"/>
    </row>
    <row r="1351" spans="1:22" customFormat="1" x14ac:dyDescent="0.45">
      <c r="A1351">
        <v>408302</v>
      </c>
      <c r="B1351" t="s">
        <v>19013</v>
      </c>
      <c r="C1351" t="s">
        <v>16331</v>
      </c>
      <c r="D1351">
        <v>2</v>
      </c>
      <c r="E1351" t="s">
        <v>16331</v>
      </c>
      <c r="F1351" s="126"/>
      <c r="G1351" s="7">
        <v>0</v>
      </c>
      <c r="H1351" s="7">
        <v>0</v>
      </c>
      <c r="I1351" s="7">
        <v>0</v>
      </c>
      <c r="J1351" s="7">
        <v>0</v>
      </c>
      <c r="K1351" s="3">
        <f t="shared" si="52"/>
        <v>0</v>
      </c>
      <c r="L1351" s="3"/>
      <c r="M1351" s="3">
        <f t="shared" si="53"/>
        <v>0</v>
      </c>
      <c r="O1351" s="5"/>
      <c r="S1351" s="6"/>
    </row>
    <row r="1352" spans="1:22" customFormat="1" x14ac:dyDescent="0.45">
      <c r="A1352">
        <v>409034</v>
      </c>
      <c r="B1352" t="s">
        <v>19014</v>
      </c>
      <c r="C1352" t="s">
        <v>19015</v>
      </c>
      <c r="D1352">
        <v>5</v>
      </c>
      <c r="F1352" s="126"/>
      <c r="K1352" s="3">
        <f t="shared" si="52"/>
        <v>0</v>
      </c>
      <c r="L1352" s="3"/>
      <c r="M1352" s="3">
        <f t="shared" si="53"/>
        <v>0</v>
      </c>
      <c r="O1352" s="5"/>
      <c r="S1352" s="6"/>
    </row>
    <row r="1353" spans="1:22" customFormat="1" x14ac:dyDescent="0.45">
      <c r="A1353">
        <v>409051</v>
      </c>
      <c r="B1353" t="s">
        <v>19016</v>
      </c>
      <c r="C1353" t="s">
        <v>19017</v>
      </c>
      <c r="D1353">
        <v>6</v>
      </c>
      <c r="F1353" s="126"/>
      <c r="G1353" s="7">
        <v>0</v>
      </c>
      <c r="H1353" s="7">
        <v>0</v>
      </c>
      <c r="I1353" s="7">
        <v>0</v>
      </c>
      <c r="J1353" s="7">
        <v>0</v>
      </c>
      <c r="K1353" s="3">
        <f t="shared" si="52"/>
        <v>0</v>
      </c>
      <c r="L1353" s="3"/>
      <c r="M1353" s="3">
        <f t="shared" si="53"/>
        <v>0</v>
      </c>
      <c r="O1353" s="5"/>
      <c r="S1353" s="6"/>
    </row>
    <row r="1354" spans="1:22" customFormat="1" x14ac:dyDescent="0.45">
      <c r="A1354">
        <v>409085</v>
      </c>
      <c r="B1354" t="s">
        <v>19018</v>
      </c>
      <c r="C1354" t="s">
        <v>16331</v>
      </c>
      <c r="D1354">
        <v>1</v>
      </c>
      <c r="E1354" t="s">
        <v>16331</v>
      </c>
      <c r="F1354" s="126"/>
      <c r="G1354" s="7">
        <v>0</v>
      </c>
      <c r="H1354" s="7">
        <v>0</v>
      </c>
      <c r="I1354" s="7">
        <v>0</v>
      </c>
      <c r="J1354" s="7">
        <v>0</v>
      </c>
      <c r="K1354" s="3">
        <f t="shared" si="52"/>
        <v>0</v>
      </c>
      <c r="L1354" s="3"/>
      <c r="M1354" s="3">
        <f t="shared" si="53"/>
        <v>0</v>
      </c>
      <c r="O1354" s="5"/>
      <c r="S1354" s="6"/>
    </row>
    <row r="1355" spans="1:22" customFormat="1" x14ac:dyDescent="0.45">
      <c r="A1355">
        <v>409087</v>
      </c>
      <c r="B1355" t="s">
        <v>19019</v>
      </c>
      <c r="C1355" t="s">
        <v>16331</v>
      </c>
      <c r="D1355">
        <v>1</v>
      </c>
      <c r="E1355" t="s">
        <v>16331</v>
      </c>
      <c r="F1355" s="126"/>
      <c r="G1355" s="7">
        <v>0</v>
      </c>
      <c r="H1355" s="7">
        <v>0</v>
      </c>
      <c r="I1355" s="7">
        <v>0</v>
      </c>
      <c r="J1355" s="7">
        <v>0</v>
      </c>
      <c r="K1355" s="3">
        <f t="shared" si="52"/>
        <v>0</v>
      </c>
      <c r="L1355" s="3"/>
      <c r="M1355" s="3">
        <f t="shared" si="53"/>
        <v>0</v>
      </c>
      <c r="O1355" s="5"/>
      <c r="S1355" s="6"/>
    </row>
    <row r="1356" spans="1:22" customFormat="1" x14ac:dyDescent="0.45">
      <c r="A1356">
        <v>409112</v>
      </c>
      <c r="B1356" t="s">
        <v>19020</v>
      </c>
      <c r="C1356" t="s">
        <v>19021</v>
      </c>
      <c r="D1356">
        <v>2</v>
      </c>
      <c r="F1356" s="126"/>
      <c r="G1356" s="7">
        <v>0</v>
      </c>
      <c r="H1356" s="7">
        <v>0</v>
      </c>
      <c r="I1356" s="7">
        <v>0</v>
      </c>
      <c r="J1356" s="7">
        <v>0</v>
      </c>
      <c r="K1356" s="3">
        <f t="shared" si="52"/>
        <v>0</v>
      </c>
      <c r="L1356" s="3"/>
      <c r="M1356" s="3">
        <f t="shared" si="53"/>
        <v>0</v>
      </c>
      <c r="O1356" s="5"/>
      <c r="S1356" s="6"/>
    </row>
    <row r="1357" spans="1:22" customFormat="1" x14ac:dyDescent="0.45">
      <c r="A1357">
        <v>409160</v>
      </c>
      <c r="B1357" t="s">
        <v>19022</v>
      </c>
      <c r="C1357" t="s">
        <v>19023</v>
      </c>
      <c r="D1357">
        <v>89</v>
      </c>
      <c r="E1357" t="s">
        <v>16334</v>
      </c>
      <c r="F1357" s="126"/>
      <c r="G1357" s="3">
        <v>0</v>
      </c>
      <c r="H1357" s="3">
        <v>0</v>
      </c>
      <c r="I1357" s="3">
        <v>0</v>
      </c>
      <c r="J1357" s="3">
        <v>0</v>
      </c>
      <c r="K1357" s="3">
        <f t="shared" si="52"/>
        <v>0</v>
      </c>
      <c r="L1357" s="3"/>
      <c r="M1357" s="3">
        <f t="shared" si="53"/>
        <v>0</v>
      </c>
      <c r="O1357" s="5"/>
      <c r="S1357" s="6"/>
    </row>
    <row r="1358" spans="1:22" customFormat="1" x14ac:dyDescent="0.45">
      <c r="A1358">
        <v>409209</v>
      </c>
      <c r="B1358" t="s">
        <v>19024</v>
      </c>
      <c r="C1358" t="s">
        <v>16331</v>
      </c>
      <c r="D1358">
        <v>1</v>
      </c>
      <c r="E1358" t="s">
        <v>16331</v>
      </c>
      <c r="F1358" s="126"/>
      <c r="G1358" s="7">
        <v>0</v>
      </c>
      <c r="H1358" s="7">
        <v>0</v>
      </c>
      <c r="I1358" s="7">
        <v>0</v>
      </c>
      <c r="J1358" s="7">
        <v>0</v>
      </c>
      <c r="K1358" s="3">
        <f t="shared" si="52"/>
        <v>0</v>
      </c>
      <c r="L1358" s="3"/>
      <c r="M1358" s="3">
        <f t="shared" si="53"/>
        <v>0</v>
      </c>
      <c r="O1358" s="5"/>
      <c r="S1358" s="6"/>
    </row>
    <row r="1359" spans="1:22" customFormat="1" x14ac:dyDescent="0.45">
      <c r="A1359">
        <v>409228</v>
      </c>
      <c r="B1359" t="s">
        <v>19025</v>
      </c>
      <c r="C1359" t="s">
        <v>19026</v>
      </c>
      <c r="D1359">
        <v>2</v>
      </c>
      <c r="F1359" s="126"/>
      <c r="G1359" s="3">
        <v>0</v>
      </c>
      <c r="H1359" s="3">
        <v>0</v>
      </c>
      <c r="I1359" s="3">
        <v>0</v>
      </c>
      <c r="J1359" s="3">
        <v>0</v>
      </c>
      <c r="K1359" s="3">
        <f t="shared" si="52"/>
        <v>0</v>
      </c>
      <c r="L1359" s="3"/>
      <c r="M1359" s="3">
        <f t="shared" si="53"/>
        <v>0</v>
      </c>
      <c r="O1359" s="5"/>
      <c r="S1359" s="6"/>
    </row>
    <row r="1360" spans="1:22" customFormat="1" x14ac:dyDescent="0.45">
      <c r="A1360">
        <v>409239</v>
      </c>
      <c r="B1360" t="s">
        <v>19027</v>
      </c>
      <c r="C1360" t="s">
        <v>19028</v>
      </c>
      <c r="D1360">
        <v>2</v>
      </c>
      <c r="F1360" s="126"/>
      <c r="K1360" s="3">
        <f t="shared" si="52"/>
        <v>0</v>
      </c>
      <c r="L1360" s="3"/>
      <c r="M1360" s="3">
        <f t="shared" si="53"/>
        <v>0</v>
      </c>
      <c r="O1360" s="5"/>
      <c r="S1360" s="6"/>
    </row>
    <row r="1361" spans="1:22" x14ac:dyDescent="0.45">
      <c r="A1361" s="124">
        <v>525733</v>
      </c>
      <c r="B1361" s="124" t="s">
        <v>19029</v>
      </c>
      <c r="C1361" s="124" t="s">
        <v>19030</v>
      </c>
      <c r="D1361" s="124">
        <v>31</v>
      </c>
      <c r="E1361" s="124" t="s">
        <v>16334</v>
      </c>
      <c r="F1361" s="126">
        <v>1.6999999999999999E-3</v>
      </c>
      <c r="G1361" s="126"/>
      <c r="H1361" s="126"/>
      <c r="I1361" s="127">
        <v>0.03</v>
      </c>
      <c r="J1361" s="127">
        <v>8.0000000000000002E-3</v>
      </c>
      <c r="K1361" s="126">
        <f t="shared" si="52"/>
        <v>3.7999999999999999E-2</v>
      </c>
      <c r="L1361" s="16"/>
      <c r="M1361" s="126">
        <f t="shared" si="53"/>
        <v>3.9699999999999999E-2</v>
      </c>
      <c r="N1361" s="124" t="s">
        <v>19031</v>
      </c>
      <c r="O1361" s="131" t="s">
        <v>19031</v>
      </c>
      <c r="P1361" s="128" t="s">
        <v>26918</v>
      </c>
      <c r="Q1361" s="130">
        <v>100</v>
      </c>
      <c r="R1361" s="124" t="s">
        <v>16348</v>
      </c>
      <c r="S1361" s="132">
        <v>100</v>
      </c>
      <c r="T1361" s="129">
        <f>S1361/Q1361</f>
        <v>1</v>
      </c>
      <c r="V1361" s="125" t="s">
        <v>19032</v>
      </c>
    </row>
    <row r="1362" spans="1:22" customFormat="1" x14ac:dyDescent="0.45">
      <c r="A1362">
        <v>409749</v>
      </c>
      <c r="B1362" t="s">
        <v>19033</v>
      </c>
      <c r="C1362" t="s">
        <v>19034</v>
      </c>
      <c r="D1362">
        <v>2</v>
      </c>
      <c r="F1362" s="126"/>
      <c r="G1362" s="7">
        <v>0</v>
      </c>
      <c r="H1362" s="7">
        <v>0</v>
      </c>
      <c r="I1362" s="7">
        <v>0</v>
      </c>
      <c r="J1362" s="7">
        <v>0</v>
      </c>
      <c r="K1362" s="3">
        <f t="shared" si="52"/>
        <v>0</v>
      </c>
      <c r="L1362" s="3"/>
      <c r="M1362" s="3">
        <f t="shared" si="53"/>
        <v>0</v>
      </c>
      <c r="O1362" s="5"/>
      <c r="S1362" s="6"/>
    </row>
    <row r="1363" spans="1:22" customFormat="1" x14ac:dyDescent="0.45">
      <c r="A1363">
        <v>409895</v>
      </c>
      <c r="B1363" t="s">
        <v>19035</v>
      </c>
      <c r="C1363" t="s">
        <v>16331</v>
      </c>
      <c r="D1363">
        <v>4</v>
      </c>
      <c r="E1363" t="s">
        <v>16331</v>
      </c>
      <c r="F1363" s="126"/>
      <c r="G1363" s="7">
        <v>0</v>
      </c>
      <c r="H1363" s="7">
        <v>0</v>
      </c>
      <c r="I1363" s="7">
        <v>0</v>
      </c>
      <c r="J1363" s="7">
        <v>0</v>
      </c>
      <c r="K1363" s="3">
        <f t="shared" si="52"/>
        <v>0</v>
      </c>
      <c r="L1363" s="3"/>
      <c r="M1363" s="3">
        <f t="shared" si="53"/>
        <v>0</v>
      </c>
      <c r="O1363" s="5"/>
      <c r="S1363" s="6"/>
    </row>
    <row r="1364" spans="1:22" customFormat="1" x14ac:dyDescent="0.45">
      <c r="A1364">
        <v>410497</v>
      </c>
      <c r="B1364" t="s">
        <v>19036</v>
      </c>
      <c r="C1364" t="s">
        <v>19037</v>
      </c>
      <c r="D1364">
        <v>2</v>
      </c>
      <c r="F1364" s="126"/>
      <c r="G1364" s="7">
        <v>0</v>
      </c>
      <c r="H1364" s="7">
        <v>0</v>
      </c>
      <c r="I1364" s="7">
        <v>0</v>
      </c>
      <c r="J1364" s="7">
        <v>0</v>
      </c>
      <c r="K1364" s="3">
        <f t="shared" si="52"/>
        <v>0</v>
      </c>
      <c r="L1364" s="3"/>
      <c r="M1364" s="3">
        <f t="shared" si="53"/>
        <v>0</v>
      </c>
      <c r="O1364" s="5"/>
      <c r="S1364" s="6"/>
    </row>
    <row r="1365" spans="1:22" customFormat="1" x14ac:dyDescent="0.45">
      <c r="A1365">
        <v>410508</v>
      </c>
      <c r="B1365" t="s">
        <v>19038</v>
      </c>
      <c r="C1365" t="s">
        <v>19039</v>
      </c>
      <c r="D1365">
        <v>1</v>
      </c>
      <c r="F1365" s="126"/>
      <c r="G1365" s="7">
        <v>0</v>
      </c>
      <c r="H1365" s="7">
        <v>0</v>
      </c>
      <c r="I1365" s="7">
        <v>0</v>
      </c>
      <c r="J1365" s="7">
        <v>0</v>
      </c>
      <c r="K1365" s="3">
        <f t="shared" si="52"/>
        <v>0</v>
      </c>
      <c r="L1365" s="3"/>
      <c r="M1365" s="3">
        <f t="shared" si="53"/>
        <v>0</v>
      </c>
      <c r="O1365" s="5"/>
      <c r="S1365" s="6"/>
    </row>
    <row r="1366" spans="1:22" customFormat="1" x14ac:dyDescent="0.45">
      <c r="A1366">
        <v>410550</v>
      </c>
      <c r="B1366" t="s">
        <v>19040</v>
      </c>
      <c r="C1366" t="s">
        <v>19041</v>
      </c>
      <c r="D1366">
        <v>1</v>
      </c>
      <c r="F1366" s="126"/>
      <c r="G1366" s="7">
        <v>0</v>
      </c>
      <c r="H1366" s="7">
        <v>0</v>
      </c>
      <c r="I1366" s="7">
        <v>0</v>
      </c>
      <c r="J1366" s="7">
        <v>0</v>
      </c>
      <c r="K1366" s="3">
        <f t="shared" si="52"/>
        <v>0</v>
      </c>
      <c r="L1366" s="3"/>
      <c r="M1366" s="3">
        <f t="shared" si="53"/>
        <v>0</v>
      </c>
      <c r="O1366" s="5"/>
      <c r="S1366" s="6"/>
    </row>
    <row r="1367" spans="1:22" customFormat="1" x14ac:dyDescent="0.45">
      <c r="A1367">
        <v>410555</v>
      </c>
      <c r="B1367" t="s">
        <v>19042</v>
      </c>
      <c r="C1367" t="s">
        <v>16331</v>
      </c>
      <c r="D1367">
        <v>1</v>
      </c>
      <c r="E1367" t="s">
        <v>16331</v>
      </c>
      <c r="F1367" s="126"/>
      <c r="G1367" s="7">
        <v>0</v>
      </c>
      <c r="H1367" s="7">
        <v>0</v>
      </c>
      <c r="I1367" s="7">
        <v>0</v>
      </c>
      <c r="J1367" s="7">
        <v>0</v>
      </c>
      <c r="K1367" s="3">
        <f t="shared" si="52"/>
        <v>0</v>
      </c>
      <c r="L1367" s="3"/>
      <c r="M1367" s="3">
        <f t="shared" si="53"/>
        <v>0</v>
      </c>
      <c r="O1367" s="5"/>
      <c r="S1367" s="6"/>
    </row>
    <row r="1368" spans="1:22" customFormat="1" x14ac:dyDescent="0.45">
      <c r="A1368">
        <v>410619</v>
      </c>
      <c r="B1368" t="s">
        <v>19043</v>
      </c>
      <c r="C1368" t="s">
        <v>19044</v>
      </c>
      <c r="D1368">
        <v>1</v>
      </c>
      <c r="F1368" s="126"/>
      <c r="G1368" s="7">
        <v>0</v>
      </c>
      <c r="H1368" s="7">
        <v>0</v>
      </c>
      <c r="I1368" s="7">
        <v>0</v>
      </c>
      <c r="J1368" s="7">
        <v>0</v>
      </c>
      <c r="K1368" s="3">
        <f t="shared" si="52"/>
        <v>0</v>
      </c>
      <c r="L1368" s="3"/>
      <c r="M1368" s="3">
        <f t="shared" si="53"/>
        <v>0</v>
      </c>
      <c r="O1368" s="5"/>
      <c r="S1368" s="6"/>
    </row>
    <row r="1369" spans="1:22" customFormat="1" x14ac:dyDescent="0.45">
      <c r="A1369">
        <v>410624</v>
      </c>
      <c r="B1369" t="s">
        <v>19045</v>
      </c>
      <c r="C1369" t="s">
        <v>19046</v>
      </c>
      <c r="D1369">
        <v>0</v>
      </c>
      <c r="E1369" t="s">
        <v>16561</v>
      </c>
      <c r="F1369" s="126"/>
      <c r="G1369" s="7">
        <v>0</v>
      </c>
      <c r="H1369" s="7">
        <v>0</v>
      </c>
      <c r="I1369" s="7">
        <v>0</v>
      </c>
      <c r="J1369" s="7">
        <v>0</v>
      </c>
      <c r="K1369" s="3">
        <f t="shared" si="52"/>
        <v>0</v>
      </c>
      <c r="L1369" s="3"/>
      <c r="M1369" s="3">
        <f t="shared" si="53"/>
        <v>0</v>
      </c>
      <c r="N1369" s="7"/>
      <c r="O1369" s="5"/>
      <c r="S1369" s="6"/>
    </row>
    <row r="1370" spans="1:22" customFormat="1" x14ac:dyDescent="0.45">
      <c r="A1370">
        <v>413109</v>
      </c>
      <c r="B1370" t="s">
        <v>19047</v>
      </c>
      <c r="C1370" t="s">
        <v>19048</v>
      </c>
      <c r="D1370">
        <v>1</v>
      </c>
      <c r="F1370" s="126"/>
      <c r="G1370" s="3">
        <v>0</v>
      </c>
      <c r="H1370" s="3">
        <v>0</v>
      </c>
      <c r="I1370" s="3">
        <v>0</v>
      </c>
      <c r="J1370" s="3">
        <v>0</v>
      </c>
      <c r="K1370" s="3">
        <f t="shared" si="52"/>
        <v>0</v>
      </c>
      <c r="L1370" s="3"/>
      <c r="M1370" s="3">
        <f t="shared" si="53"/>
        <v>0</v>
      </c>
      <c r="O1370" s="5"/>
      <c r="S1370" s="6"/>
    </row>
    <row r="1371" spans="1:22" customFormat="1" x14ac:dyDescent="0.45">
      <c r="A1371">
        <v>413227</v>
      </c>
      <c r="B1371" t="s">
        <v>19049</v>
      </c>
      <c r="C1371" t="s">
        <v>19050</v>
      </c>
      <c r="D1371">
        <v>2</v>
      </c>
      <c r="F1371" s="126"/>
      <c r="K1371" s="3">
        <f t="shared" si="52"/>
        <v>0</v>
      </c>
      <c r="L1371" s="3"/>
      <c r="M1371" s="3">
        <f t="shared" si="53"/>
        <v>0</v>
      </c>
      <c r="O1371" s="5"/>
      <c r="S1371" s="6"/>
    </row>
    <row r="1372" spans="1:22" customFormat="1" x14ac:dyDescent="0.45">
      <c r="A1372">
        <v>413234</v>
      </c>
      <c r="B1372" t="s">
        <v>19051</v>
      </c>
      <c r="C1372" t="s">
        <v>19052</v>
      </c>
      <c r="D1372">
        <v>17</v>
      </c>
      <c r="F1372" s="126"/>
      <c r="G1372" s="7">
        <v>0</v>
      </c>
      <c r="H1372" s="7">
        <v>0</v>
      </c>
      <c r="I1372" s="7">
        <v>0</v>
      </c>
      <c r="J1372" s="7">
        <v>0</v>
      </c>
      <c r="K1372" s="3">
        <f t="shared" si="52"/>
        <v>0</v>
      </c>
      <c r="L1372" s="3"/>
      <c r="M1372" s="3">
        <f t="shared" si="53"/>
        <v>0</v>
      </c>
      <c r="O1372" s="5"/>
      <c r="S1372" s="6"/>
    </row>
    <row r="1373" spans="1:22" customFormat="1" x14ac:dyDescent="0.45">
      <c r="A1373">
        <v>413308</v>
      </c>
      <c r="B1373" t="s">
        <v>19053</v>
      </c>
      <c r="C1373" t="s">
        <v>19054</v>
      </c>
      <c r="D1373">
        <v>4</v>
      </c>
      <c r="F1373" s="126"/>
      <c r="G1373" s="7">
        <v>0</v>
      </c>
      <c r="H1373" s="7">
        <v>0</v>
      </c>
      <c r="I1373" s="7">
        <v>0</v>
      </c>
      <c r="J1373" s="7">
        <v>0</v>
      </c>
      <c r="K1373" s="3">
        <f t="shared" si="52"/>
        <v>0</v>
      </c>
      <c r="L1373" s="3"/>
      <c r="M1373" s="3">
        <f t="shared" si="53"/>
        <v>0</v>
      </c>
      <c r="O1373" s="5"/>
      <c r="S1373" s="6"/>
    </row>
    <row r="1374" spans="1:22" customFormat="1" x14ac:dyDescent="0.45">
      <c r="A1374">
        <v>413317</v>
      </c>
      <c r="B1374" t="s">
        <v>19055</v>
      </c>
      <c r="C1374" s="2" t="s">
        <v>19056</v>
      </c>
      <c r="D1374">
        <v>8</v>
      </c>
      <c r="E1374" t="s">
        <v>16334</v>
      </c>
      <c r="F1374" s="126"/>
      <c r="K1374" s="3">
        <f t="shared" si="52"/>
        <v>0</v>
      </c>
      <c r="L1374" s="3"/>
      <c r="M1374" s="3">
        <f t="shared" si="53"/>
        <v>0</v>
      </c>
      <c r="O1374" s="5"/>
      <c r="S1374" s="6"/>
    </row>
    <row r="1375" spans="1:22" customFormat="1" x14ac:dyDescent="0.45">
      <c r="A1375">
        <v>413443</v>
      </c>
      <c r="B1375" t="s">
        <v>19057</v>
      </c>
      <c r="C1375" t="s">
        <v>19058</v>
      </c>
      <c r="D1375">
        <v>1</v>
      </c>
      <c r="F1375" s="126"/>
      <c r="G1375" s="7">
        <v>0</v>
      </c>
      <c r="H1375" s="7">
        <v>0</v>
      </c>
      <c r="I1375" s="7">
        <v>0</v>
      </c>
      <c r="J1375" s="7">
        <v>0</v>
      </c>
      <c r="K1375" s="3">
        <f t="shared" si="52"/>
        <v>0</v>
      </c>
      <c r="L1375" s="3"/>
      <c r="M1375" s="3">
        <f t="shared" si="53"/>
        <v>0</v>
      </c>
      <c r="O1375" s="5"/>
      <c r="S1375" s="6"/>
    </row>
    <row r="1376" spans="1:22" customFormat="1" x14ac:dyDescent="0.45">
      <c r="A1376">
        <v>413455</v>
      </c>
      <c r="B1376" t="s">
        <v>19059</v>
      </c>
      <c r="C1376" t="s">
        <v>16331</v>
      </c>
      <c r="D1376">
        <v>1</v>
      </c>
      <c r="E1376" t="s">
        <v>16331</v>
      </c>
      <c r="F1376" s="126"/>
      <c r="G1376" s="7">
        <v>0</v>
      </c>
      <c r="H1376" s="7">
        <v>0</v>
      </c>
      <c r="I1376" s="7">
        <v>0</v>
      </c>
      <c r="J1376" s="7">
        <v>0</v>
      </c>
      <c r="K1376" s="3">
        <f t="shared" si="52"/>
        <v>0</v>
      </c>
      <c r="L1376" s="3"/>
      <c r="M1376" s="3">
        <f t="shared" si="53"/>
        <v>0</v>
      </c>
      <c r="O1376" s="5"/>
      <c r="S1376" s="6"/>
    </row>
    <row r="1377" spans="1:19" customFormat="1" x14ac:dyDescent="0.45">
      <c r="A1377">
        <v>413664</v>
      </c>
      <c r="B1377" t="s">
        <v>19060</v>
      </c>
      <c r="C1377" t="s">
        <v>19061</v>
      </c>
      <c r="D1377">
        <v>7</v>
      </c>
      <c r="F1377" s="126"/>
      <c r="G1377" s="7">
        <v>0</v>
      </c>
      <c r="H1377" s="7">
        <v>0</v>
      </c>
      <c r="I1377" s="7">
        <v>0</v>
      </c>
      <c r="J1377" s="7">
        <v>0</v>
      </c>
      <c r="K1377" s="3">
        <f t="shared" si="52"/>
        <v>0</v>
      </c>
      <c r="L1377" s="3"/>
      <c r="M1377" s="3">
        <f t="shared" si="53"/>
        <v>0</v>
      </c>
      <c r="O1377" s="5"/>
      <c r="S1377" s="6"/>
    </row>
    <row r="1378" spans="1:19" customFormat="1" x14ac:dyDescent="0.45">
      <c r="A1378">
        <v>413888</v>
      </c>
      <c r="B1378" t="s">
        <v>19062</v>
      </c>
      <c r="C1378" t="s">
        <v>19063</v>
      </c>
      <c r="D1378">
        <v>2</v>
      </c>
      <c r="F1378" s="126"/>
      <c r="G1378" s="7">
        <v>0</v>
      </c>
      <c r="H1378" s="7">
        <v>0</v>
      </c>
      <c r="I1378" s="7">
        <v>0</v>
      </c>
      <c r="J1378" s="7">
        <v>0</v>
      </c>
      <c r="K1378" s="3">
        <f t="shared" si="52"/>
        <v>0</v>
      </c>
      <c r="L1378" s="3"/>
      <c r="M1378" s="3">
        <f t="shared" si="53"/>
        <v>0</v>
      </c>
      <c r="O1378" s="5"/>
      <c r="S1378" s="6"/>
    </row>
    <row r="1379" spans="1:19" customFormat="1" x14ac:dyDescent="0.45">
      <c r="A1379">
        <v>413890</v>
      </c>
      <c r="B1379" t="s">
        <v>19064</v>
      </c>
      <c r="C1379" t="s">
        <v>19065</v>
      </c>
      <c r="D1379">
        <v>6</v>
      </c>
      <c r="F1379" s="126"/>
      <c r="G1379" s="7">
        <v>0</v>
      </c>
      <c r="H1379" s="7">
        <v>0</v>
      </c>
      <c r="I1379" s="7">
        <v>0</v>
      </c>
      <c r="J1379" s="7">
        <v>0</v>
      </c>
      <c r="K1379" s="3">
        <f t="shared" si="52"/>
        <v>0</v>
      </c>
      <c r="L1379" s="3"/>
      <c r="M1379" s="3">
        <f t="shared" si="53"/>
        <v>0</v>
      </c>
      <c r="O1379" s="5"/>
      <c r="S1379" s="6"/>
    </row>
    <row r="1380" spans="1:19" customFormat="1" x14ac:dyDescent="0.45">
      <c r="A1380">
        <v>413915</v>
      </c>
      <c r="B1380" t="s">
        <v>19066</v>
      </c>
      <c r="C1380" t="s">
        <v>19067</v>
      </c>
      <c r="D1380">
        <v>3</v>
      </c>
      <c r="F1380" s="126"/>
      <c r="G1380" s="20"/>
      <c r="H1380" s="20"/>
      <c r="I1380" s="20"/>
      <c r="J1380" s="20"/>
      <c r="K1380" s="3">
        <f t="shared" si="52"/>
        <v>0</v>
      </c>
      <c r="L1380" s="3"/>
      <c r="M1380" s="3">
        <f t="shared" si="53"/>
        <v>0</v>
      </c>
      <c r="O1380" s="5"/>
      <c r="S1380" s="6"/>
    </row>
    <row r="1381" spans="1:19" customFormat="1" x14ac:dyDescent="0.45">
      <c r="A1381">
        <v>413974</v>
      </c>
      <c r="B1381" t="s">
        <v>19068</v>
      </c>
      <c r="C1381" t="s">
        <v>19069</v>
      </c>
      <c r="D1381">
        <v>1</v>
      </c>
      <c r="F1381" s="126"/>
      <c r="G1381" s="7">
        <v>0</v>
      </c>
      <c r="H1381" s="7">
        <v>0</v>
      </c>
      <c r="I1381" s="7">
        <v>0</v>
      </c>
      <c r="J1381" s="7">
        <v>0</v>
      </c>
      <c r="K1381" s="3">
        <f t="shared" si="52"/>
        <v>0</v>
      </c>
      <c r="L1381" s="3"/>
      <c r="M1381" s="3">
        <f t="shared" si="53"/>
        <v>0</v>
      </c>
      <c r="O1381" s="5"/>
      <c r="S1381" s="6"/>
    </row>
    <row r="1382" spans="1:19" customFormat="1" x14ac:dyDescent="0.45">
      <c r="A1382">
        <v>414369</v>
      </c>
      <c r="B1382" t="s">
        <v>19070</v>
      </c>
      <c r="C1382" t="s">
        <v>19071</v>
      </c>
      <c r="D1382">
        <v>8</v>
      </c>
      <c r="F1382" s="126"/>
      <c r="G1382" s="7">
        <v>0</v>
      </c>
      <c r="H1382" s="7">
        <v>0</v>
      </c>
      <c r="I1382" s="7">
        <v>0</v>
      </c>
      <c r="J1382" s="7">
        <v>0</v>
      </c>
      <c r="K1382" s="3">
        <f t="shared" si="52"/>
        <v>0</v>
      </c>
      <c r="L1382" s="3"/>
      <c r="M1382" s="3">
        <f t="shared" si="53"/>
        <v>0</v>
      </c>
      <c r="O1382" s="5"/>
      <c r="S1382" s="6"/>
    </row>
    <row r="1383" spans="1:19" customFormat="1" x14ac:dyDescent="0.45">
      <c r="A1383">
        <v>414391</v>
      </c>
      <c r="B1383" t="s">
        <v>19072</v>
      </c>
      <c r="C1383" t="s">
        <v>16331</v>
      </c>
      <c r="D1383">
        <v>1</v>
      </c>
      <c r="E1383" t="s">
        <v>16331</v>
      </c>
      <c r="F1383" s="126"/>
      <c r="G1383" s="7">
        <v>0</v>
      </c>
      <c r="H1383" s="7">
        <v>0</v>
      </c>
      <c r="I1383" s="7">
        <v>0</v>
      </c>
      <c r="J1383" s="7">
        <v>0</v>
      </c>
      <c r="K1383" s="3">
        <f t="shared" si="52"/>
        <v>0</v>
      </c>
      <c r="L1383" s="3"/>
      <c r="M1383" s="3">
        <f t="shared" si="53"/>
        <v>0</v>
      </c>
      <c r="O1383" s="5"/>
      <c r="S1383" s="6"/>
    </row>
    <row r="1384" spans="1:19" customFormat="1" x14ac:dyDescent="0.45">
      <c r="A1384">
        <v>414430</v>
      </c>
      <c r="B1384" t="s">
        <v>19073</v>
      </c>
      <c r="C1384" t="s">
        <v>19074</v>
      </c>
      <c r="D1384">
        <v>0</v>
      </c>
      <c r="E1384" t="s">
        <v>16561</v>
      </c>
      <c r="F1384" s="126"/>
      <c r="G1384" s="7">
        <v>0</v>
      </c>
      <c r="H1384" s="7">
        <v>0</v>
      </c>
      <c r="I1384" s="7">
        <v>0</v>
      </c>
      <c r="J1384" s="7">
        <v>0</v>
      </c>
      <c r="K1384" s="3">
        <f t="shared" si="52"/>
        <v>0</v>
      </c>
      <c r="L1384" s="3"/>
      <c r="M1384" s="3">
        <f t="shared" si="53"/>
        <v>0</v>
      </c>
      <c r="N1384" s="7"/>
      <c r="O1384" s="5"/>
      <c r="S1384" s="6"/>
    </row>
    <row r="1385" spans="1:19" customFormat="1" x14ac:dyDescent="0.45">
      <c r="A1385">
        <v>414752</v>
      </c>
      <c r="B1385" t="s">
        <v>19075</v>
      </c>
      <c r="C1385" t="s">
        <v>19076</v>
      </c>
      <c r="D1385">
        <v>2</v>
      </c>
      <c r="F1385" s="126"/>
      <c r="K1385" s="3">
        <f t="shared" si="52"/>
        <v>0</v>
      </c>
      <c r="L1385" s="3"/>
      <c r="M1385" s="3">
        <f t="shared" si="53"/>
        <v>0</v>
      </c>
      <c r="O1385" s="5"/>
      <c r="S1385" s="6"/>
    </row>
    <row r="1386" spans="1:19" customFormat="1" x14ac:dyDescent="0.45">
      <c r="A1386">
        <v>415232</v>
      </c>
      <c r="B1386" t="s">
        <v>19077</v>
      </c>
      <c r="C1386" t="s">
        <v>19078</v>
      </c>
      <c r="D1386">
        <v>7</v>
      </c>
      <c r="F1386" s="126"/>
      <c r="G1386" s="3">
        <v>0</v>
      </c>
      <c r="H1386" s="3">
        <v>0</v>
      </c>
      <c r="I1386" s="3">
        <v>0</v>
      </c>
      <c r="J1386" s="3">
        <v>0</v>
      </c>
      <c r="K1386" s="3">
        <f t="shared" si="52"/>
        <v>0</v>
      </c>
      <c r="L1386" s="3"/>
      <c r="M1386" s="3">
        <f t="shared" si="53"/>
        <v>0</v>
      </c>
      <c r="O1386" s="5"/>
      <c r="S1386" s="6"/>
    </row>
    <row r="1387" spans="1:19" customFormat="1" x14ac:dyDescent="0.45">
      <c r="A1387">
        <v>415562</v>
      </c>
      <c r="B1387" t="s">
        <v>19079</v>
      </c>
      <c r="C1387" t="s">
        <v>19080</v>
      </c>
      <c r="D1387">
        <v>3</v>
      </c>
      <c r="F1387" s="126"/>
      <c r="G1387" s="7">
        <v>0</v>
      </c>
      <c r="H1387" s="7">
        <v>0</v>
      </c>
      <c r="I1387" s="7">
        <v>0</v>
      </c>
      <c r="J1387" s="7">
        <v>0</v>
      </c>
      <c r="K1387" s="3">
        <f t="shared" si="52"/>
        <v>0</v>
      </c>
      <c r="L1387" s="3"/>
      <c r="M1387" s="3">
        <f t="shared" si="53"/>
        <v>0</v>
      </c>
      <c r="O1387" s="5"/>
      <c r="S1387" s="6"/>
    </row>
    <row r="1388" spans="1:19" customFormat="1" x14ac:dyDescent="0.45">
      <c r="A1388">
        <v>415656</v>
      </c>
      <c r="B1388" t="s">
        <v>19081</v>
      </c>
      <c r="C1388" t="s">
        <v>16331</v>
      </c>
      <c r="D1388">
        <v>1</v>
      </c>
      <c r="E1388" t="s">
        <v>16331</v>
      </c>
      <c r="F1388" s="126"/>
      <c r="G1388" s="7">
        <v>0</v>
      </c>
      <c r="H1388" s="7">
        <v>0</v>
      </c>
      <c r="I1388" s="7">
        <v>0</v>
      </c>
      <c r="J1388" s="7">
        <v>0</v>
      </c>
      <c r="K1388" s="3">
        <f t="shared" si="52"/>
        <v>0</v>
      </c>
      <c r="L1388" s="3"/>
      <c r="M1388" s="3">
        <f t="shared" si="53"/>
        <v>0</v>
      </c>
      <c r="O1388" s="5"/>
      <c r="S1388" s="6"/>
    </row>
    <row r="1389" spans="1:19" customFormat="1" x14ac:dyDescent="0.45">
      <c r="A1389">
        <v>415898</v>
      </c>
      <c r="B1389" t="s">
        <v>19082</v>
      </c>
      <c r="C1389" t="s">
        <v>16331</v>
      </c>
      <c r="D1389">
        <v>4</v>
      </c>
      <c r="E1389" t="s">
        <v>16331</v>
      </c>
      <c r="F1389" s="126"/>
      <c r="G1389" s="7">
        <v>0</v>
      </c>
      <c r="H1389" s="7">
        <v>0</v>
      </c>
      <c r="I1389" s="7">
        <v>0</v>
      </c>
      <c r="J1389" s="7">
        <v>0</v>
      </c>
      <c r="K1389" s="3">
        <f t="shared" si="52"/>
        <v>0</v>
      </c>
      <c r="L1389" s="3"/>
      <c r="M1389" s="3">
        <f t="shared" si="53"/>
        <v>0</v>
      </c>
      <c r="O1389" s="5"/>
      <c r="S1389" s="6"/>
    </row>
    <row r="1390" spans="1:19" customFormat="1" x14ac:dyDescent="0.45">
      <c r="A1390">
        <v>415900</v>
      </c>
      <c r="B1390" t="s">
        <v>19083</v>
      </c>
      <c r="C1390" t="s">
        <v>19084</v>
      </c>
      <c r="D1390">
        <v>1</v>
      </c>
      <c r="F1390" s="126"/>
      <c r="G1390" s="7">
        <v>0</v>
      </c>
      <c r="H1390" s="7">
        <v>0</v>
      </c>
      <c r="I1390" s="7">
        <v>0</v>
      </c>
      <c r="J1390" s="7">
        <v>0</v>
      </c>
      <c r="K1390" s="3">
        <f t="shared" si="52"/>
        <v>0</v>
      </c>
      <c r="L1390" s="3"/>
      <c r="M1390" s="3">
        <f t="shared" si="53"/>
        <v>0</v>
      </c>
      <c r="O1390" s="5"/>
      <c r="S1390" s="6"/>
    </row>
    <row r="1391" spans="1:19" customFormat="1" x14ac:dyDescent="0.45">
      <c r="A1391">
        <v>416226</v>
      </c>
      <c r="B1391" t="s">
        <v>19085</v>
      </c>
      <c r="C1391" t="s">
        <v>19086</v>
      </c>
      <c r="D1391">
        <v>3</v>
      </c>
      <c r="F1391" s="126"/>
      <c r="G1391" s="7">
        <v>0</v>
      </c>
      <c r="H1391" s="7">
        <v>0</v>
      </c>
      <c r="I1391" s="7">
        <v>0</v>
      </c>
      <c r="J1391" s="7">
        <v>0</v>
      </c>
      <c r="K1391" s="3">
        <f t="shared" si="52"/>
        <v>0</v>
      </c>
      <c r="L1391" s="3"/>
      <c r="M1391" s="3">
        <f t="shared" si="53"/>
        <v>0</v>
      </c>
      <c r="O1391" s="5"/>
      <c r="S1391" s="6"/>
    </row>
    <row r="1392" spans="1:19" customFormat="1" x14ac:dyDescent="0.45">
      <c r="A1392">
        <v>416329</v>
      </c>
      <c r="B1392" t="s">
        <v>19087</v>
      </c>
      <c r="C1392" t="s">
        <v>19088</v>
      </c>
      <c r="D1392">
        <v>4</v>
      </c>
      <c r="F1392" s="126"/>
      <c r="G1392" s="7">
        <v>0</v>
      </c>
      <c r="H1392" s="7">
        <v>0</v>
      </c>
      <c r="I1392" s="7">
        <v>0</v>
      </c>
      <c r="J1392" s="7">
        <v>0</v>
      </c>
      <c r="K1392" s="3">
        <f t="shared" si="52"/>
        <v>0</v>
      </c>
      <c r="L1392" s="3"/>
      <c r="M1392" s="3">
        <f t="shared" si="53"/>
        <v>0</v>
      </c>
      <c r="N1392" s="7"/>
      <c r="O1392" s="5"/>
      <c r="S1392" s="6"/>
    </row>
    <row r="1393" spans="1:19" customFormat="1" x14ac:dyDescent="0.45">
      <c r="A1393">
        <v>416880</v>
      </c>
      <c r="B1393" t="s">
        <v>19089</v>
      </c>
      <c r="C1393" t="s">
        <v>19090</v>
      </c>
      <c r="D1393">
        <v>2</v>
      </c>
      <c r="F1393" s="126"/>
      <c r="G1393" s="7">
        <v>0</v>
      </c>
      <c r="H1393" s="7">
        <v>0</v>
      </c>
      <c r="I1393" s="7">
        <v>0</v>
      </c>
      <c r="J1393" s="7">
        <v>0</v>
      </c>
      <c r="K1393" s="3">
        <f t="shared" si="52"/>
        <v>0</v>
      </c>
      <c r="L1393" s="3"/>
      <c r="M1393" s="3">
        <f t="shared" si="53"/>
        <v>0</v>
      </c>
      <c r="O1393" s="5"/>
      <c r="S1393" s="6"/>
    </row>
    <row r="1394" spans="1:19" customFormat="1" x14ac:dyDescent="0.45">
      <c r="A1394">
        <v>416932</v>
      </c>
      <c r="B1394" t="s">
        <v>19091</v>
      </c>
      <c r="C1394" t="s">
        <v>19092</v>
      </c>
      <c r="D1394">
        <v>0</v>
      </c>
      <c r="E1394" t="s">
        <v>16561</v>
      </c>
      <c r="F1394" s="126"/>
      <c r="G1394" s="7">
        <v>0</v>
      </c>
      <c r="H1394" s="7">
        <v>0</v>
      </c>
      <c r="I1394" s="7">
        <v>0</v>
      </c>
      <c r="J1394" s="7">
        <v>0</v>
      </c>
      <c r="K1394" s="3">
        <f t="shared" si="52"/>
        <v>0</v>
      </c>
      <c r="L1394" s="3"/>
      <c r="M1394" s="3">
        <f t="shared" si="53"/>
        <v>0</v>
      </c>
      <c r="N1394" s="7"/>
      <c r="O1394" s="5"/>
      <c r="S1394" s="6"/>
    </row>
    <row r="1395" spans="1:19" customFormat="1" x14ac:dyDescent="0.45">
      <c r="A1395">
        <v>417367</v>
      </c>
      <c r="B1395" t="s">
        <v>19093</v>
      </c>
      <c r="C1395" t="s">
        <v>19094</v>
      </c>
      <c r="D1395">
        <v>92</v>
      </c>
      <c r="E1395" t="s">
        <v>16334</v>
      </c>
      <c r="F1395" s="126"/>
      <c r="G1395" s="3">
        <v>0</v>
      </c>
      <c r="H1395" s="3">
        <v>0</v>
      </c>
      <c r="I1395" s="3">
        <v>0</v>
      </c>
      <c r="J1395" s="3">
        <v>0</v>
      </c>
      <c r="K1395" s="3">
        <f t="shared" si="52"/>
        <v>0</v>
      </c>
      <c r="L1395" s="3"/>
      <c r="M1395" s="3">
        <f t="shared" si="53"/>
        <v>0</v>
      </c>
      <c r="O1395" s="5"/>
      <c r="S1395" s="6"/>
    </row>
    <row r="1396" spans="1:19" customFormat="1" x14ac:dyDescent="0.45">
      <c r="A1396">
        <v>417383</v>
      </c>
      <c r="B1396" t="s">
        <v>19095</v>
      </c>
      <c r="C1396" t="s">
        <v>19096</v>
      </c>
      <c r="D1396">
        <v>1</v>
      </c>
      <c r="F1396" s="126"/>
      <c r="G1396" s="7">
        <v>0</v>
      </c>
      <c r="H1396" s="7">
        <v>0</v>
      </c>
      <c r="I1396" s="7">
        <v>0</v>
      </c>
      <c r="J1396" s="7">
        <v>0</v>
      </c>
      <c r="K1396" s="3">
        <f t="shared" si="52"/>
        <v>0</v>
      </c>
      <c r="L1396" s="3"/>
      <c r="M1396" s="3">
        <f t="shared" si="53"/>
        <v>0</v>
      </c>
      <c r="O1396" s="5"/>
      <c r="S1396" s="6"/>
    </row>
    <row r="1397" spans="1:19" customFormat="1" x14ac:dyDescent="0.45">
      <c r="A1397">
        <v>417404</v>
      </c>
      <c r="B1397" t="s">
        <v>19097</v>
      </c>
      <c r="C1397" t="s">
        <v>19098</v>
      </c>
      <c r="D1397">
        <v>2</v>
      </c>
      <c r="F1397" s="126"/>
      <c r="G1397" s="7">
        <v>0</v>
      </c>
      <c r="H1397" s="7">
        <v>0</v>
      </c>
      <c r="I1397" s="7">
        <v>0</v>
      </c>
      <c r="J1397" s="7">
        <v>0</v>
      </c>
      <c r="K1397" s="3">
        <f t="shared" si="52"/>
        <v>0</v>
      </c>
      <c r="L1397" s="3"/>
      <c r="M1397" s="3">
        <f t="shared" si="53"/>
        <v>0</v>
      </c>
      <c r="O1397" s="5"/>
      <c r="S1397" s="6"/>
    </row>
    <row r="1398" spans="1:19" customFormat="1" x14ac:dyDescent="0.45">
      <c r="A1398">
        <v>417502</v>
      </c>
      <c r="B1398" t="s">
        <v>19099</v>
      </c>
      <c r="C1398" t="s">
        <v>16331</v>
      </c>
      <c r="D1398">
        <v>2</v>
      </c>
      <c r="E1398" t="s">
        <v>16331</v>
      </c>
      <c r="F1398" s="126"/>
      <c r="G1398" s="7">
        <v>0</v>
      </c>
      <c r="H1398" s="7">
        <v>0</v>
      </c>
      <c r="I1398" s="7">
        <v>0</v>
      </c>
      <c r="J1398" s="7">
        <v>0</v>
      </c>
      <c r="K1398" s="3">
        <f t="shared" si="52"/>
        <v>0</v>
      </c>
      <c r="L1398" s="3"/>
      <c r="M1398" s="3">
        <f t="shared" si="53"/>
        <v>0</v>
      </c>
      <c r="O1398" s="5"/>
      <c r="S1398" s="6"/>
    </row>
    <row r="1399" spans="1:19" customFormat="1" x14ac:dyDescent="0.45">
      <c r="A1399">
        <v>417707</v>
      </c>
      <c r="B1399" t="s">
        <v>19100</v>
      </c>
      <c r="C1399" t="s">
        <v>19101</v>
      </c>
      <c r="D1399">
        <v>5</v>
      </c>
      <c r="F1399" s="126"/>
      <c r="G1399" s="3">
        <v>0</v>
      </c>
      <c r="H1399" s="3">
        <v>0</v>
      </c>
      <c r="I1399" s="3">
        <v>0</v>
      </c>
      <c r="J1399" s="3">
        <v>0</v>
      </c>
      <c r="K1399" s="3">
        <f t="shared" si="52"/>
        <v>0</v>
      </c>
      <c r="L1399" s="3"/>
      <c r="M1399" s="3">
        <f t="shared" si="53"/>
        <v>0</v>
      </c>
      <c r="O1399" s="5"/>
      <c r="S1399" s="6"/>
    </row>
    <row r="1400" spans="1:19" customFormat="1" x14ac:dyDescent="0.45">
      <c r="A1400">
        <v>417722</v>
      </c>
      <c r="B1400" t="s">
        <v>19102</v>
      </c>
      <c r="C1400" t="s">
        <v>19103</v>
      </c>
      <c r="D1400">
        <v>1</v>
      </c>
      <c r="F1400" s="126"/>
      <c r="G1400" s="7">
        <v>0</v>
      </c>
      <c r="H1400" s="7">
        <v>0</v>
      </c>
      <c r="I1400" s="7">
        <v>0</v>
      </c>
      <c r="J1400" s="7">
        <v>0</v>
      </c>
      <c r="K1400" s="3">
        <f t="shared" si="52"/>
        <v>0</v>
      </c>
      <c r="L1400" s="3"/>
      <c r="M1400" s="3">
        <f t="shared" si="53"/>
        <v>0</v>
      </c>
      <c r="N1400" s="7"/>
      <c r="O1400" s="5"/>
      <c r="S1400" s="6"/>
    </row>
    <row r="1401" spans="1:19" customFormat="1" x14ac:dyDescent="0.45">
      <c r="A1401">
        <v>417734</v>
      </c>
      <c r="B1401" t="s">
        <v>19104</v>
      </c>
      <c r="C1401" t="s">
        <v>16331</v>
      </c>
      <c r="D1401">
        <v>2</v>
      </c>
      <c r="E1401" t="s">
        <v>16331</v>
      </c>
      <c r="F1401" s="126"/>
      <c r="G1401" s="7">
        <v>0</v>
      </c>
      <c r="H1401" s="7">
        <v>0</v>
      </c>
      <c r="I1401" s="7">
        <v>0</v>
      </c>
      <c r="J1401" s="7">
        <v>0</v>
      </c>
      <c r="K1401" s="3">
        <f t="shared" si="52"/>
        <v>0</v>
      </c>
      <c r="L1401" s="3"/>
      <c r="M1401" s="3">
        <f t="shared" si="53"/>
        <v>0</v>
      </c>
      <c r="O1401" s="5"/>
      <c r="S1401" s="6"/>
    </row>
    <row r="1402" spans="1:19" customFormat="1" x14ac:dyDescent="0.45">
      <c r="A1402">
        <v>417765</v>
      </c>
      <c r="B1402" t="s">
        <v>19105</v>
      </c>
      <c r="C1402" t="s">
        <v>19106</v>
      </c>
      <c r="D1402">
        <v>1</v>
      </c>
      <c r="F1402" s="126"/>
      <c r="G1402" s="3">
        <v>0</v>
      </c>
      <c r="H1402" s="3">
        <v>0</v>
      </c>
      <c r="I1402" s="3">
        <v>0</v>
      </c>
      <c r="J1402" s="3">
        <v>0</v>
      </c>
      <c r="K1402" s="3">
        <f t="shared" si="52"/>
        <v>0</v>
      </c>
      <c r="L1402" s="3"/>
      <c r="M1402" s="3">
        <f t="shared" si="53"/>
        <v>0</v>
      </c>
      <c r="O1402" s="5"/>
      <c r="S1402" s="6"/>
    </row>
    <row r="1403" spans="1:19" customFormat="1" x14ac:dyDescent="0.45">
      <c r="A1403">
        <v>418613</v>
      </c>
      <c r="B1403" t="s">
        <v>19107</v>
      </c>
      <c r="C1403" t="s">
        <v>19108</v>
      </c>
      <c r="D1403">
        <v>2</v>
      </c>
      <c r="F1403" s="126"/>
      <c r="G1403" s="7">
        <v>0</v>
      </c>
      <c r="H1403" s="7">
        <v>0</v>
      </c>
      <c r="I1403" s="7">
        <v>0</v>
      </c>
      <c r="J1403" s="7">
        <v>0</v>
      </c>
      <c r="K1403" s="3">
        <f t="shared" si="52"/>
        <v>0</v>
      </c>
      <c r="L1403" s="3"/>
      <c r="M1403" s="3">
        <f t="shared" si="53"/>
        <v>0</v>
      </c>
      <c r="O1403" s="5"/>
      <c r="S1403" s="6"/>
    </row>
    <row r="1404" spans="1:19" customFormat="1" x14ac:dyDescent="0.45">
      <c r="A1404">
        <v>418618</v>
      </c>
      <c r="B1404" t="s">
        <v>19109</v>
      </c>
      <c r="C1404" t="s">
        <v>19110</v>
      </c>
      <c r="D1404">
        <v>10</v>
      </c>
      <c r="F1404" s="126"/>
      <c r="G1404" s="7">
        <v>0</v>
      </c>
      <c r="H1404" s="7">
        <v>0</v>
      </c>
      <c r="I1404" s="7">
        <v>0</v>
      </c>
      <c r="J1404" s="7">
        <v>0</v>
      </c>
      <c r="K1404" s="3">
        <f t="shared" si="52"/>
        <v>0</v>
      </c>
      <c r="L1404" s="3"/>
      <c r="M1404" s="3">
        <f t="shared" si="53"/>
        <v>0</v>
      </c>
      <c r="O1404" s="5"/>
      <c r="S1404" s="6"/>
    </row>
    <row r="1405" spans="1:19" customFormat="1" x14ac:dyDescent="0.45">
      <c r="A1405">
        <v>418791</v>
      </c>
      <c r="B1405" t="s">
        <v>19111</v>
      </c>
      <c r="C1405" t="s">
        <v>19112</v>
      </c>
      <c r="D1405">
        <v>1</v>
      </c>
      <c r="F1405" s="126"/>
      <c r="G1405" s="7">
        <v>0</v>
      </c>
      <c r="H1405" s="7">
        <v>0</v>
      </c>
      <c r="I1405" s="7">
        <v>0</v>
      </c>
      <c r="J1405" s="7">
        <v>0</v>
      </c>
      <c r="K1405" s="3">
        <f t="shared" si="52"/>
        <v>0</v>
      </c>
      <c r="L1405" s="3"/>
      <c r="M1405" s="3">
        <f t="shared" si="53"/>
        <v>0</v>
      </c>
      <c r="O1405" s="5"/>
      <c r="S1405" s="6"/>
    </row>
    <row r="1406" spans="1:19" customFormat="1" x14ac:dyDescent="0.45">
      <c r="A1406">
        <v>418807</v>
      </c>
      <c r="B1406" t="s">
        <v>19113</v>
      </c>
      <c r="C1406" t="s">
        <v>19114</v>
      </c>
      <c r="D1406">
        <v>2</v>
      </c>
      <c r="F1406" s="126"/>
      <c r="K1406" s="3">
        <f t="shared" ref="K1406:K1469" si="54">SUM(G1406:J1406)</f>
        <v>0</v>
      </c>
      <c r="L1406" s="3"/>
      <c r="M1406" s="3">
        <f t="shared" ref="M1406:M1469" si="55">K1406+F1406</f>
        <v>0</v>
      </c>
      <c r="O1406" s="5"/>
      <c r="S1406" s="6"/>
    </row>
    <row r="1407" spans="1:19" customFormat="1" x14ac:dyDescent="0.45">
      <c r="A1407">
        <v>418826</v>
      </c>
      <c r="B1407" t="s">
        <v>19115</v>
      </c>
      <c r="C1407" t="s">
        <v>19116</v>
      </c>
      <c r="D1407">
        <v>7</v>
      </c>
      <c r="F1407" s="126"/>
      <c r="G1407" s="3">
        <v>0</v>
      </c>
      <c r="H1407" s="3">
        <v>0</v>
      </c>
      <c r="I1407" s="3">
        <v>0</v>
      </c>
      <c r="J1407" s="3">
        <v>0</v>
      </c>
      <c r="K1407" s="3">
        <f t="shared" si="54"/>
        <v>0</v>
      </c>
      <c r="L1407" s="3"/>
      <c r="M1407" s="3">
        <f t="shared" si="55"/>
        <v>0</v>
      </c>
      <c r="O1407" s="5"/>
      <c r="S1407" s="6"/>
    </row>
    <row r="1408" spans="1:19" customFormat="1" x14ac:dyDescent="0.45">
      <c r="A1408">
        <v>419331</v>
      </c>
      <c r="B1408" t="s">
        <v>19117</v>
      </c>
      <c r="C1408" t="s">
        <v>19118</v>
      </c>
      <c r="D1408">
        <v>70</v>
      </c>
      <c r="E1408" t="s">
        <v>16334</v>
      </c>
      <c r="F1408" s="126"/>
      <c r="G1408" s="7">
        <v>0</v>
      </c>
      <c r="H1408" s="7">
        <v>0</v>
      </c>
      <c r="I1408" s="7">
        <v>0</v>
      </c>
      <c r="J1408" s="7">
        <v>0</v>
      </c>
      <c r="K1408" s="3">
        <f t="shared" si="54"/>
        <v>0</v>
      </c>
      <c r="L1408" s="3"/>
      <c r="M1408" s="3">
        <f t="shared" si="55"/>
        <v>0</v>
      </c>
      <c r="O1408" s="5"/>
      <c r="S1408" s="6"/>
    </row>
    <row r="1409" spans="1:22" customFormat="1" x14ac:dyDescent="0.45">
      <c r="A1409">
        <v>419415</v>
      </c>
      <c r="B1409" t="s">
        <v>19119</v>
      </c>
      <c r="C1409" t="s">
        <v>19120</v>
      </c>
      <c r="D1409">
        <v>3</v>
      </c>
      <c r="F1409" s="126"/>
      <c r="K1409" s="3">
        <f t="shared" si="54"/>
        <v>0</v>
      </c>
      <c r="L1409" s="3"/>
      <c r="M1409" s="3">
        <f t="shared" si="55"/>
        <v>0</v>
      </c>
      <c r="O1409" s="5"/>
      <c r="S1409" s="6"/>
    </row>
    <row r="1410" spans="1:22" customFormat="1" x14ac:dyDescent="0.45">
      <c r="A1410">
        <v>419666</v>
      </c>
      <c r="B1410" t="s">
        <v>19121</v>
      </c>
      <c r="C1410" t="s">
        <v>19122</v>
      </c>
      <c r="D1410">
        <v>3</v>
      </c>
      <c r="F1410" s="126"/>
      <c r="G1410" s="7">
        <v>0</v>
      </c>
      <c r="H1410" s="7">
        <v>0</v>
      </c>
      <c r="I1410" s="7">
        <v>0</v>
      </c>
      <c r="J1410" s="7">
        <v>0</v>
      </c>
      <c r="K1410" s="3">
        <f t="shared" si="54"/>
        <v>0</v>
      </c>
      <c r="L1410" s="3"/>
      <c r="M1410" s="3">
        <f t="shared" si="55"/>
        <v>0</v>
      </c>
      <c r="O1410" s="5"/>
      <c r="S1410" s="6"/>
    </row>
    <row r="1411" spans="1:22" customFormat="1" x14ac:dyDescent="0.45">
      <c r="A1411">
        <v>419684</v>
      </c>
      <c r="B1411" t="s">
        <v>19123</v>
      </c>
      <c r="C1411" t="s">
        <v>19124</v>
      </c>
      <c r="D1411">
        <v>5</v>
      </c>
      <c r="F1411" s="126"/>
      <c r="G1411" s="7">
        <v>0</v>
      </c>
      <c r="H1411" s="7">
        <v>0</v>
      </c>
      <c r="I1411" s="7">
        <v>0</v>
      </c>
      <c r="J1411" s="7">
        <v>0</v>
      </c>
      <c r="K1411" s="3">
        <f t="shared" si="54"/>
        <v>0</v>
      </c>
      <c r="L1411" s="3"/>
      <c r="M1411" s="3">
        <f t="shared" si="55"/>
        <v>0</v>
      </c>
      <c r="O1411" s="5"/>
      <c r="S1411" s="6"/>
    </row>
    <row r="1412" spans="1:22" customFormat="1" x14ac:dyDescent="0.45">
      <c r="A1412">
        <v>419881</v>
      </c>
      <c r="B1412" t="s">
        <v>19125</v>
      </c>
      <c r="C1412" t="s">
        <v>19126</v>
      </c>
      <c r="D1412">
        <v>4</v>
      </c>
      <c r="F1412" s="126"/>
      <c r="G1412" s="7">
        <v>0</v>
      </c>
      <c r="H1412" s="7">
        <v>0</v>
      </c>
      <c r="I1412" s="7">
        <v>0</v>
      </c>
      <c r="J1412" s="7">
        <v>0</v>
      </c>
      <c r="K1412" s="3">
        <f t="shared" si="54"/>
        <v>0</v>
      </c>
      <c r="L1412" s="3"/>
      <c r="M1412" s="3">
        <f t="shared" si="55"/>
        <v>0</v>
      </c>
      <c r="O1412" s="5"/>
      <c r="S1412" s="6"/>
    </row>
    <row r="1413" spans="1:22" customFormat="1" x14ac:dyDescent="0.45">
      <c r="A1413">
        <v>422520</v>
      </c>
      <c r="B1413" t="s">
        <v>19127</v>
      </c>
      <c r="C1413" t="s">
        <v>16331</v>
      </c>
      <c r="D1413">
        <v>2</v>
      </c>
      <c r="E1413" t="s">
        <v>16331</v>
      </c>
      <c r="F1413" s="126"/>
      <c r="G1413" s="7">
        <v>0</v>
      </c>
      <c r="H1413" s="7">
        <v>0</v>
      </c>
      <c r="I1413" s="7">
        <v>0</v>
      </c>
      <c r="J1413" s="7">
        <v>0</v>
      </c>
      <c r="K1413" s="3">
        <f t="shared" si="54"/>
        <v>0</v>
      </c>
      <c r="L1413" s="3"/>
      <c r="M1413" s="3">
        <f t="shared" si="55"/>
        <v>0</v>
      </c>
      <c r="O1413" s="5"/>
      <c r="S1413" s="6"/>
    </row>
    <row r="1414" spans="1:22" x14ac:dyDescent="0.45">
      <c r="A1414" s="124">
        <v>135910</v>
      </c>
      <c r="B1414" s="124" t="s">
        <v>19128</v>
      </c>
      <c r="C1414" s="124" t="s">
        <v>19129</v>
      </c>
      <c r="D1414" s="124">
        <v>5</v>
      </c>
      <c r="E1414" s="124" t="s">
        <v>16334</v>
      </c>
      <c r="F1414" s="126">
        <v>1.6999999999999999E-3</v>
      </c>
      <c r="G1414" s="126">
        <v>0.03</v>
      </c>
      <c r="H1414" s="135">
        <v>0.01</v>
      </c>
      <c r="I1414" s="127">
        <v>0</v>
      </c>
      <c r="J1414" s="127">
        <v>0</v>
      </c>
      <c r="K1414" s="126">
        <f t="shared" si="54"/>
        <v>0.04</v>
      </c>
      <c r="L1414" s="3"/>
      <c r="M1414" s="126">
        <f t="shared" si="55"/>
        <v>4.1700000000000001E-2</v>
      </c>
      <c r="N1414" s="135"/>
      <c r="O1414" s="125" t="s">
        <v>19130</v>
      </c>
      <c r="P1414" s="128" t="s">
        <v>26918</v>
      </c>
      <c r="Q1414" s="124">
        <v>678997</v>
      </c>
      <c r="R1414" s="124" t="s">
        <v>16348</v>
      </c>
      <c r="S1414" s="130">
        <v>470427</v>
      </c>
      <c r="T1414" s="129">
        <f>S1414/Q1414</f>
        <v>0.69282633060234433</v>
      </c>
      <c r="V1414" s="125" t="s">
        <v>19131</v>
      </c>
    </row>
    <row r="1415" spans="1:22" customFormat="1" x14ac:dyDescent="0.45">
      <c r="A1415">
        <v>422773</v>
      </c>
      <c r="B1415" t="s">
        <v>19132</v>
      </c>
      <c r="C1415" t="s">
        <v>19133</v>
      </c>
      <c r="D1415">
        <v>6</v>
      </c>
      <c r="F1415" s="126"/>
      <c r="G1415" s="7">
        <v>0</v>
      </c>
      <c r="H1415" s="7">
        <v>0</v>
      </c>
      <c r="I1415" s="7">
        <v>0</v>
      </c>
      <c r="J1415" s="7">
        <v>0</v>
      </c>
      <c r="K1415" s="3">
        <f t="shared" si="54"/>
        <v>0</v>
      </c>
      <c r="L1415" s="3"/>
      <c r="M1415" s="3">
        <f t="shared" si="55"/>
        <v>0</v>
      </c>
      <c r="O1415" s="5"/>
      <c r="S1415" s="6"/>
    </row>
    <row r="1416" spans="1:22" x14ac:dyDescent="0.45">
      <c r="A1416" s="124">
        <v>143390</v>
      </c>
      <c r="B1416" s="124" t="s">
        <v>19134</v>
      </c>
      <c r="C1416" s="125" t="s">
        <v>19135</v>
      </c>
      <c r="D1416" s="124">
        <v>9</v>
      </c>
      <c r="E1416" s="124" t="s">
        <v>16417</v>
      </c>
      <c r="F1416" s="126">
        <v>1.23E-2</v>
      </c>
      <c r="G1416" s="126">
        <v>0</v>
      </c>
      <c r="H1416" s="126">
        <v>0</v>
      </c>
      <c r="I1416" s="126">
        <f>0.75%+1.5%</f>
        <v>2.2499999999999999E-2</v>
      </c>
      <c r="J1416" s="126">
        <v>1.2E-2</v>
      </c>
      <c r="K1416" s="126">
        <f t="shared" si="54"/>
        <v>3.4500000000000003E-2</v>
      </c>
      <c r="L1416" s="3"/>
      <c r="M1416" s="126">
        <f t="shared" si="55"/>
        <v>4.6800000000000001E-2</v>
      </c>
      <c r="N1416" s="124" t="s">
        <v>19136</v>
      </c>
      <c r="O1416" s="125" t="s">
        <v>19137</v>
      </c>
      <c r="P1416" s="125" t="s">
        <v>19138</v>
      </c>
      <c r="Q1416" s="130">
        <f>70110000+37973000</f>
        <v>108083000</v>
      </c>
      <c r="R1416" s="130" t="s">
        <v>16348</v>
      </c>
      <c r="S1416" s="130">
        <v>54574000</v>
      </c>
      <c r="T1416" s="129">
        <f>S1416/Q1416</f>
        <v>0.50492676924215651</v>
      </c>
      <c r="U1416" s="130"/>
      <c r="V1416" s="125" t="s">
        <v>19139</v>
      </c>
    </row>
    <row r="1417" spans="1:22" customFormat="1" x14ac:dyDescent="0.45">
      <c r="A1417">
        <v>423980</v>
      </c>
      <c r="B1417" t="s">
        <v>19140</v>
      </c>
      <c r="C1417" t="s">
        <v>19141</v>
      </c>
      <c r="D1417">
        <v>2</v>
      </c>
      <c r="F1417" s="126"/>
      <c r="G1417" s="7">
        <v>0</v>
      </c>
      <c r="H1417" s="7">
        <v>0</v>
      </c>
      <c r="I1417" s="7">
        <v>0</v>
      </c>
      <c r="J1417" s="7">
        <v>0</v>
      </c>
      <c r="K1417" s="3">
        <f t="shared" si="54"/>
        <v>0</v>
      </c>
      <c r="L1417" s="3"/>
      <c r="M1417" s="3">
        <f t="shared" si="55"/>
        <v>0</v>
      </c>
      <c r="O1417" s="5"/>
      <c r="S1417" s="6"/>
    </row>
    <row r="1418" spans="1:22" customFormat="1" x14ac:dyDescent="0.45">
      <c r="A1418">
        <v>424022</v>
      </c>
      <c r="B1418" t="s">
        <v>19142</v>
      </c>
      <c r="C1418" t="s">
        <v>19143</v>
      </c>
      <c r="D1418">
        <v>1</v>
      </c>
      <c r="F1418" s="126"/>
      <c r="G1418" s="7">
        <v>0</v>
      </c>
      <c r="H1418" s="7">
        <v>0</v>
      </c>
      <c r="I1418" s="7">
        <v>0</v>
      </c>
      <c r="J1418" s="7">
        <v>0</v>
      </c>
      <c r="K1418" s="3">
        <f t="shared" si="54"/>
        <v>0</v>
      </c>
      <c r="L1418" s="3"/>
      <c r="M1418" s="3">
        <f t="shared" si="55"/>
        <v>0</v>
      </c>
      <c r="O1418" s="5"/>
      <c r="S1418" s="6"/>
    </row>
    <row r="1419" spans="1:22" customFormat="1" x14ac:dyDescent="0.45">
      <c r="A1419">
        <v>424062</v>
      </c>
      <c r="B1419" t="s">
        <v>19144</v>
      </c>
      <c r="C1419" t="s">
        <v>16331</v>
      </c>
      <c r="D1419">
        <v>4</v>
      </c>
      <c r="E1419" t="s">
        <v>16331</v>
      </c>
      <c r="F1419" s="126"/>
      <c r="G1419" s="7">
        <v>0</v>
      </c>
      <c r="H1419" s="7">
        <v>0</v>
      </c>
      <c r="I1419" s="7">
        <v>0</v>
      </c>
      <c r="J1419" s="7">
        <v>0</v>
      </c>
      <c r="K1419" s="3">
        <f t="shared" si="54"/>
        <v>0</v>
      </c>
      <c r="L1419" s="3"/>
      <c r="M1419" s="3">
        <f t="shared" si="55"/>
        <v>0</v>
      </c>
      <c r="O1419" s="5"/>
      <c r="S1419" s="6"/>
    </row>
    <row r="1420" spans="1:22" customFormat="1" x14ac:dyDescent="0.45">
      <c r="A1420">
        <v>424079</v>
      </c>
      <c r="B1420" t="s">
        <v>19145</v>
      </c>
      <c r="C1420" t="s">
        <v>16331</v>
      </c>
      <c r="D1420">
        <v>3</v>
      </c>
      <c r="E1420" t="s">
        <v>16331</v>
      </c>
      <c r="F1420" s="126"/>
      <c r="G1420" s="7">
        <v>0</v>
      </c>
      <c r="H1420" s="7">
        <v>0</v>
      </c>
      <c r="I1420" s="7">
        <v>0</v>
      </c>
      <c r="J1420" s="7">
        <v>0</v>
      </c>
      <c r="K1420" s="3">
        <f t="shared" si="54"/>
        <v>0</v>
      </c>
      <c r="L1420" s="3"/>
      <c r="M1420" s="3">
        <f t="shared" si="55"/>
        <v>0</v>
      </c>
      <c r="O1420" s="5"/>
      <c r="S1420" s="6"/>
    </row>
    <row r="1421" spans="1:22" customFormat="1" x14ac:dyDescent="0.45">
      <c r="A1421">
        <v>424180</v>
      </c>
      <c r="B1421" t="s">
        <v>19146</v>
      </c>
      <c r="C1421" t="s">
        <v>16331</v>
      </c>
      <c r="D1421">
        <v>1</v>
      </c>
      <c r="E1421" t="s">
        <v>16331</v>
      </c>
      <c r="F1421" s="126"/>
      <c r="G1421" s="7">
        <v>0</v>
      </c>
      <c r="H1421" s="7">
        <v>0</v>
      </c>
      <c r="I1421" s="7">
        <v>0</v>
      </c>
      <c r="J1421" s="7">
        <v>0</v>
      </c>
      <c r="K1421" s="3">
        <f t="shared" si="54"/>
        <v>0</v>
      </c>
      <c r="L1421" s="3"/>
      <c r="M1421" s="3">
        <f t="shared" si="55"/>
        <v>0</v>
      </c>
      <c r="O1421" s="5"/>
      <c r="S1421" s="6"/>
    </row>
    <row r="1422" spans="1:22" customFormat="1" x14ac:dyDescent="0.45">
      <c r="A1422">
        <v>424217</v>
      </c>
      <c r="B1422" t="s">
        <v>19147</v>
      </c>
      <c r="C1422" t="s">
        <v>19148</v>
      </c>
      <c r="D1422">
        <v>11</v>
      </c>
      <c r="F1422" s="126"/>
      <c r="G1422" s="7">
        <v>0</v>
      </c>
      <c r="H1422" s="7">
        <v>0</v>
      </c>
      <c r="I1422" s="7">
        <v>0</v>
      </c>
      <c r="J1422" s="7">
        <v>0</v>
      </c>
      <c r="K1422" s="3">
        <f t="shared" si="54"/>
        <v>0</v>
      </c>
      <c r="L1422" s="3"/>
      <c r="M1422" s="3">
        <f t="shared" si="55"/>
        <v>0</v>
      </c>
      <c r="O1422" s="5"/>
      <c r="S1422" s="6"/>
    </row>
    <row r="1423" spans="1:22" customFormat="1" x14ac:dyDescent="0.45">
      <c r="A1423">
        <v>424343</v>
      </c>
      <c r="B1423" t="s">
        <v>19149</v>
      </c>
      <c r="C1423" t="s">
        <v>19150</v>
      </c>
      <c r="D1423">
        <v>3</v>
      </c>
      <c r="F1423" s="126"/>
      <c r="G1423" s="7">
        <v>0</v>
      </c>
      <c r="H1423" s="7">
        <v>0</v>
      </c>
      <c r="I1423" s="7">
        <v>0</v>
      </c>
      <c r="J1423" s="7">
        <v>0</v>
      </c>
      <c r="K1423" s="3">
        <f t="shared" si="54"/>
        <v>0</v>
      </c>
      <c r="L1423" s="3"/>
      <c r="M1423" s="3">
        <f t="shared" si="55"/>
        <v>0</v>
      </c>
      <c r="O1423" s="5"/>
      <c r="S1423" s="6"/>
    </row>
    <row r="1424" spans="1:22" customFormat="1" x14ac:dyDescent="0.45">
      <c r="A1424">
        <v>424574</v>
      </c>
      <c r="B1424" t="s">
        <v>19151</v>
      </c>
      <c r="C1424" t="s">
        <v>19152</v>
      </c>
      <c r="D1424">
        <v>1</v>
      </c>
      <c r="F1424" s="126"/>
      <c r="G1424" s="7">
        <v>0</v>
      </c>
      <c r="H1424" s="7">
        <v>0</v>
      </c>
      <c r="I1424" s="7">
        <v>0</v>
      </c>
      <c r="J1424" s="7">
        <v>0</v>
      </c>
      <c r="K1424" s="3">
        <f t="shared" si="54"/>
        <v>0</v>
      </c>
      <c r="L1424" s="3"/>
      <c r="M1424" s="3">
        <f t="shared" si="55"/>
        <v>0</v>
      </c>
      <c r="O1424" s="5"/>
      <c r="S1424" s="6"/>
    </row>
    <row r="1425" spans="1:22" customFormat="1" x14ac:dyDescent="0.45">
      <c r="A1425">
        <v>424729</v>
      </c>
      <c r="B1425" t="s">
        <v>19153</v>
      </c>
      <c r="C1425" t="s">
        <v>19154</v>
      </c>
      <c r="D1425">
        <v>2</v>
      </c>
      <c r="F1425" s="126"/>
      <c r="G1425" s="20"/>
      <c r="H1425" s="20"/>
      <c r="I1425" s="20"/>
      <c r="J1425" s="20"/>
      <c r="K1425" s="3">
        <f t="shared" si="54"/>
        <v>0</v>
      </c>
      <c r="L1425" s="3"/>
      <c r="M1425" s="3">
        <f t="shared" si="55"/>
        <v>0</v>
      </c>
      <c r="O1425" s="5"/>
      <c r="S1425" s="6"/>
    </row>
    <row r="1426" spans="1:22" customFormat="1" x14ac:dyDescent="0.45">
      <c r="A1426">
        <v>424784</v>
      </c>
      <c r="B1426" t="s">
        <v>19155</v>
      </c>
      <c r="C1426" t="s">
        <v>19156</v>
      </c>
      <c r="D1426">
        <v>6</v>
      </c>
      <c r="F1426" s="126"/>
      <c r="G1426" s="7">
        <v>0</v>
      </c>
      <c r="H1426" s="7">
        <v>0</v>
      </c>
      <c r="I1426" s="7">
        <v>0</v>
      </c>
      <c r="J1426" s="7">
        <v>0</v>
      </c>
      <c r="K1426" s="3">
        <f t="shared" si="54"/>
        <v>0</v>
      </c>
      <c r="L1426" s="3"/>
      <c r="M1426" s="3">
        <f t="shared" si="55"/>
        <v>0</v>
      </c>
      <c r="O1426" s="5"/>
      <c r="S1426" s="6"/>
    </row>
    <row r="1427" spans="1:22" customFormat="1" x14ac:dyDescent="0.45">
      <c r="A1427">
        <v>424919</v>
      </c>
      <c r="B1427" t="s">
        <v>19157</v>
      </c>
      <c r="C1427" t="s">
        <v>16331</v>
      </c>
      <c r="D1427">
        <v>1</v>
      </c>
      <c r="E1427" t="s">
        <v>16331</v>
      </c>
      <c r="F1427" s="126"/>
      <c r="G1427" s="7">
        <v>0</v>
      </c>
      <c r="H1427" s="7">
        <v>0</v>
      </c>
      <c r="I1427" s="7">
        <v>0</v>
      </c>
      <c r="J1427" s="7">
        <v>0</v>
      </c>
      <c r="K1427" s="3">
        <f t="shared" si="54"/>
        <v>0</v>
      </c>
      <c r="L1427" s="3"/>
      <c r="M1427" s="3">
        <f t="shared" si="55"/>
        <v>0</v>
      </c>
      <c r="O1427" s="5"/>
      <c r="S1427" s="6"/>
    </row>
    <row r="1428" spans="1:22" customFormat="1" x14ac:dyDescent="0.45">
      <c r="A1428">
        <v>424984</v>
      </c>
      <c r="B1428" t="s">
        <v>19158</v>
      </c>
      <c r="C1428" t="s">
        <v>16331</v>
      </c>
      <c r="D1428">
        <v>2</v>
      </c>
      <c r="E1428" t="s">
        <v>16331</v>
      </c>
      <c r="F1428" s="126"/>
      <c r="G1428" s="7">
        <v>0</v>
      </c>
      <c r="H1428" s="7">
        <v>0</v>
      </c>
      <c r="I1428" s="7">
        <v>0</v>
      </c>
      <c r="J1428" s="7">
        <v>0</v>
      </c>
      <c r="K1428" s="3">
        <f t="shared" si="54"/>
        <v>0</v>
      </c>
      <c r="L1428" s="3"/>
      <c r="M1428" s="3">
        <f t="shared" si="55"/>
        <v>0</v>
      </c>
      <c r="O1428" s="5"/>
      <c r="S1428" s="6"/>
    </row>
    <row r="1429" spans="1:22" customFormat="1" x14ac:dyDescent="0.45">
      <c r="A1429">
        <v>425291</v>
      </c>
      <c r="B1429" t="s">
        <v>19159</v>
      </c>
      <c r="C1429" t="s">
        <v>16331</v>
      </c>
      <c r="D1429">
        <v>1</v>
      </c>
      <c r="E1429" t="s">
        <v>16331</v>
      </c>
      <c r="F1429" s="126"/>
      <c r="G1429" s="7">
        <v>0</v>
      </c>
      <c r="H1429" s="7">
        <v>0</v>
      </c>
      <c r="I1429" s="7">
        <v>0</v>
      </c>
      <c r="J1429" s="7">
        <v>0</v>
      </c>
      <c r="K1429" s="3">
        <f t="shared" si="54"/>
        <v>0</v>
      </c>
      <c r="L1429" s="3"/>
      <c r="M1429" s="3">
        <f t="shared" si="55"/>
        <v>0</v>
      </c>
      <c r="O1429" s="5"/>
      <c r="S1429" s="6"/>
    </row>
    <row r="1430" spans="1:22" customFormat="1" x14ac:dyDescent="0.45">
      <c r="A1430">
        <v>425418</v>
      </c>
      <c r="B1430" t="s">
        <v>19160</v>
      </c>
      <c r="C1430" t="s">
        <v>16331</v>
      </c>
      <c r="D1430">
        <v>2</v>
      </c>
      <c r="E1430" t="s">
        <v>16331</v>
      </c>
      <c r="F1430" s="126"/>
      <c r="G1430" s="7">
        <v>0</v>
      </c>
      <c r="H1430" s="7">
        <v>0</v>
      </c>
      <c r="I1430" s="7">
        <v>0</v>
      </c>
      <c r="J1430" s="7">
        <v>0</v>
      </c>
      <c r="K1430" s="3">
        <f t="shared" si="54"/>
        <v>0</v>
      </c>
      <c r="L1430" s="3"/>
      <c r="M1430" s="3">
        <f t="shared" si="55"/>
        <v>0</v>
      </c>
      <c r="O1430" s="5"/>
      <c r="S1430" s="6"/>
    </row>
    <row r="1431" spans="1:22" customFormat="1" x14ac:dyDescent="0.45">
      <c r="A1431">
        <v>425430</v>
      </c>
      <c r="B1431" t="s">
        <v>19161</v>
      </c>
      <c r="C1431" t="s">
        <v>19162</v>
      </c>
      <c r="D1431">
        <v>2</v>
      </c>
      <c r="F1431" s="126"/>
      <c r="G1431" s="7">
        <v>0</v>
      </c>
      <c r="H1431" s="7">
        <v>0</v>
      </c>
      <c r="I1431" s="7">
        <v>0</v>
      </c>
      <c r="J1431" s="7">
        <v>0</v>
      </c>
      <c r="K1431" s="3">
        <f t="shared" si="54"/>
        <v>0</v>
      </c>
      <c r="L1431" s="3"/>
      <c r="M1431" s="3">
        <f t="shared" si="55"/>
        <v>0</v>
      </c>
      <c r="O1431" s="5"/>
      <c r="S1431" s="6"/>
    </row>
    <row r="1432" spans="1:22" customFormat="1" x14ac:dyDescent="0.45">
      <c r="A1432">
        <v>425451</v>
      </c>
      <c r="B1432" t="s">
        <v>19163</v>
      </c>
      <c r="C1432" t="s">
        <v>19164</v>
      </c>
      <c r="D1432">
        <v>2</v>
      </c>
      <c r="F1432" s="126"/>
      <c r="G1432" s="7">
        <v>0</v>
      </c>
      <c r="H1432" s="7">
        <v>0</v>
      </c>
      <c r="I1432" s="7">
        <v>0</v>
      </c>
      <c r="J1432" s="7">
        <v>0</v>
      </c>
      <c r="K1432" s="3">
        <f t="shared" si="54"/>
        <v>0</v>
      </c>
      <c r="L1432" s="3"/>
      <c r="M1432" s="3">
        <f t="shared" si="55"/>
        <v>0</v>
      </c>
      <c r="O1432" s="5"/>
      <c r="S1432" s="6"/>
    </row>
    <row r="1433" spans="1:22" customFormat="1" x14ac:dyDescent="0.45">
      <c r="A1433">
        <v>425729</v>
      </c>
      <c r="B1433" t="s">
        <v>19165</v>
      </c>
      <c r="C1433" t="s">
        <v>19166</v>
      </c>
      <c r="D1433">
        <v>3</v>
      </c>
      <c r="F1433" s="126"/>
      <c r="K1433" s="3">
        <f t="shared" si="54"/>
        <v>0</v>
      </c>
      <c r="L1433" s="3"/>
      <c r="M1433" s="3">
        <f t="shared" si="55"/>
        <v>0</v>
      </c>
      <c r="O1433" s="5"/>
      <c r="S1433" s="6"/>
    </row>
    <row r="1434" spans="1:22" x14ac:dyDescent="0.45">
      <c r="A1434" s="124">
        <v>226392</v>
      </c>
      <c r="B1434" s="124" t="s">
        <v>19167</v>
      </c>
      <c r="C1434" s="125" t="s">
        <v>19168</v>
      </c>
      <c r="D1434" s="124">
        <v>1</v>
      </c>
      <c r="E1434" s="124" t="s">
        <v>16417</v>
      </c>
      <c r="F1434" s="126">
        <v>1.23E-2</v>
      </c>
      <c r="G1434" s="126">
        <v>0</v>
      </c>
      <c r="H1434" s="126">
        <v>0</v>
      </c>
      <c r="I1434" s="126">
        <f>0.75%+1.5%</f>
        <v>2.2499999999999999E-2</v>
      </c>
      <c r="J1434" s="126">
        <v>1.2E-2</v>
      </c>
      <c r="K1434" s="126">
        <f t="shared" si="54"/>
        <v>3.4500000000000003E-2</v>
      </c>
      <c r="L1434" s="3"/>
      <c r="M1434" s="126">
        <f t="shared" si="55"/>
        <v>4.6800000000000001E-2</v>
      </c>
      <c r="O1434" s="125" t="s">
        <v>19137</v>
      </c>
      <c r="P1434" s="125" t="s">
        <v>19138</v>
      </c>
      <c r="Q1434" s="130">
        <f>70110000+37973000</f>
        <v>108083000</v>
      </c>
      <c r="R1434" s="130" t="s">
        <v>16348</v>
      </c>
      <c r="S1434" s="130">
        <v>54574000</v>
      </c>
      <c r="T1434" s="129">
        <f>S1434/Q1434</f>
        <v>0.50492676924215651</v>
      </c>
      <c r="U1434" s="130"/>
      <c r="V1434" s="125" t="s">
        <v>19169</v>
      </c>
    </row>
    <row r="1435" spans="1:22" customFormat="1" x14ac:dyDescent="0.45">
      <c r="A1435">
        <v>425743</v>
      </c>
      <c r="B1435" t="s">
        <v>19170</v>
      </c>
      <c r="C1435" t="s">
        <v>19171</v>
      </c>
      <c r="D1435">
        <v>1</v>
      </c>
      <c r="F1435" s="126"/>
      <c r="G1435" s="7">
        <v>0</v>
      </c>
      <c r="H1435" s="7">
        <v>0</v>
      </c>
      <c r="I1435" s="7">
        <v>0</v>
      </c>
      <c r="J1435" s="7">
        <v>0</v>
      </c>
      <c r="K1435" s="3">
        <f t="shared" si="54"/>
        <v>0</v>
      </c>
      <c r="L1435" s="3"/>
      <c r="M1435" s="3">
        <f t="shared" si="55"/>
        <v>0</v>
      </c>
      <c r="O1435" s="5"/>
      <c r="S1435" s="6"/>
    </row>
    <row r="1436" spans="1:22" customFormat="1" x14ac:dyDescent="0.45">
      <c r="A1436">
        <v>425865</v>
      </c>
      <c r="B1436" t="s">
        <v>19172</v>
      </c>
      <c r="C1436" t="s">
        <v>19173</v>
      </c>
      <c r="D1436">
        <v>2</v>
      </c>
      <c r="F1436" s="126"/>
      <c r="G1436" s="7">
        <v>0</v>
      </c>
      <c r="H1436" s="7">
        <v>0</v>
      </c>
      <c r="I1436" s="7">
        <v>0</v>
      </c>
      <c r="J1436" s="7">
        <v>0</v>
      </c>
      <c r="K1436" s="3">
        <f t="shared" si="54"/>
        <v>0</v>
      </c>
      <c r="L1436" s="3"/>
      <c r="M1436" s="3">
        <f t="shared" si="55"/>
        <v>0</v>
      </c>
      <c r="O1436" s="5"/>
      <c r="S1436" s="6"/>
    </row>
    <row r="1437" spans="1:22" customFormat="1" x14ac:dyDescent="0.45">
      <c r="A1437">
        <v>425881</v>
      </c>
      <c r="B1437" t="s">
        <v>19174</v>
      </c>
      <c r="C1437" t="s">
        <v>19175</v>
      </c>
      <c r="D1437">
        <v>1</v>
      </c>
      <c r="F1437" s="126"/>
      <c r="G1437" s="7">
        <v>0</v>
      </c>
      <c r="H1437" s="7">
        <v>0</v>
      </c>
      <c r="I1437" s="7">
        <v>0</v>
      </c>
      <c r="J1437" s="7">
        <v>0</v>
      </c>
      <c r="K1437" s="3">
        <f t="shared" si="54"/>
        <v>0</v>
      </c>
      <c r="L1437" s="3"/>
      <c r="M1437" s="3">
        <f t="shared" si="55"/>
        <v>0</v>
      </c>
      <c r="O1437" s="5"/>
      <c r="S1437" s="6"/>
    </row>
    <row r="1438" spans="1:22" customFormat="1" x14ac:dyDescent="0.45">
      <c r="A1438">
        <v>425911</v>
      </c>
      <c r="B1438" t="s">
        <v>19176</v>
      </c>
      <c r="C1438" t="s">
        <v>19177</v>
      </c>
      <c r="D1438">
        <v>4</v>
      </c>
      <c r="F1438" s="126"/>
      <c r="K1438" s="3">
        <f t="shared" si="54"/>
        <v>0</v>
      </c>
      <c r="L1438" s="3"/>
      <c r="M1438" s="3">
        <f t="shared" si="55"/>
        <v>0</v>
      </c>
      <c r="O1438" s="5"/>
      <c r="S1438" s="6"/>
    </row>
    <row r="1439" spans="1:22" customFormat="1" x14ac:dyDescent="0.45">
      <c r="A1439">
        <v>425959</v>
      </c>
      <c r="B1439" t="s">
        <v>19178</v>
      </c>
      <c r="C1439" t="s">
        <v>19179</v>
      </c>
      <c r="D1439">
        <v>1</v>
      </c>
      <c r="F1439" s="126"/>
      <c r="G1439" s="7">
        <v>0</v>
      </c>
      <c r="H1439" s="7">
        <v>0</v>
      </c>
      <c r="I1439" s="7">
        <v>0</v>
      </c>
      <c r="J1439" s="7">
        <v>0</v>
      </c>
      <c r="K1439" s="3">
        <f t="shared" si="54"/>
        <v>0</v>
      </c>
      <c r="L1439" s="3"/>
      <c r="M1439" s="3">
        <f t="shared" si="55"/>
        <v>0</v>
      </c>
      <c r="O1439" s="5"/>
      <c r="S1439" s="6"/>
    </row>
    <row r="1440" spans="1:22" customFormat="1" x14ac:dyDescent="0.45">
      <c r="A1440">
        <v>426121</v>
      </c>
      <c r="B1440" t="s">
        <v>19180</v>
      </c>
      <c r="C1440" t="s">
        <v>19181</v>
      </c>
      <c r="D1440">
        <v>1</v>
      </c>
      <c r="F1440" s="126"/>
      <c r="G1440" s="7">
        <v>0</v>
      </c>
      <c r="H1440" s="7">
        <v>0</v>
      </c>
      <c r="I1440" s="7">
        <v>0</v>
      </c>
      <c r="J1440" s="7">
        <v>0</v>
      </c>
      <c r="K1440" s="3">
        <f t="shared" si="54"/>
        <v>0</v>
      </c>
      <c r="L1440" s="3"/>
      <c r="M1440" s="3">
        <f t="shared" si="55"/>
        <v>0</v>
      </c>
      <c r="O1440" s="5"/>
      <c r="S1440" s="6"/>
    </row>
    <row r="1441" spans="1:22" customFormat="1" x14ac:dyDescent="0.45">
      <c r="A1441">
        <v>426165</v>
      </c>
      <c r="B1441" t="s">
        <v>19182</v>
      </c>
      <c r="C1441" s="2" t="s">
        <v>19183</v>
      </c>
      <c r="D1441">
        <v>17</v>
      </c>
      <c r="F1441" s="126"/>
      <c r="K1441" s="3">
        <f t="shared" si="54"/>
        <v>0</v>
      </c>
      <c r="L1441" s="3"/>
      <c r="M1441" s="3">
        <f t="shared" si="55"/>
        <v>0</v>
      </c>
      <c r="O1441" s="5"/>
      <c r="S1441" s="6"/>
    </row>
    <row r="1442" spans="1:22" customFormat="1" x14ac:dyDescent="0.45">
      <c r="A1442">
        <v>426166</v>
      </c>
      <c r="B1442" t="s">
        <v>19184</v>
      </c>
      <c r="C1442" t="s">
        <v>16331</v>
      </c>
      <c r="D1442">
        <v>7</v>
      </c>
      <c r="E1442" t="s">
        <v>16331</v>
      </c>
      <c r="F1442" s="126"/>
      <c r="G1442" s="7">
        <v>0</v>
      </c>
      <c r="H1442" s="7">
        <v>0</v>
      </c>
      <c r="I1442" s="7">
        <v>0</v>
      </c>
      <c r="J1442" s="7">
        <v>0</v>
      </c>
      <c r="K1442" s="3">
        <f t="shared" si="54"/>
        <v>0</v>
      </c>
      <c r="L1442" s="3"/>
      <c r="M1442" s="3">
        <f t="shared" si="55"/>
        <v>0</v>
      </c>
      <c r="O1442" s="5"/>
      <c r="S1442" s="6"/>
    </row>
    <row r="1443" spans="1:22" customFormat="1" x14ac:dyDescent="0.45">
      <c r="A1443">
        <v>426567</v>
      </c>
      <c r="B1443" t="s">
        <v>19185</v>
      </c>
      <c r="C1443" t="s">
        <v>16331</v>
      </c>
      <c r="D1443">
        <v>1</v>
      </c>
      <c r="E1443" t="s">
        <v>16331</v>
      </c>
      <c r="F1443" s="126"/>
      <c r="G1443" s="7">
        <v>0</v>
      </c>
      <c r="H1443" s="7">
        <v>0</v>
      </c>
      <c r="I1443" s="7">
        <v>0</v>
      </c>
      <c r="J1443" s="7">
        <v>0</v>
      </c>
      <c r="K1443" s="3">
        <f t="shared" si="54"/>
        <v>0</v>
      </c>
      <c r="L1443" s="3"/>
      <c r="M1443" s="3">
        <f t="shared" si="55"/>
        <v>0</v>
      </c>
      <c r="O1443" s="5"/>
      <c r="S1443" s="6"/>
    </row>
    <row r="1444" spans="1:22" x14ac:dyDescent="0.45">
      <c r="A1444" s="124">
        <v>574458</v>
      </c>
      <c r="B1444" s="124" t="s">
        <v>19186</v>
      </c>
      <c r="C1444" s="125" t="s">
        <v>19187</v>
      </c>
      <c r="D1444" s="124">
        <v>43</v>
      </c>
      <c r="E1444" s="124" t="s">
        <v>16417</v>
      </c>
      <c r="F1444" s="126">
        <v>1.23E-2</v>
      </c>
      <c r="G1444" s="126">
        <v>0</v>
      </c>
      <c r="H1444" s="126">
        <v>0</v>
      </c>
      <c r="I1444" s="126">
        <f>0.75%+1.5%</f>
        <v>2.2499999999999999E-2</v>
      </c>
      <c r="J1444" s="126">
        <v>1.2E-2</v>
      </c>
      <c r="K1444" s="126">
        <f t="shared" si="54"/>
        <v>3.4500000000000003E-2</v>
      </c>
      <c r="L1444" s="3"/>
      <c r="M1444" s="126">
        <f t="shared" si="55"/>
        <v>4.6800000000000001E-2</v>
      </c>
      <c r="O1444" s="125" t="s">
        <v>19137</v>
      </c>
      <c r="Q1444" s="130">
        <f>70110000+37973000</f>
        <v>108083000</v>
      </c>
      <c r="R1444" s="130" t="s">
        <v>16348</v>
      </c>
      <c r="S1444" s="130">
        <v>54574000</v>
      </c>
      <c r="T1444" s="129">
        <f>S1444/Q1444</f>
        <v>0.50492676924215651</v>
      </c>
      <c r="U1444" s="130"/>
      <c r="V1444" s="125" t="s">
        <v>19188</v>
      </c>
    </row>
    <row r="1445" spans="1:22" customFormat="1" x14ac:dyDescent="0.45">
      <c r="A1445">
        <v>428377</v>
      </c>
      <c r="B1445" t="s">
        <v>19189</v>
      </c>
      <c r="C1445" t="s">
        <v>19190</v>
      </c>
      <c r="D1445">
        <v>5</v>
      </c>
      <c r="F1445" s="126"/>
      <c r="G1445" s="7">
        <v>0</v>
      </c>
      <c r="H1445" s="7">
        <v>0</v>
      </c>
      <c r="I1445" s="7">
        <v>0</v>
      </c>
      <c r="J1445" s="7">
        <v>0</v>
      </c>
      <c r="K1445" s="3">
        <f t="shared" si="54"/>
        <v>0</v>
      </c>
      <c r="L1445" s="3"/>
      <c r="M1445" s="3">
        <f t="shared" si="55"/>
        <v>0</v>
      </c>
      <c r="O1445" s="5"/>
      <c r="S1445" s="6"/>
    </row>
    <row r="1446" spans="1:22" customFormat="1" x14ac:dyDescent="0.45">
      <c r="A1446">
        <v>428489</v>
      </c>
      <c r="B1446" t="s">
        <v>19191</v>
      </c>
      <c r="C1446" t="s">
        <v>19192</v>
      </c>
      <c r="D1446">
        <v>2</v>
      </c>
      <c r="F1446" s="126"/>
      <c r="G1446" s="7">
        <v>0</v>
      </c>
      <c r="H1446" s="7">
        <v>0</v>
      </c>
      <c r="I1446" s="7">
        <v>0</v>
      </c>
      <c r="J1446" s="7">
        <v>0</v>
      </c>
      <c r="K1446" s="3">
        <f t="shared" si="54"/>
        <v>0</v>
      </c>
      <c r="L1446" s="3"/>
      <c r="M1446" s="3">
        <f t="shared" si="55"/>
        <v>0</v>
      </c>
      <c r="O1446" s="5"/>
      <c r="S1446" s="6"/>
    </row>
    <row r="1447" spans="1:22" customFormat="1" x14ac:dyDescent="0.45">
      <c r="A1447">
        <v>428551</v>
      </c>
      <c r="B1447" t="s">
        <v>19193</v>
      </c>
      <c r="C1447" t="s">
        <v>19194</v>
      </c>
      <c r="D1447">
        <v>1</v>
      </c>
      <c r="F1447" s="126"/>
      <c r="G1447" s="7">
        <v>0</v>
      </c>
      <c r="H1447" s="7">
        <v>0</v>
      </c>
      <c r="I1447" s="7">
        <v>0</v>
      </c>
      <c r="J1447" s="7">
        <v>0</v>
      </c>
      <c r="K1447" s="3">
        <f t="shared" si="54"/>
        <v>0</v>
      </c>
      <c r="L1447" s="3"/>
      <c r="M1447" s="3">
        <f t="shared" si="55"/>
        <v>0</v>
      </c>
      <c r="O1447" s="5"/>
      <c r="S1447" s="6"/>
    </row>
    <row r="1448" spans="1:22" customFormat="1" x14ac:dyDescent="0.45">
      <c r="A1448">
        <v>428563</v>
      </c>
      <c r="B1448" t="s">
        <v>19195</v>
      </c>
      <c r="C1448" t="s">
        <v>19196</v>
      </c>
      <c r="D1448">
        <v>1</v>
      </c>
      <c r="F1448" s="126"/>
      <c r="G1448" s="7">
        <v>0</v>
      </c>
      <c r="H1448" s="7">
        <v>0</v>
      </c>
      <c r="I1448" s="7">
        <v>0</v>
      </c>
      <c r="J1448" s="7">
        <v>0</v>
      </c>
      <c r="K1448" s="3">
        <f t="shared" si="54"/>
        <v>0</v>
      </c>
      <c r="L1448" s="3"/>
      <c r="M1448" s="3">
        <f t="shared" si="55"/>
        <v>0</v>
      </c>
      <c r="O1448" s="5"/>
      <c r="S1448" s="6"/>
    </row>
    <row r="1449" spans="1:22" customFormat="1" x14ac:dyDescent="0.45">
      <c r="A1449">
        <v>428590</v>
      </c>
      <c r="B1449" t="s">
        <v>19197</v>
      </c>
      <c r="C1449" t="s">
        <v>16331</v>
      </c>
      <c r="D1449">
        <v>9</v>
      </c>
      <c r="E1449" t="s">
        <v>16331</v>
      </c>
      <c r="F1449" s="126"/>
      <c r="G1449" s="7">
        <v>0</v>
      </c>
      <c r="H1449" s="7">
        <v>0</v>
      </c>
      <c r="I1449" s="7">
        <v>0</v>
      </c>
      <c r="J1449" s="7">
        <v>0</v>
      </c>
      <c r="K1449" s="3">
        <f t="shared" si="54"/>
        <v>0</v>
      </c>
      <c r="L1449" s="3"/>
      <c r="M1449" s="3">
        <f t="shared" si="55"/>
        <v>0</v>
      </c>
      <c r="O1449" s="5"/>
      <c r="S1449" s="6"/>
    </row>
    <row r="1450" spans="1:22" customFormat="1" x14ac:dyDescent="0.45">
      <c r="A1450">
        <v>428648</v>
      </c>
      <c r="B1450" t="s">
        <v>19198</v>
      </c>
      <c r="C1450" t="s">
        <v>16331</v>
      </c>
      <c r="D1450">
        <v>1</v>
      </c>
      <c r="E1450" t="s">
        <v>16331</v>
      </c>
      <c r="F1450" s="126"/>
      <c r="G1450" s="7">
        <v>0</v>
      </c>
      <c r="H1450" s="7">
        <v>0</v>
      </c>
      <c r="I1450" s="7">
        <v>0</v>
      </c>
      <c r="J1450" s="7">
        <v>0</v>
      </c>
      <c r="K1450" s="3">
        <f t="shared" si="54"/>
        <v>0</v>
      </c>
      <c r="L1450" s="3"/>
      <c r="M1450" s="3">
        <f t="shared" si="55"/>
        <v>0</v>
      </c>
      <c r="O1450" s="5"/>
      <c r="S1450" s="6"/>
    </row>
    <row r="1451" spans="1:22" customFormat="1" x14ac:dyDescent="0.45">
      <c r="A1451">
        <v>428734</v>
      </c>
      <c r="B1451" t="s">
        <v>19199</v>
      </c>
      <c r="C1451" t="s">
        <v>19200</v>
      </c>
      <c r="D1451">
        <v>30</v>
      </c>
      <c r="F1451" s="126"/>
      <c r="G1451" s="7">
        <v>0</v>
      </c>
      <c r="H1451" s="7">
        <v>0</v>
      </c>
      <c r="I1451" s="7">
        <v>0</v>
      </c>
      <c r="J1451" s="7">
        <v>0</v>
      </c>
      <c r="K1451" s="3">
        <f t="shared" si="54"/>
        <v>0</v>
      </c>
      <c r="L1451" s="3"/>
      <c r="M1451" s="3">
        <f t="shared" si="55"/>
        <v>0</v>
      </c>
      <c r="N1451" s="7"/>
      <c r="O1451" s="5"/>
      <c r="S1451" s="6"/>
    </row>
    <row r="1452" spans="1:22" customFormat="1" x14ac:dyDescent="0.45">
      <c r="A1452">
        <v>428736</v>
      </c>
      <c r="B1452" t="s">
        <v>19201</v>
      </c>
      <c r="C1452" s="2" t="s">
        <v>19202</v>
      </c>
      <c r="D1452">
        <v>3</v>
      </c>
      <c r="F1452" s="126"/>
      <c r="G1452" s="3">
        <v>0</v>
      </c>
      <c r="H1452" s="3">
        <v>0</v>
      </c>
      <c r="I1452" s="3">
        <v>0</v>
      </c>
      <c r="J1452" s="3">
        <v>0</v>
      </c>
      <c r="K1452" s="3">
        <f t="shared" si="54"/>
        <v>0</v>
      </c>
      <c r="L1452" s="3"/>
      <c r="M1452" s="3">
        <f t="shared" si="55"/>
        <v>0</v>
      </c>
      <c r="O1452" s="5"/>
      <c r="S1452" s="6"/>
    </row>
    <row r="1453" spans="1:22" customFormat="1" x14ac:dyDescent="0.45">
      <c r="A1453">
        <v>428789</v>
      </c>
      <c r="B1453" t="s">
        <v>19203</v>
      </c>
      <c r="C1453" t="s">
        <v>19204</v>
      </c>
      <c r="D1453">
        <v>11</v>
      </c>
      <c r="F1453" s="126"/>
      <c r="G1453" s="3">
        <v>0</v>
      </c>
      <c r="H1453" s="3">
        <v>0</v>
      </c>
      <c r="I1453" s="3">
        <v>0</v>
      </c>
      <c r="J1453" s="3">
        <v>0</v>
      </c>
      <c r="K1453" s="3">
        <f t="shared" si="54"/>
        <v>0</v>
      </c>
      <c r="L1453" s="3"/>
      <c r="M1453" s="3">
        <f t="shared" si="55"/>
        <v>0</v>
      </c>
      <c r="O1453" s="5"/>
      <c r="S1453" s="6"/>
    </row>
    <row r="1454" spans="1:22" customFormat="1" x14ac:dyDescent="0.45">
      <c r="A1454">
        <v>428814</v>
      </c>
      <c r="B1454" t="s">
        <v>19205</v>
      </c>
      <c r="C1454" t="s">
        <v>19206</v>
      </c>
      <c r="D1454">
        <v>2</v>
      </c>
      <c r="F1454" s="126"/>
      <c r="G1454" s="7">
        <v>0</v>
      </c>
      <c r="H1454" s="7">
        <v>0</v>
      </c>
      <c r="I1454" s="7">
        <v>0</v>
      </c>
      <c r="J1454" s="7">
        <v>0</v>
      </c>
      <c r="K1454" s="3">
        <f t="shared" si="54"/>
        <v>0</v>
      </c>
      <c r="L1454" s="3"/>
      <c r="M1454" s="3">
        <f t="shared" si="55"/>
        <v>0</v>
      </c>
      <c r="O1454" s="5"/>
      <c r="S1454" s="6"/>
    </row>
    <row r="1455" spans="1:22" customFormat="1" x14ac:dyDescent="0.45">
      <c r="A1455">
        <v>428827</v>
      </c>
      <c r="B1455" t="s">
        <v>19207</v>
      </c>
      <c r="C1455" t="s">
        <v>16331</v>
      </c>
      <c r="D1455">
        <v>1</v>
      </c>
      <c r="E1455" t="s">
        <v>16331</v>
      </c>
      <c r="F1455" s="126"/>
      <c r="K1455" s="3">
        <f t="shared" si="54"/>
        <v>0</v>
      </c>
      <c r="L1455" s="3"/>
      <c r="M1455" s="3">
        <f t="shared" si="55"/>
        <v>0</v>
      </c>
      <c r="O1455" s="5"/>
      <c r="S1455" s="6"/>
    </row>
    <row r="1456" spans="1:22" customFormat="1" x14ac:dyDescent="0.45">
      <c r="A1456">
        <v>428873</v>
      </c>
      <c r="B1456" t="s">
        <v>19208</v>
      </c>
      <c r="C1456" t="s">
        <v>19209</v>
      </c>
      <c r="D1456">
        <v>1</v>
      </c>
      <c r="F1456" s="126"/>
      <c r="G1456" s="3">
        <v>0</v>
      </c>
      <c r="H1456" s="3">
        <v>0</v>
      </c>
      <c r="I1456" s="3">
        <v>0</v>
      </c>
      <c r="J1456" s="3">
        <v>0</v>
      </c>
      <c r="K1456" s="3">
        <f t="shared" si="54"/>
        <v>0</v>
      </c>
      <c r="L1456" s="3"/>
      <c r="M1456" s="3">
        <f t="shared" si="55"/>
        <v>0</v>
      </c>
      <c r="O1456" s="5"/>
      <c r="S1456" s="6"/>
    </row>
    <row r="1457" spans="1:19" customFormat="1" x14ac:dyDescent="0.45">
      <c r="A1457">
        <v>428904</v>
      </c>
      <c r="B1457" t="s">
        <v>19210</v>
      </c>
      <c r="C1457" t="s">
        <v>19211</v>
      </c>
      <c r="D1457">
        <v>4</v>
      </c>
      <c r="F1457" s="126"/>
      <c r="G1457" s="3">
        <v>0</v>
      </c>
      <c r="H1457" s="3">
        <v>0</v>
      </c>
      <c r="I1457" s="3">
        <v>0</v>
      </c>
      <c r="J1457" s="3">
        <v>0</v>
      </c>
      <c r="K1457" s="3">
        <f t="shared" si="54"/>
        <v>0</v>
      </c>
      <c r="L1457" s="3"/>
      <c r="M1457" s="3">
        <f t="shared" si="55"/>
        <v>0</v>
      </c>
      <c r="O1457" s="5"/>
      <c r="S1457" s="6"/>
    </row>
    <row r="1458" spans="1:19" customFormat="1" x14ac:dyDescent="0.45">
      <c r="A1458">
        <v>428959</v>
      </c>
      <c r="B1458" t="s">
        <v>19212</v>
      </c>
      <c r="C1458" t="s">
        <v>16331</v>
      </c>
      <c r="D1458">
        <v>2</v>
      </c>
      <c r="E1458" t="s">
        <v>16331</v>
      </c>
      <c r="F1458" s="126"/>
      <c r="G1458" s="7">
        <v>0</v>
      </c>
      <c r="H1458" s="7">
        <v>0</v>
      </c>
      <c r="I1458" s="7">
        <v>0</v>
      </c>
      <c r="J1458" s="7">
        <v>0</v>
      </c>
      <c r="K1458" s="3">
        <f t="shared" si="54"/>
        <v>0</v>
      </c>
      <c r="L1458" s="3"/>
      <c r="M1458" s="3">
        <f t="shared" si="55"/>
        <v>0</v>
      </c>
      <c r="O1458" s="5"/>
      <c r="S1458" s="6"/>
    </row>
    <row r="1459" spans="1:19" customFormat="1" x14ac:dyDescent="0.45">
      <c r="A1459">
        <v>429045</v>
      </c>
      <c r="B1459" t="s">
        <v>19213</v>
      </c>
      <c r="C1459" t="s">
        <v>19214</v>
      </c>
      <c r="D1459">
        <v>1</v>
      </c>
      <c r="F1459" s="126"/>
      <c r="G1459" s="3">
        <v>0</v>
      </c>
      <c r="H1459" s="3">
        <v>0</v>
      </c>
      <c r="I1459" s="3">
        <v>0</v>
      </c>
      <c r="J1459" s="3">
        <v>0</v>
      </c>
      <c r="K1459" s="3">
        <f t="shared" si="54"/>
        <v>0</v>
      </c>
      <c r="L1459" s="3"/>
      <c r="M1459" s="3">
        <f t="shared" si="55"/>
        <v>0</v>
      </c>
      <c r="O1459" s="5"/>
      <c r="S1459" s="6"/>
    </row>
    <row r="1460" spans="1:19" customFormat="1" x14ac:dyDescent="0.45">
      <c r="A1460">
        <v>429088</v>
      </c>
      <c r="B1460" t="s">
        <v>19215</v>
      </c>
      <c r="C1460" t="s">
        <v>19216</v>
      </c>
      <c r="D1460">
        <v>2</v>
      </c>
      <c r="F1460" s="126"/>
      <c r="G1460" s="7">
        <v>0</v>
      </c>
      <c r="H1460" s="7">
        <v>0</v>
      </c>
      <c r="I1460" s="7">
        <v>0</v>
      </c>
      <c r="J1460" s="7">
        <v>0</v>
      </c>
      <c r="K1460" s="3">
        <f t="shared" si="54"/>
        <v>0</v>
      </c>
      <c r="L1460" s="3"/>
      <c r="M1460" s="3">
        <f t="shared" si="55"/>
        <v>0</v>
      </c>
      <c r="O1460" s="5"/>
      <c r="S1460" s="6"/>
    </row>
    <row r="1461" spans="1:19" customFormat="1" x14ac:dyDescent="0.45">
      <c r="A1461">
        <v>429142</v>
      </c>
      <c r="B1461" t="s">
        <v>19217</v>
      </c>
      <c r="C1461" t="s">
        <v>19218</v>
      </c>
      <c r="D1461">
        <v>146</v>
      </c>
      <c r="F1461" s="126"/>
      <c r="G1461" s="7">
        <v>0</v>
      </c>
      <c r="H1461" s="7">
        <v>0</v>
      </c>
      <c r="I1461" s="7">
        <v>0</v>
      </c>
      <c r="J1461" s="7">
        <v>0</v>
      </c>
      <c r="K1461" s="3">
        <f t="shared" si="54"/>
        <v>0</v>
      </c>
      <c r="L1461" s="3"/>
      <c r="M1461" s="3">
        <f t="shared" si="55"/>
        <v>0</v>
      </c>
      <c r="N1461" t="s">
        <v>19010</v>
      </c>
      <c r="O1461" s="5"/>
      <c r="S1461" s="6"/>
    </row>
    <row r="1462" spans="1:19" customFormat="1" x14ac:dyDescent="0.45">
      <c r="A1462">
        <v>429148</v>
      </c>
      <c r="B1462" t="s">
        <v>19219</v>
      </c>
      <c r="C1462" t="s">
        <v>19220</v>
      </c>
      <c r="D1462">
        <v>1</v>
      </c>
      <c r="F1462" s="126"/>
      <c r="G1462" s="7">
        <v>0</v>
      </c>
      <c r="H1462" s="7">
        <v>0</v>
      </c>
      <c r="I1462" s="7">
        <v>0</v>
      </c>
      <c r="J1462" s="7">
        <v>0</v>
      </c>
      <c r="K1462" s="3">
        <f t="shared" si="54"/>
        <v>0</v>
      </c>
      <c r="L1462" s="3"/>
      <c r="M1462" s="3">
        <f t="shared" si="55"/>
        <v>0</v>
      </c>
      <c r="O1462" s="5"/>
      <c r="S1462" s="6"/>
    </row>
    <row r="1463" spans="1:19" customFormat="1" x14ac:dyDescent="0.45">
      <c r="A1463">
        <v>429206</v>
      </c>
      <c r="B1463" t="s">
        <v>19221</v>
      </c>
      <c r="C1463" t="s">
        <v>19222</v>
      </c>
      <c r="D1463">
        <v>1</v>
      </c>
      <c r="F1463" s="126"/>
      <c r="G1463" s="7">
        <v>0</v>
      </c>
      <c r="H1463" s="7">
        <v>0</v>
      </c>
      <c r="I1463" s="7">
        <v>0</v>
      </c>
      <c r="J1463" s="7">
        <v>0</v>
      </c>
      <c r="K1463" s="3">
        <f t="shared" si="54"/>
        <v>0</v>
      </c>
      <c r="L1463" s="3"/>
      <c r="M1463" s="3">
        <f t="shared" si="55"/>
        <v>0</v>
      </c>
      <c r="O1463" s="5"/>
      <c r="S1463" s="6"/>
    </row>
    <row r="1464" spans="1:19" customFormat="1" x14ac:dyDescent="0.45">
      <c r="A1464">
        <v>429227</v>
      </c>
      <c r="B1464" t="s">
        <v>19223</v>
      </c>
      <c r="C1464" t="s">
        <v>16331</v>
      </c>
      <c r="D1464">
        <v>2</v>
      </c>
      <c r="E1464" t="s">
        <v>16331</v>
      </c>
      <c r="F1464" s="126"/>
      <c r="G1464" s="7">
        <v>0</v>
      </c>
      <c r="H1464" s="7">
        <v>0</v>
      </c>
      <c r="I1464" s="7">
        <v>0</v>
      </c>
      <c r="J1464" s="7">
        <v>0</v>
      </c>
      <c r="K1464" s="3">
        <f t="shared" si="54"/>
        <v>0</v>
      </c>
      <c r="L1464" s="3"/>
      <c r="M1464" s="3">
        <f t="shared" si="55"/>
        <v>0</v>
      </c>
      <c r="O1464" s="5"/>
      <c r="S1464" s="6"/>
    </row>
    <row r="1465" spans="1:19" customFormat="1" x14ac:dyDescent="0.45">
      <c r="A1465">
        <v>429232</v>
      </c>
      <c r="B1465" t="s">
        <v>19224</v>
      </c>
      <c r="C1465" t="s">
        <v>19225</v>
      </c>
      <c r="D1465">
        <v>1</v>
      </c>
      <c r="F1465" s="126"/>
      <c r="G1465" s="7">
        <v>0</v>
      </c>
      <c r="H1465" s="7">
        <v>0</v>
      </c>
      <c r="I1465" s="7">
        <v>0</v>
      </c>
      <c r="J1465" s="7">
        <v>0</v>
      </c>
      <c r="K1465" s="3">
        <f t="shared" si="54"/>
        <v>0</v>
      </c>
      <c r="L1465" s="3"/>
      <c r="M1465" s="3">
        <f t="shared" si="55"/>
        <v>0</v>
      </c>
      <c r="O1465" s="5"/>
      <c r="S1465" s="6"/>
    </row>
    <row r="1466" spans="1:19" customFormat="1" x14ac:dyDescent="0.45">
      <c r="A1466">
        <v>429307</v>
      </c>
      <c r="B1466" t="s">
        <v>19226</v>
      </c>
      <c r="C1466" t="s">
        <v>19227</v>
      </c>
      <c r="D1466">
        <v>1</v>
      </c>
      <c r="F1466" s="126"/>
      <c r="K1466" s="3">
        <f t="shared" si="54"/>
        <v>0</v>
      </c>
      <c r="L1466" s="3"/>
      <c r="M1466" s="3">
        <f t="shared" si="55"/>
        <v>0</v>
      </c>
      <c r="O1466" s="5"/>
      <c r="S1466" s="6"/>
    </row>
    <row r="1467" spans="1:19" customFormat="1" x14ac:dyDescent="0.45">
      <c r="A1467">
        <v>429319</v>
      </c>
      <c r="B1467" t="s">
        <v>19228</v>
      </c>
      <c r="C1467" t="s">
        <v>16331</v>
      </c>
      <c r="D1467">
        <v>1</v>
      </c>
      <c r="E1467" t="s">
        <v>16331</v>
      </c>
      <c r="F1467" s="126"/>
      <c r="G1467" s="3"/>
      <c r="H1467" s="3"/>
      <c r="I1467" s="3"/>
      <c r="J1467" s="3"/>
      <c r="K1467" s="3">
        <f t="shared" si="54"/>
        <v>0</v>
      </c>
      <c r="L1467" s="3"/>
      <c r="M1467" s="3">
        <f t="shared" si="55"/>
        <v>0</v>
      </c>
      <c r="O1467" s="5"/>
      <c r="S1467" s="6"/>
    </row>
    <row r="1468" spans="1:19" customFormat="1" x14ac:dyDescent="0.45">
      <c r="A1468">
        <v>429424</v>
      </c>
      <c r="B1468" t="s">
        <v>19229</v>
      </c>
      <c r="C1468" t="s">
        <v>19230</v>
      </c>
      <c r="D1468">
        <v>2</v>
      </c>
      <c r="F1468" s="126"/>
      <c r="G1468" s="7">
        <v>0</v>
      </c>
      <c r="H1468" s="7">
        <v>0</v>
      </c>
      <c r="I1468" s="7">
        <v>0</v>
      </c>
      <c r="J1468" s="7">
        <v>0</v>
      </c>
      <c r="K1468" s="3">
        <f t="shared" si="54"/>
        <v>0</v>
      </c>
      <c r="L1468" s="3"/>
      <c r="M1468" s="3">
        <f t="shared" si="55"/>
        <v>0</v>
      </c>
      <c r="O1468" s="5"/>
      <c r="S1468" s="6"/>
    </row>
    <row r="1469" spans="1:19" customFormat="1" x14ac:dyDescent="0.45">
      <c r="A1469">
        <v>429458</v>
      </c>
      <c r="B1469" t="s">
        <v>19231</v>
      </c>
      <c r="C1469" t="s">
        <v>16331</v>
      </c>
      <c r="D1469">
        <v>1</v>
      </c>
      <c r="E1469" t="s">
        <v>16331</v>
      </c>
      <c r="F1469" s="126"/>
      <c r="G1469" s="7">
        <v>0</v>
      </c>
      <c r="H1469" s="7">
        <v>0</v>
      </c>
      <c r="I1469" s="7">
        <v>0</v>
      </c>
      <c r="J1469" s="7">
        <v>0</v>
      </c>
      <c r="K1469" s="3">
        <f t="shared" si="54"/>
        <v>0</v>
      </c>
      <c r="L1469" s="3"/>
      <c r="M1469" s="3">
        <f t="shared" si="55"/>
        <v>0</v>
      </c>
      <c r="O1469" s="5"/>
      <c r="S1469" s="6"/>
    </row>
    <row r="1470" spans="1:19" customFormat="1" x14ac:dyDescent="0.45">
      <c r="A1470">
        <v>429496</v>
      </c>
      <c r="B1470" t="s">
        <v>19232</v>
      </c>
      <c r="C1470" t="s">
        <v>16331</v>
      </c>
      <c r="D1470">
        <v>2</v>
      </c>
      <c r="E1470" t="s">
        <v>16331</v>
      </c>
      <c r="F1470" s="126"/>
      <c r="G1470" s="7">
        <v>0</v>
      </c>
      <c r="H1470" s="7">
        <v>0</v>
      </c>
      <c r="I1470" s="7">
        <v>0</v>
      </c>
      <c r="J1470" s="7">
        <v>0</v>
      </c>
      <c r="K1470" s="3">
        <f t="shared" ref="K1470:K1533" si="56">SUM(G1470:J1470)</f>
        <v>0</v>
      </c>
      <c r="L1470" s="3"/>
      <c r="M1470" s="3">
        <f t="shared" ref="M1470:M1533" si="57">K1470+F1470</f>
        <v>0</v>
      </c>
      <c r="N1470" s="7"/>
      <c r="O1470" s="5"/>
      <c r="S1470" s="6"/>
    </row>
    <row r="1471" spans="1:19" customFormat="1" x14ac:dyDescent="0.45">
      <c r="A1471">
        <v>429588</v>
      </c>
      <c r="B1471" t="s">
        <v>19233</v>
      </c>
      <c r="C1471" t="s">
        <v>19234</v>
      </c>
      <c r="D1471">
        <v>6</v>
      </c>
      <c r="F1471" s="126"/>
      <c r="K1471" s="3">
        <f t="shared" si="56"/>
        <v>0</v>
      </c>
      <c r="L1471" s="3"/>
      <c r="M1471" s="3">
        <f t="shared" si="57"/>
        <v>0</v>
      </c>
      <c r="O1471" s="5"/>
      <c r="S1471" s="6"/>
    </row>
    <row r="1472" spans="1:19" customFormat="1" x14ac:dyDescent="0.45">
      <c r="A1472">
        <v>429592</v>
      </c>
      <c r="B1472" t="s">
        <v>19235</v>
      </c>
      <c r="C1472" t="s">
        <v>19236</v>
      </c>
      <c r="D1472">
        <v>1</v>
      </c>
      <c r="F1472" s="126"/>
      <c r="G1472" s="3">
        <v>0</v>
      </c>
      <c r="H1472" s="3">
        <v>0</v>
      </c>
      <c r="I1472" s="3">
        <v>0</v>
      </c>
      <c r="J1472" s="3">
        <v>0</v>
      </c>
      <c r="K1472" s="3">
        <f t="shared" si="56"/>
        <v>0</v>
      </c>
      <c r="L1472" s="3"/>
      <c r="M1472" s="3">
        <f t="shared" si="57"/>
        <v>0</v>
      </c>
      <c r="O1472" s="5"/>
      <c r="S1472" s="6"/>
    </row>
    <row r="1473" spans="1:19" customFormat="1" x14ac:dyDescent="0.45">
      <c r="A1473">
        <v>429757</v>
      </c>
      <c r="B1473" t="s">
        <v>19237</v>
      </c>
      <c r="C1473" t="s">
        <v>16331</v>
      </c>
      <c r="D1473">
        <v>1</v>
      </c>
      <c r="E1473" t="s">
        <v>16331</v>
      </c>
      <c r="F1473" s="126"/>
      <c r="G1473" s="7">
        <v>0</v>
      </c>
      <c r="H1473" s="7">
        <v>0</v>
      </c>
      <c r="I1473" s="7">
        <v>0</v>
      </c>
      <c r="J1473" s="7">
        <v>0</v>
      </c>
      <c r="K1473" s="3">
        <f t="shared" si="56"/>
        <v>0</v>
      </c>
      <c r="L1473" s="3"/>
      <c r="M1473" s="3">
        <f t="shared" si="57"/>
        <v>0</v>
      </c>
      <c r="O1473" s="5"/>
      <c r="S1473" s="6"/>
    </row>
    <row r="1474" spans="1:19" customFormat="1" x14ac:dyDescent="0.45">
      <c r="A1474">
        <v>429764</v>
      </c>
      <c r="B1474" t="s">
        <v>19238</v>
      </c>
      <c r="C1474" t="s">
        <v>19239</v>
      </c>
      <c r="D1474">
        <v>3</v>
      </c>
      <c r="F1474" s="126"/>
      <c r="K1474" s="3">
        <f t="shared" si="56"/>
        <v>0</v>
      </c>
      <c r="L1474" s="3"/>
      <c r="M1474" s="3">
        <f t="shared" si="57"/>
        <v>0</v>
      </c>
      <c r="O1474" s="5"/>
      <c r="S1474" s="6"/>
    </row>
    <row r="1475" spans="1:19" customFormat="1" x14ac:dyDescent="0.45">
      <c r="A1475">
        <v>429806</v>
      </c>
      <c r="B1475" t="s">
        <v>19240</v>
      </c>
      <c r="C1475" s="2" t="s">
        <v>19241</v>
      </c>
      <c r="D1475">
        <v>0</v>
      </c>
      <c r="E1475" t="s">
        <v>16561</v>
      </c>
      <c r="F1475" s="126"/>
      <c r="G1475" s="3">
        <v>0</v>
      </c>
      <c r="H1475" s="3">
        <v>0</v>
      </c>
      <c r="I1475" s="3">
        <v>0</v>
      </c>
      <c r="J1475" s="3">
        <v>0</v>
      </c>
      <c r="K1475" s="3">
        <f t="shared" si="56"/>
        <v>0</v>
      </c>
      <c r="L1475" s="3"/>
      <c r="M1475" s="3">
        <f t="shared" si="57"/>
        <v>0</v>
      </c>
      <c r="O1475" s="5"/>
      <c r="S1475" s="6"/>
    </row>
    <row r="1476" spans="1:19" customFormat="1" x14ac:dyDescent="0.45">
      <c r="A1476">
        <v>429827</v>
      </c>
      <c r="B1476" t="s">
        <v>19242</v>
      </c>
      <c r="C1476" t="s">
        <v>19243</v>
      </c>
      <c r="D1476">
        <v>1</v>
      </c>
      <c r="F1476" s="126"/>
      <c r="G1476" s="7">
        <v>0</v>
      </c>
      <c r="H1476" s="7">
        <v>0</v>
      </c>
      <c r="I1476" s="7">
        <v>0</v>
      </c>
      <c r="J1476" s="7">
        <v>0</v>
      </c>
      <c r="K1476" s="3">
        <f t="shared" si="56"/>
        <v>0</v>
      </c>
      <c r="L1476" s="3"/>
      <c r="M1476" s="3">
        <f t="shared" si="57"/>
        <v>0</v>
      </c>
      <c r="N1476" s="7"/>
      <c r="O1476" s="5"/>
      <c r="S1476" s="6"/>
    </row>
    <row r="1477" spans="1:19" customFormat="1" x14ac:dyDescent="0.45">
      <c r="A1477">
        <v>429859</v>
      </c>
      <c r="B1477" t="s">
        <v>19244</v>
      </c>
      <c r="C1477" t="s">
        <v>19245</v>
      </c>
      <c r="D1477">
        <v>2</v>
      </c>
      <c r="F1477" s="126"/>
      <c r="G1477" s="7">
        <v>0</v>
      </c>
      <c r="H1477" s="7">
        <v>0</v>
      </c>
      <c r="I1477" s="7">
        <v>0</v>
      </c>
      <c r="J1477" s="7">
        <v>0</v>
      </c>
      <c r="K1477" s="3">
        <f t="shared" si="56"/>
        <v>0</v>
      </c>
      <c r="L1477" s="3"/>
      <c r="M1477" s="3">
        <f t="shared" si="57"/>
        <v>0</v>
      </c>
      <c r="O1477" s="5"/>
      <c r="S1477" s="6"/>
    </row>
    <row r="1478" spans="1:19" customFormat="1" x14ac:dyDescent="0.45">
      <c r="A1478">
        <v>429914</v>
      </c>
      <c r="B1478" t="s">
        <v>19246</v>
      </c>
      <c r="C1478" t="s">
        <v>16331</v>
      </c>
      <c r="D1478">
        <v>3</v>
      </c>
      <c r="E1478" t="s">
        <v>16331</v>
      </c>
      <c r="F1478" s="126"/>
      <c r="G1478" s="7">
        <v>0</v>
      </c>
      <c r="H1478" s="7">
        <v>0</v>
      </c>
      <c r="I1478" s="7">
        <v>0</v>
      </c>
      <c r="J1478" s="7">
        <v>0</v>
      </c>
      <c r="K1478" s="3">
        <f t="shared" si="56"/>
        <v>0</v>
      </c>
      <c r="L1478" s="3"/>
      <c r="M1478" s="3">
        <f t="shared" si="57"/>
        <v>0</v>
      </c>
      <c r="O1478" s="5"/>
      <c r="S1478" s="6"/>
    </row>
    <row r="1479" spans="1:19" customFormat="1" x14ac:dyDescent="0.45">
      <c r="A1479">
        <v>429940</v>
      </c>
      <c r="B1479" t="s">
        <v>19247</v>
      </c>
      <c r="C1479" t="s">
        <v>19248</v>
      </c>
      <c r="D1479">
        <v>3</v>
      </c>
      <c r="F1479" s="126"/>
      <c r="K1479" s="3">
        <f t="shared" si="56"/>
        <v>0</v>
      </c>
      <c r="L1479" s="3"/>
      <c r="M1479" s="3">
        <f t="shared" si="57"/>
        <v>0</v>
      </c>
      <c r="O1479" s="5"/>
      <c r="S1479" s="6"/>
    </row>
    <row r="1480" spans="1:19" customFormat="1" x14ac:dyDescent="0.45">
      <c r="A1480">
        <v>429957</v>
      </c>
      <c r="B1480" t="s">
        <v>19249</v>
      </c>
      <c r="C1480" t="s">
        <v>16331</v>
      </c>
      <c r="D1480">
        <v>1</v>
      </c>
      <c r="E1480" t="s">
        <v>16331</v>
      </c>
      <c r="F1480" s="126"/>
      <c r="G1480" s="7">
        <v>0</v>
      </c>
      <c r="H1480" s="7">
        <v>0</v>
      </c>
      <c r="I1480" s="7">
        <v>0</v>
      </c>
      <c r="J1480" s="7">
        <v>0</v>
      </c>
      <c r="K1480" s="3">
        <f t="shared" si="56"/>
        <v>0</v>
      </c>
      <c r="L1480" s="3"/>
      <c r="M1480" s="3">
        <f t="shared" si="57"/>
        <v>0</v>
      </c>
      <c r="O1480" s="5"/>
      <c r="S1480" s="6"/>
    </row>
    <row r="1481" spans="1:19" customFormat="1" x14ac:dyDescent="0.45">
      <c r="A1481">
        <v>430007</v>
      </c>
      <c r="B1481" t="s">
        <v>19250</v>
      </c>
      <c r="C1481" t="s">
        <v>19251</v>
      </c>
      <c r="D1481">
        <v>2</v>
      </c>
      <c r="F1481" s="126"/>
      <c r="G1481" s="3">
        <v>0</v>
      </c>
      <c r="H1481" s="3">
        <v>0</v>
      </c>
      <c r="I1481" s="3">
        <v>0</v>
      </c>
      <c r="J1481" s="3">
        <v>0</v>
      </c>
      <c r="K1481" s="3">
        <f t="shared" si="56"/>
        <v>0</v>
      </c>
      <c r="L1481" s="3"/>
      <c r="M1481" s="3">
        <f t="shared" si="57"/>
        <v>0</v>
      </c>
      <c r="O1481" s="5"/>
      <c r="S1481" s="6"/>
    </row>
    <row r="1482" spans="1:19" customFormat="1" x14ac:dyDescent="0.45">
      <c r="A1482">
        <v>430022</v>
      </c>
      <c r="B1482" t="s">
        <v>19252</v>
      </c>
      <c r="C1482" s="2" t="s">
        <v>19253</v>
      </c>
      <c r="D1482">
        <v>1</v>
      </c>
      <c r="F1482" s="126"/>
      <c r="G1482" s="3">
        <v>0</v>
      </c>
      <c r="H1482" s="3">
        <v>0</v>
      </c>
      <c r="I1482" s="3">
        <v>0</v>
      </c>
      <c r="J1482" s="3">
        <v>0</v>
      </c>
      <c r="K1482" s="3">
        <f t="shared" si="56"/>
        <v>0</v>
      </c>
      <c r="L1482" s="3"/>
      <c r="M1482" s="3">
        <f t="shared" si="57"/>
        <v>0</v>
      </c>
      <c r="O1482" s="5"/>
      <c r="S1482" s="6"/>
    </row>
    <row r="1483" spans="1:19" customFormat="1" x14ac:dyDescent="0.45">
      <c r="A1483">
        <v>430239</v>
      </c>
      <c r="B1483" t="s">
        <v>19254</v>
      </c>
      <c r="C1483" t="s">
        <v>19255</v>
      </c>
      <c r="D1483">
        <v>2</v>
      </c>
      <c r="F1483" s="126"/>
      <c r="G1483" s="7">
        <v>0</v>
      </c>
      <c r="H1483" s="7">
        <v>0</v>
      </c>
      <c r="I1483" s="7">
        <v>0</v>
      </c>
      <c r="J1483" s="7">
        <v>0</v>
      </c>
      <c r="K1483" s="3">
        <f t="shared" si="56"/>
        <v>0</v>
      </c>
      <c r="L1483" s="3"/>
      <c r="M1483" s="3">
        <f t="shared" si="57"/>
        <v>0</v>
      </c>
      <c r="O1483" s="5"/>
      <c r="S1483" s="6"/>
    </row>
    <row r="1484" spans="1:19" customFormat="1" x14ac:dyDescent="0.45">
      <c r="A1484">
        <v>430282</v>
      </c>
      <c r="B1484" t="s">
        <v>19256</v>
      </c>
      <c r="C1484" t="s">
        <v>19257</v>
      </c>
      <c r="D1484">
        <v>3</v>
      </c>
      <c r="E1484" t="s">
        <v>16334</v>
      </c>
      <c r="F1484" s="126">
        <v>0</v>
      </c>
      <c r="G1484" s="3">
        <v>0</v>
      </c>
      <c r="H1484" s="3">
        <v>0</v>
      </c>
      <c r="I1484" s="4">
        <v>0</v>
      </c>
      <c r="J1484" s="4">
        <v>0</v>
      </c>
      <c r="K1484" s="3">
        <f t="shared" si="56"/>
        <v>0</v>
      </c>
      <c r="L1484" s="3"/>
      <c r="M1484" s="3">
        <f t="shared" si="57"/>
        <v>0</v>
      </c>
      <c r="O1484" s="5"/>
      <c r="S1484" s="6"/>
    </row>
    <row r="1485" spans="1:19" customFormat="1" x14ac:dyDescent="0.45">
      <c r="A1485">
        <v>430290</v>
      </c>
      <c r="B1485" t="s">
        <v>19258</v>
      </c>
      <c r="C1485" t="s">
        <v>16331</v>
      </c>
      <c r="D1485">
        <v>1</v>
      </c>
      <c r="E1485" t="s">
        <v>16331</v>
      </c>
      <c r="F1485" s="126"/>
      <c r="K1485" s="3">
        <f t="shared" si="56"/>
        <v>0</v>
      </c>
      <c r="L1485" s="3"/>
      <c r="M1485" s="3">
        <f t="shared" si="57"/>
        <v>0</v>
      </c>
      <c r="O1485" s="5"/>
      <c r="S1485" s="6"/>
    </row>
    <row r="1486" spans="1:19" customFormat="1" x14ac:dyDescent="0.45">
      <c r="A1486">
        <v>430294</v>
      </c>
      <c r="B1486" t="s">
        <v>19259</v>
      </c>
      <c r="C1486" t="s">
        <v>19260</v>
      </c>
      <c r="D1486">
        <v>1</v>
      </c>
      <c r="F1486" s="126"/>
      <c r="G1486" s="7">
        <v>0</v>
      </c>
      <c r="H1486" s="7">
        <v>0</v>
      </c>
      <c r="I1486" s="7">
        <v>0</v>
      </c>
      <c r="J1486" s="7">
        <v>0</v>
      </c>
      <c r="K1486" s="3">
        <f t="shared" si="56"/>
        <v>0</v>
      </c>
      <c r="L1486" s="3"/>
      <c r="M1486" s="3">
        <f t="shared" si="57"/>
        <v>0</v>
      </c>
      <c r="O1486" s="5"/>
      <c r="S1486" s="6"/>
    </row>
    <row r="1487" spans="1:19" customFormat="1" x14ac:dyDescent="0.45">
      <c r="A1487">
        <v>430299</v>
      </c>
      <c r="B1487" t="s">
        <v>19261</v>
      </c>
      <c r="C1487" t="s">
        <v>19262</v>
      </c>
      <c r="D1487">
        <v>1</v>
      </c>
      <c r="F1487" s="126"/>
      <c r="G1487" s="7">
        <v>0</v>
      </c>
      <c r="H1487" s="7">
        <v>0</v>
      </c>
      <c r="I1487" s="7">
        <v>0</v>
      </c>
      <c r="J1487" s="7">
        <v>0</v>
      </c>
      <c r="K1487" s="3">
        <f t="shared" si="56"/>
        <v>0</v>
      </c>
      <c r="L1487" s="3"/>
      <c r="M1487" s="3">
        <f t="shared" si="57"/>
        <v>0</v>
      </c>
      <c r="O1487" s="5"/>
      <c r="S1487" s="6"/>
    </row>
    <row r="1488" spans="1:19" customFormat="1" x14ac:dyDescent="0.45">
      <c r="A1488">
        <v>430306</v>
      </c>
      <c r="B1488" t="s">
        <v>19263</v>
      </c>
      <c r="C1488" t="s">
        <v>19264</v>
      </c>
      <c r="D1488">
        <v>3</v>
      </c>
      <c r="F1488" s="126"/>
      <c r="G1488" s="3">
        <v>0</v>
      </c>
      <c r="H1488" s="3">
        <v>0</v>
      </c>
      <c r="I1488" s="3">
        <v>0</v>
      </c>
      <c r="J1488" s="3">
        <v>0</v>
      </c>
      <c r="K1488" s="3">
        <f t="shared" si="56"/>
        <v>0</v>
      </c>
      <c r="L1488" s="3"/>
      <c r="M1488" s="3">
        <f t="shared" si="57"/>
        <v>0</v>
      </c>
      <c r="O1488" s="5"/>
      <c r="S1488" s="6"/>
    </row>
    <row r="1489" spans="1:22" customFormat="1" x14ac:dyDescent="0.45">
      <c r="A1489">
        <v>430317</v>
      </c>
      <c r="B1489" t="s">
        <v>19265</v>
      </c>
      <c r="C1489" t="s">
        <v>19266</v>
      </c>
      <c r="D1489">
        <v>3</v>
      </c>
      <c r="F1489" s="126"/>
      <c r="G1489" s="7">
        <v>0</v>
      </c>
      <c r="H1489" s="7">
        <v>0</v>
      </c>
      <c r="I1489" s="7">
        <v>0</v>
      </c>
      <c r="J1489" s="7">
        <v>0</v>
      </c>
      <c r="K1489" s="3">
        <f t="shared" si="56"/>
        <v>0</v>
      </c>
      <c r="L1489" s="3"/>
      <c r="M1489" s="3">
        <f t="shared" si="57"/>
        <v>0</v>
      </c>
      <c r="O1489" s="5"/>
      <c r="S1489" s="6"/>
    </row>
    <row r="1490" spans="1:22" customFormat="1" x14ac:dyDescent="0.45">
      <c r="A1490">
        <v>430324</v>
      </c>
      <c r="B1490" t="s">
        <v>19267</v>
      </c>
      <c r="C1490" t="s">
        <v>19268</v>
      </c>
      <c r="D1490">
        <v>0</v>
      </c>
      <c r="E1490" t="s">
        <v>16331</v>
      </c>
      <c r="F1490" s="126"/>
      <c r="G1490" s="7">
        <v>0</v>
      </c>
      <c r="H1490" s="7">
        <v>0</v>
      </c>
      <c r="I1490" s="7">
        <v>0</v>
      </c>
      <c r="J1490" s="7">
        <v>0</v>
      </c>
      <c r="K1490" s="3">
        <f t="shared" si="56"/>
        <v>0</v>
      </c>
      <c r="L1490" s="3"/>
      <c r="M1490" s="3">
        <f t="shared" si="57"/>
        <v>0</v>
      </c>
      <c r="O1490" s="5"/>
      <c r="S1490" s="6"/>
    </row>
    <row r="1491" spans="1:22" customFormat="1" x14ac:dyDescent="0.45">
      <c r="A1491">
        <v>430385</v>
      </c>
      <c r="B1491" t="s">
        <v>19269</v>
      </c>
      <c r="C1491" t="s">
        <v>19270</v>
      </c>
      <c r="D1491">
        <v>1</v>
      </c>
      <c r="F1491" s="126"/>
      <c r="K1491" s="3">
        <f t="shared" si="56"/>
        <v>0</v>
      </c>
      <c r="L1491" s="3"/>
      <c r="M1491" s="3">
        <f t="shared" si="57"/>
        <v>0</v>
      </c>
      <c r="O1491" s="5"/>
      <c r="S1491" s="6"/>
    </row>
    <row r="1492" spans="1:22" customFormat="1" x14ac:dyDescent="0.45">
      <c r="A1492">
        <v>430426</v>
      </c>
      <c r="B1492" t="s">
        <v>19271</v>
      </c>
      <c r="C1492" t="s">
        <v>19272</v>
      </c>
      <c r="D1492">
        <v>2</v>
      </c>
      <c r="F1492" s="126"/>
      <c r="G1492" s="7">
        <v>0</v>
      </c>
      <c r="H1492" s="7">
        <v>0</v>
      </c>
      <c r="I1492" s="7">
        <v>0</v>
      </c>
      <c r="J1492" s="7">
        <v>0</v>
      </c>
      <c r="K1492" s="3">
        <f t="shared" si="56"/>
        <v>0</v>
      </c>
      <c r="L1492" s="3"/>
      <c r="M1492" s="3">
        <f t="shared" si="57"/>
        <v>0</v>
      </c>
      <c r="O1492" s="5"/>
      <c r="S1492" s="6"/>
    </row>
    <row r="1493" spans="1:22" customFormat="1" x14ac:dyDescent="0.45">
      <c r="A1493">
        <v>430475</v>
      </c>
      <c r="B1493" t="s">
        <v>19273</v>
      </c>
      <c r="C1493" t="s">
        <v>16331</v>
      </c>
      <c r="D1493">
        <v>1</v>
      </c>
      <c r="E1493" t="s">
        <v>16331</v>
      </c>
      <c r="F1493" s="126"/>
      <c r="G1493" s="7">
        <v>0</v>
      </c>
      <c r="H1493" s="7">
        <v>0</v>
      </c>
      <c r="I1493" s="7">
        <v>0</v>
      </c>
      <c r="J1493" s="7">
        <v>0</v>
      </c>
      <c r="K1493" s="3">
        <f t="shared" si="56"/>
        <v>0</v>
      </c>
      <c r="L1493" s="3"/>
      <c r="M1493" s="3">
        <f t="shared" si="57"/>
        <v>0</v>
      </c>
      <c r="O1493" s="5"/>
      <c r="S1493" s="6"/>
    </row>
    <row r="1494" spans="1:22" customFormat="1" x14ac:dyDescent="0.45">
      <c r="A1494">
        <v>430498</v>
      </c>
      <c r="B1494" t="s">
        <v>19274</v>
      </c>
      <c r="C1494" t="s">
        <v>16331</v>
      </c>
      <c r="D1494">
        <v>1</v>
      </c>
      <c r="E1494" t="s">
        <v>16331</v>
      </c>
      <c r="F1494" s="126"/>
      <c r="G1494" s="7">
        <v>0</v>
      </c>
      <c r="H1494" s="7">
        <v>0</v>
      </c>
      <c r="I1494" s="7">
        <v>0</v>
      </c>
      <c r="J1494" s="7">
        <v>0</v>
      </c>
      <c r="K1494" s="3">
        <f t="shared" si="56"/>
        <v>0</v>
      </c>
      <c r="L1494" s="3"/>
      <c r="M1494" s="3">
        <f t="shared" si="57"/>
        <v>0</v>
      </c>
      <c r="O1494" s="5"/>
      <c r="S1494" s="6"/>
    </row>
    <row r="1495" spans="1:22" customFormat="1" x14ac:dyDescent="0.45">
      <c r="A1495">
        <v>430531</v>
      </c>
      <c r="B1495" t="s">
        <v>19275</v>
      </c>
      <c r="C1495" t="s">
        <v>19276</v>
      </c>
      <c r="D1495">
        <v>2</v>
      </c>
      <c r="F1495" s="126"/>
      <c r="G1495" s="7">
        <v>0</v>
      </c>
      <c r="H1495" s="7">
        <v>0</v>
      </c>
      <c r="I1495" s="7">
        <v>0</v>
      </c>
      <c r="J1495" s="7">
        <v>0</v>
      </c>
      <c r="K1495" s="3">
        <f t="shared" si="56"/>
        <v>0</v>
      </c>
      <c r="L1495" s="3"/>
      <c r="M1495" s="3">
        <f t="shared" si="57"/>
        <v>0</v>
      </c>
      <c r="O1495" s="5"/>
      <c r="S1495" s="6"/>
    </row>
    <row r="1496" spans="1:22" x14ac:dyDescent="0.45">
      <c r="A1496" s="124">
        <v>816958</v>
      </c>
      <c r="B1496" s="124" t="s">
        <v>19277</v>
      </c>
      <c r="C1496" s="125" t="s">
        <v>19278</v>
      </c>
      <c r="D1496" s="124">
        <v>10</v>
      </c>
      <c r="E1496" s="124" t="s">
        <v>16417</v>
      </c>
      <c r="F1496" s="126">
        <v>1.23E-2</v>
      </c>
      <c r="G1496" s="126">
        <v>0</v>
      </c>
      <c r="H1496" s="126">
        <v>0</v>
      </c>
      <c r="I1496" s="126">
        <f>0.75%+1.5%</f>
        <v>2.2499999999999999E-2</v>
      </c>
      <c r="J1496" s="126">
        <v>1.2E-2</v>
      </c>
      <c r="K1496" s="126">
        <f t="shared" si="56"/>
        <v>3.4500000000000003E-2</v>
      </c>
      <c r="L1496" s="3"/>
      <c r="M1496" s="126">
        <f t="shared" si="57"/>
        <v>4.6800000000000001E-2</v>
      </c>
      <c r="O1496" s="125" t="s">
        <v>19137</v>
      </c>
      <c r="Q1496" s="130">
        <f>70110000+37973000</f>
        <v>108083000</v>
      </c>
      <c r="R1496" s="130" t="s">
        <v>16348</v>
      </c>
      <c r="S1496" s="130">
        <v>54574000</v>
      </c>
      <c r="T1496" s="129">
        <f>S1496/Q1496</f>
        <v>0.50492676924215651</v>
      </c>
      <c r="U1496" s="130"/>
      <c r="V1496" s="125" t="s">
        <v>19279</v>
      </c>
    </row>
    <row r="1497" spans="1:22" customFormat="1" x14ac:dyDescent="0.45">
      <c r="A1497">
        <v>430604</v>
      </c>
      <c r="B1497" t="s">
        <v>19280</v>
      </c>
      <c r="C1497" t="s">
        <v>19281</v>
      </c>
      <c r="D1497">
        <v>3</v>
      </c>
      <c r="F1497" s="126"/>
      <c r="G1497" s="7">
        <v>0</v>
      </c>
      <c r="H1497" s="7">
        <v>0</v>
      </c>
      <c r="I1497" s="7">
        <v>0</v>
      </c>
      <c r="J1497" s="7">
        <v>0</v>
      </c>
      <c r="K1497" s="3">
        <f t="shared" si="56"/>
        <v>0</v>
      </c>
      <c r="L1497" s="3"/>
      <c r="M1497" s="3">
        <f t="shared" si="57"/>
        <v>0</v>
      </c>
      <c r="O1497" s="5"/>
      <c r="S1497" s="6"/>
    </row>
    <row r="1498" spans="1:22" customFormat="1" x14ac:dyDescent="0.45">
      <c r="A1498">
        <v>430635</v>
      </c>
      <c r="B1498" t="s">
        <v>19282</v>
      </c>
      <c r="C1498" t="s">
        <v>16331</v>
      </c>
      <c r="D1498">
        <v>1</v>
      </c>
      <c r="E1498" t="s">
        <v>16331</v>
      </c>
      <c r="F1498" s="126"/>
      <c r="K1498" s="3">
        <f t="shared" si="56"/>
        <v>0</v>
      </c>
      <c r="L1498" s="3"/>
      <c r="M1498" s="3">
        <f t="shared" si="57"/>
        <v>0</v>
      </c>
      <c r="O1498" s="5"/>
      <c r="S1498" s="6"/>
    </row>
    <row r="1499" spans="1:22" customFormat="1" x14ac:dyDescent="0.45">
      <c r="A1499">
        <v>430680</v>
      </c>
      <c r="B1499" t="s">
        <v>19283</v>
      </c>
      <c r="C1499" t="s">
        <v>19284</v>
      </c>
      <c r="D1499">
        <v>2</v>
      </c>
      <c r="F1499" s="126"/>
      <c r="K1499" s="3">
        <f t="shared" si="56"/>
        <v>0</v>
      </c>
      <c r="L1499" s="3"/>
      <c r="M1499" s="3">
        <f t="shared" si="57"/>
        <v>0</v>
      </c>
      <c r="O1499" s="5"/>
      <c r="S1499" s="6"/>
    </row>
    <row r="1500" spans="1:22" customFormat="1" x14ac:dyDescent="0.45">
      <c r="A1500">
        <v>430725</v>
      </c>
      <c r="B1500" t="s">
        <v>19285</v>
      </c>
      <c r="C1500" t="s">
        <v>19286</v>
      </c>
      <c r="D1500">
        <v>1</v>
      </c>
      <c r="F1500" s="126"/>
      <c r="G1500" s="7">
        <v>0</v>
      </c>
      <c r="H1500" s="7">
        <v>0</v>
      </c>
      <c r="I1500" s="7">
        <v>0</v>
      </c>
      <c r="J1500" s="7">
        <v>0</v>
      </c>
      <c r="K1500" s="3">
        <f t="shared" si="56"/>
        <v>0</v>
      </c>
      <c r="L1500" s="3"/>
      <c r="M1500" s="3">
        <f t="shared" si="57"/>
        <v>0</v>
      </c>
      <c r="O1500" s="5"/>
      <c r="S1500" s="6"/>
    </row>
    <row r="1501" spans="1:22" customFormat="1" x14ac:dyDescent="0.45">
      <c r="A1501">
        <v>430727</v>
      </c>
      <c r="B1501" t="s">
        <v>19287</v>
      </c>
      <c r="C1501" t="s">
        <v>19288</v>
      </c>
      <c r="D1501">
        <v>2</v>
      </c>
      <c r="F1501" s="126"/>
      <c r="K1501" s="3">
        <f t="shared" si="56"/>
        <v>0</v>
      </c>
      <c r="L1501" s="3"/>
      <c r="M1501" s="3">
        <f t="shared" si="57"/>
        <v>0</v>
      </c>
      <c r="O1501" s="5"/>
      <c r="S1501" s="6"/>
    </row>
    <row r="1502" spans="1:22" customFormat="1" x14ac:dyDescent="0.45">
      <c r="A1502">
        <v>430755</v>
      </c>
      <c r="B1502" t="s">
        <v>19289</v>
      </c>
      <c r="C1502" t="s">
        <v>19290</v>
      </c>
      <c r="D1502">
        <v>2</v>
      </c>
      <c r="F1502" s="126"/>
      <c r="G1502" s="7">
        <v>0</v>
      </c>
      <c r="H1502" s="7">
        <v>0</v>
      </c>
      <c r="I1502" s="7">
        <v>0</v>
      </c>
      <c r="J1502" s="7">
        <v>0</v>
      </c>
      <c r="K1502" s="3">
        <f t="shared" si="56"/>
        <v>0</v>
      </c>
      <c r="L1502" s="3"/>
      <c r="M1502" s="3">
        <f t="shared" si="57"/>
        <v>0</v>
      </c>
      <c r="O1502" s="5"/>
      <c r="S1502" s="6"/>
    </row>
    <row r="1503" spans="1:22" customFormat="1" x14ac:dyDescent="0.45">
      <c r="A1503">
        <v>430771</v>
      </c>
      <c r="B1503" t="s">
        <v>19291</v>
      </c>
      <c r="C1503" t="s">
        <v>19292</v>
      </c>
      <c r="D1503">
        <v>1</v>
      </c>
      <c r="F1503" s="126"/>
      <c r="G1503" s="7">
        <v>0</v>
      </c>
      <c r="H1503" s="7">
        <v>0</v>
      </c>
      <c r="I1503" s="7">
        <v>0</v>
      </c>
      <c r="J1503" s="7">
        <v>0</v>
      </c>
      <c r="K1503" s="3">
        <f t="shared" si="56"/>
        <v>0</v>
      </c>
      <c r="L1503" s="3"/>
      <c r="M1503" s="3">
        <f t="shared" si="57"/>
        <v>0</v>
      </c>
      <c r="O1503" s="5"/>
      <c r="S1503" s="6"/>
    </row>
    <row r="1504" spans="1:22" customFormat="1" x14ac:dyDescent="0.45">
      <c r="A1504">
        <v>430792</v>
      </c>
      <c r="B1504" t="s">
        <v>19293</v>
      </c>
      <c r="C1504" t="s">
        <v>16331</v>
      </c>
      <c r="D1504">
        <v>1</v>
      </c>
      <c r="E1504" t="s">
        <v>16331</v>
      </c>
      <c r="F1504" s="126"/>
      <c r="G1504" s="7">
        <v>0</v>
      </c>
      <c r="H1504" s="7">
        <v>0</v>
      </c>
      <c r="I1504" s="7">
        <v>0</v>
      </c>
      <c r="J1504" s="7">
        <v>0</v>
      </c>
      <c r="K1504" s="3">
        <f t="shared" si="56"/>
        <v>0</v>
      </c>
      <c r="L1504" s="3"/>
      <c r="M1504" s="3">
        <f t="shared" si="57"/>
        <v>0</v>
      </c>
      <c r="O1504" s="5"/>
      <c r="S1504" s="6"/>
    </row>
    <row r="1505" spans="1:19" customFormat="1" x14ac:dyDescent="0.45">
      <c r="A1505">
        <v>430871</v>
      </c>
      <c r="B1505" t="s">
        <v>19294</v>
      </c>
      <c r="C1505" t="s">
        <v>19295</v>
      </c>
      <c r="D1505">
        <v>2</v>
      </c>
      <c r="F1505" s="126"/>
      <c r="G1505" s="3">
        <v>0</v>
      </c>
      <c r="H1505" s="3">
        <v>0</v>
      </c>
      <c r="I1505" s="3">
        <v>0</v>
      </c>
      <c r="J1505" s="3">
        <v>0</v>
      </c>
      <c r="K1505" s="3">
        <f t="shared" si="56"/>
        <v>0</v>
      </c>
      <c r="L1505" s="3"/>
      <c r="M1505" s="3">
        <f t="shared" si="57"/>
        <v>0</v>
      </c>
      <c r="O1505" s="5"/>
      <c r="S1505" s="6"/>
    </row>
    <row r="1506" spans="1:19" customFormat="1" x14ac:dyDescent="0.45">
      <c r="A1506">
        <v>430877</v>
      </c>
      <c r="B1506" t="s">
        <v>19296</v>
      </c>
      <c r="C1506" t="s">
        <v>19297</v>
      </c>
      <c r="D1506">
        <v>1</v>
      </c>
      <c r="F1506" s="126"/>
      <c r="G1506" s="7">
        <v>0</v>
      </c>
      <c r="H1506" s="7">
        <v>0</v>
      </c>
      <c r="I1506" s="7">
        <v>0</v>
      </c>
      <c r="J1506" s="7">
        <v>0</v>
      </c>
      <c r="K1506" s="3">
        <f t="shared" si="56"/>
        <v>0</v>
      </c>
      <c r="L1506" s="3"/>
      <c r="M1506" s="3">
        <f t="shared" si="57"/>
        <v>0</v>
      </c>
      <c r="O1506" s="5"/>
      <c r="S1506" s="6"/>
    </row>
    <row r="1507" spans="1:19" customFormat="1" x14ac:dyDescent="0.45">
      <c r="A1507">
        <v>430887</v>
      </c>
      <c r="B1507" t="s">
        <v>19298</v>
      </c>
      <c r="C1507" t="s">
        <v>16331</v>
      </c>
      <c r="D1507">
        <v>0</v>
      </c>
      <c r="E1507" t="s">
        <v>16331</v>
      </c>
      <c r="F1507" s="126"/>
      <c r="G1507" s="7">
        <v>0</v>
      </c>
      <c r="H1507" s="7">
        <v>0</v>
      </c>
      <c r="I1507" s="7">
        <v>0</v>
      </c>
      <c r="J1507" s="7">
        <v>0</v>
      </c>
      <c r="K1507" s="3">
        <f t="shared" si="56"/>
        <v>0</v>
      </c>
      <c r="L1507" s="3"/>
      <c r="M1507" s="3">
        <f t="shared" si="57"/>
        <v>0</v>
      </c>
      <c r="O1507" s="5"/>
      <c r="S1507" s="6"/>
    </row>
    <row r="1508" spans="1:19" customFormat="1" x14ac:dyDescent="0.45">
      <c r="A1508">
        <v>430979</v>
      </c>
      <c r="B1508" t="s">
        <v>19299</v>
      </c>
      <c r="C1508" t="s">
        <v>19300</v>
      </c>
      <c r="D1508">
        <v>4</v>
      </c>
      <c r="F1508" s="126"/>
      <c r="G1508" s="7">
        <v>0</v>
      </c>
      <c r="H1508" s="7">
        <v>0</v>
      </c>
      <c r="I1508" s="7">
        <v>0</v>
      </c>
      <c r="J1508" s="7">
        <v>0</v>
      </c>
      <c r="K1508" s="3">
        <f t="shared" si="56"/>
        <v>0</v>
      </c>
      <c r="L1508" s="3"/>
      <c r="M1508" s="3">
        <f t="shared" si="57"/>
        <v>0</v>
      </c>
      <c r="O1508" s="5"/>
      <c r="S1508" s="6"/>
    </row>
    <row r="1509" spans="1:19" customFormat="1" x14ac:dyDescent="0.45">
      <c r="A1509">
        <v>430987</v>
      </c>
      <c r="B1509" t="s">
        <v>19301</v>
      </c>
      <c r="C1509" t="s">
        <v>16331</v>
      </c>
      <c r="D1509">
        <v>2</v>
      </c>
      <c r="E1509" t="s">
        <v>16331</v>
      </c>
      <c r="F1509" s="126"/>
      <c r="G1509" s="7">
        <v>0</v>
      </c>
      <c r="H1509" s="7">
        <v>0</v>
      </c>
      <c r="I1509" s="7">
        <v>0</v>
      </c>
      <c r="J1509" s="7">
        <v>0</v>
      </c>
      <c r="K1509" s="3">
        <f t="shared" si="56"/>
        <v>0</v>
      </c>
      <c r="L1509" s="3"/>
      <c r="M1509" s="3">
        <f t="shared" si="57"/>
        <v>0</v>
      </c>
      <c r="O1509" s="5"/>
      <c r="S1509" s="6"/>
    </row>
    <row r="1510" spans="1:19" customFormat="1" x14ac:dyDescent="0.45">
      <c r="A1510">
        <v>431003</v>
      </c>
      <c r="B1510" t="s">
        <v>19302</v>
      </c>
      <c r="C1510" t="s">
        <v>19303</v>
      </c>
      <c r="D1510">
        <v>14</v>
      </c>
      <c r="F1510" s="126"/>
      <c r="G1510" s="7">
        <v>0</v>
      </c>
      <c r="H1510" s="7">
        <v>0</v>
      </c>
      <c r="I1510" s="7">
        <v>0</v>
      </c>
      <c r="J1510" s="7">
        <v>0</v>
      </c>
      <c r="K1510" s="3">
        <f t="shared" si="56"/>
        <v>0</v>
      </c>
      <c r="L1510" s="3"/>
      <c r="M1510" s="3">
        <f t="shared" si="57"/>
        <v>0</v>
      </c>
      <c r="O1510" s="5"/>
      <c r="S1510" s="6"/>
    </row>
    <row r="1511" spans="1:19" customFormat="1" x14ac:dyDescent="0.45">
      <c r="A1511">
        <v>431009</v>
      </c>
      <c r="B1511" t="s">
        <v>19304</v>
      </c>
      <c r="C1511" t="s">
        <v>19305</v>
      </c>
      <c r="D1511">
        <v>1</v>
      </c>
      <c r="F1511" s="126"/>
      <c r="G1511" s="7">
        <v>0</v>
      </c>
      <c r="H1511" s="7">
        <v>0</v>
      </c>
      <c r="I1511" s="7">
        <v>0</v>
      </c>
      <c r="J1511" s="7">
        <v>0</v>
      </c>
      <c r="K1511" s="3">
        <f t="shared" si="56"/>
        <v>0</v>
      </c>
      <c r="L1511" s="3"/>
      <c r="M1511" s="3">
        <f t="shared" si="57"/>
        <v>0</v>
      </c>
      <c r="O1511" s="5"/>
      <c r="S1511" s="6"/>
    </row>
    <row r="1512" spans="1:19" customFormat="1" x14ac:dyDescent="0.45">
      <c r="A1512">
        <v>431032</v>
      </c>
      <c r="B1512" t="s">
        <v>19306</v>
      </c>
      <c r="C1512" t="s">
        <v>19307</v>
      </c>
      <c r="D1512">
        <v>7</v>
      </c>
      <c r="F1512" s="126"/>
      <c r="K1512" s="3">
        <f t="shared" si="56"/>
        <v>0</v>
      </c>
      <c r="L1512" s="3"/>
      <c r="M1512" s="3">
        <f t="shared" si="57"/>
        <v>0</v>
      </c>
      <c r="O1512" s="5"/>
      <c r="S1512" s="6"/>
    </row>
    <row r="1513" spans="1:19" customFormat="1" x14ac:dyDescent="0.45">
      <c r="A1513">
        <v>431033</v>
      </c>
      <c r="B1513" t="s">
        <v>19308</v>
      </c>
      <c r="C1513" t="s">
        <v>16331</v>
      </c>
      <c r="D1513">
        <v>1</v>
      </c>
      <c r="E1513" t="s">
        <v>16331</v>
      </c>
      <c r="F1513" s="126"/>
      <c r="G1513" s="7">
        <v>0</v>
      </c>
      <c r="H1513" s="7">
        <v>0</v>
      </c>
      <c r="I1513" s="7">
        <v>0</v>
      </c>
      <c r="J1513" s="7">
        <v>0</v>
      </c>
      <c r="K1513" s="3">
        <f t="shared" si="56"/>
        <v>0</v>
      </c>
      <c r="L1513" s="3"/>
      <c r="M1513" s="3">
        <f t="shared" si="57"/>
        <v>0</v>
      </c>
      <c r="O1513" s="5"/>
      <c r="S1513" s="6"/>
    </row>
    <row r="1514" spans="1:19" customFormat="1" x14ac:dyDescent="0.45">
      <c r="A1514">
        <v>431048</v>
      </c>
      <c r="B1514" t="s">
        <v>19309</v>
      </c>
      <c r="C1514" t="s">
        <v>19310</v>
      </c>
      <c r="D1514">
        <v>3</v>
      </c>
      <c r="F1514" s="126"/>
      <c r="G1514" s="7">
        <v>0</v>
      </c>
      <c r="H1514" s="7">
        <v>0</v>
      </c>
      <c r="I1514" s="7">
        <v>0</v>
      </c>
      <c r="J1514" s="7">
        <v>0</v>
      </c>
      <c r="K1514" s="3">
        <f t="shared" si="56"/>
        <v>0</v>
      </c>
      <c r="L1514" s="3"/>
      <c r="M1514" s="3">
        <f t="shared" si="57"/>
        <v>0</v>
      </c>
      <c r="O1514" s="5"/>
      <c r="S1514" s="6"/>
    </row>
    <row r="1515" spans="1:19" customFormat="1" x14ac:dyDescent="0.45">
      <c r="A1515">
        <v>431065</v>
      </c>
      <c r="B1515" t="s">
        <v>19311</v>
      </c>
      <c r="C1515" t="s">
        <v>16331</v>
      </c>
      <c r="D1515">
        <v>1</v>
      </c>
      <c r="E1515" t="s">
        <v>16331</v>
      </c>
      <c r="F1515" s="126"/>
      <c r="K1515" s="3">
        <f t="shared" si="56"/>
        <v>0</v>
      </c>
      <c r="L1515" s="3"/>
      <c r="M1515" s="3">
        <f t="shared" si="57"/>
        <v>0</v>
      </c>
      <c r="O1515" s="5"/>
      <c r="S1515" s="6"/>
    </row>
    <row r="1516" spans="1:19" customFormat="1" x14ac:dyDescent="0.45">
      <c r="A1516">
        <v>431113</v>
      </c>
      <c r="B1516" t="s">
        <v>19312</v>
      </c>
      <c r="C1516" t="s">
        <v>16331</v>
      </c>
      <c r="D1516">
        <v>2</v>
      </c>
      <c r="E1516" t="s">
        <v>16331</v>
      </c>
      <c r="F1516" s="126"/>
      <c r="G1516" s="7">
        <v>0</v>
      </c>
      <c r="H1516" s="7">
        <v>0</v>
      </c>
      <c r="I1516" s="7">
        <v>0</v>
      </c>
      <c r="J1516" s="7">
        <v>0</v>
      </c>
      <c r="K1516" s="3">
        <f t="shared" si="56"/>
        <v>0</v>
      </c>
      <c r="L1516" s="3"/>
      <c r="M1516" s="3">
        <f t="shared" si="57"/>
        <v>0</v>
      </c>
      <c r="O1516" s="5"/>
      <c r="S1516" s="6"/>
    </row>
    <row r="1517" spans="1:19" customFormat="1" x14ac:dyDescent="0.45">
      <c r="A1517">
        <v>431157</v>
      </c>
      <c r="B1517" t="s">
        <v>19313</v>
      </c>
      <c r="C1517" t="s">
        <v>19314</v>
      </c>
      <c r="D1517">
        <v>33</v>
      </c>
      <c r="F1517" s="126"/>
      <c r="K1517" s="3">
        <f t="shared" si="56"/>
        <v>0</v>
      </c>
      <c r="L1517" s="3"/>
      <c r="M1517" s="3">
        <f t="shared" si="57"/>
        <v>0</v>
      </c>
      <c r="O1517" s="5"/>
      <c r="S1517" s="6"/>
    </row>
    <row r="1518" spans="1:19" customFormat="1" x14ac:dyDescent="0.45">
      <c r="A1518">
        <v>431206</v>
      </c>
      <c r="B1518" t="s">
        <v>19315</v>
      </c>
      <c r="C1518" t="s">
        <v>19316</v>
      </c>
      <c r="D1518">
        <v>2</v>
      </c>
      <c r="F1518" s="126"/>
      <c r="G1518" s="7">
        <v>0</v>
      </c>
      <c r="H1518" s="7">
        <v>0</v>
      </c>
      <c r="I1518" s="7">
        <v>0</v>
      </c>
      <c r="J1518" s="7">
        <v>0</v>
      </c>
      <c r="K1518" s="3">
        <f t="shared" si="56"/>
        <v>0</v>
      </c>
      <c r="L1518" s="3"/>
      <c r="M1518" s="3">
        <f t="shared" si="57"/>
        <v>0</v>
      </c>
      <c r="N1518" s="7"/>
      <c r="O1518" s="5"/>
      <c r="S1518" s="6"/>
    </row>
    <row r="1519" spans="1:19" customFormat="1" x14ac:dyDescent="0.45">
      <c r="A1519">
        <v>431269</v>
      </c>
      <c r="B1519" t="s">
        <v>19317</v>
      </c>
      <c r="C1519" t="s">
        <v>16331</v>
      </c>
      <c r="D1519">
        <v>1</v>
      </c>
      <c r="E1519" t="s">
        <v>16331</v>
      </c>
      <c r="F1519" s="126"/>
      <c r="G1519" s="7">
        <v>0</v>
      </c>
      <c r="H1519" s="7">
        <v>0</v>
      </c>
      <c r="I1519" s="7">
        <v>0</v>
      </c>
      <c r="J1519" s="7">
        <v>0</v>
      </c>
      <c r="K1519" s="3">
        <f t="shared" si="56"/>
        <v>0</v>
      </c>
      <c r="L1519" s="3"/>
      <c r="M1519" s="3">
        <f t="shared" si="57"/>
        <v>0</v>
      </c>
      <c r="O1519" s="5"/>
      <c r="S1519" s="6"/>
    </row>
    <row r="1520" spans="1:19" customFormat="1" x14ac:dyDescent="0.45">
      <c r="A1520">
        <v>431351</v>
      </c>
      <c r="B1520" t="s">
        <v>19318</v>
      </c>
      <c r="C1520" t="s">
        <v>16331</v>
      </c>
      <c r="D1520">
        <v>1</v>
      </c>
      <c r="E1520" t="s">
        <v>16331</v>
      </c>
      <c r="F1520" s="126"/>
      <c r="K1520" s="3">
        <f t="shared" si="56"/>
        <v>0</v>
      </c>
      <c r="L1520" s="3"/>
      <c r="M1520" s="3">
        <f t="shared" si="57"/>
        <v>0</v>
      </c>
      <c r="O1520" s="5"/>
      <c r="S1520" s="6"/>
    </row>
    <row r="1521" spans="1:19" customFormat="1" x14ac:dyDescent="0.45">
      <c r="A1521">
        <v>431356</v>
      </c>
      <c r="B1521" t="s">
        <v>19319</v>
      </c>
      <c r="C1521" t="s">
        <v>19320</v>
      </c>
      <c r="D1521">
        <v>1</v>
      </c>
      <c r="F1521" s="126"/>
      <c r="G1521" s="3">
        <v>0</v>
      </c>
      <c r="H1521" s="3">
        <v>0</v>
      </c>
      <c r="I1521" s="3">
        <v>0</v>
      </c>
      <c r="J1521" s="3">
        <v>0</v>
      </c>
      <c r="K1521" s="3">
        <f t="shared" si="56"/>
        <v>0</v>
      </c>
      <c r="L1521" s="3"/>
      <c r="M1521" s="3">
        <f t="shared" si="57"/>
        <v>0</v>
      </c>
      <c r="O1521" s="5"/>
      <c r="S1521" s="6"/>
    </row>
    <row r="1522" spans="1:19" customFormat="1" x14ac:dyDescent="0.45">
      <c r="A1522">
        <v>431387</v>
      </c>
      <c r="B1522" t="s">
        <v>19321</v>
      </c>
      <c r="C1522" t="s">
        <v>19322</v>
      </c>
      <c r="D1522">
        <v>0</v>
      </c>
      <c r="E1522" t="s">
        <v>16561</v>
      </c>
      <c r="F1522" s="126"/>
      <c r="H1522" s="7"/>
      <c r="K1522" s="3">
        <f t="shared" si="56"/>
        <v>0</v>
      </c>
      <c r="L1522" s="3"/>
      <c r="M1522" s="3">
        <f t="shared" si="57"/>
        <v>0</v>
      </c>
      <c r="N1522" t="s">
        <v>19323</v>
      </c>
      <c r="O1522" s="5"/>
      <c r="S1522" s="6"/>
    </row>
    <row r="1523" spans="1:19" customFormat="1" x14ac:dyDescent="0.45">
      <c r="A1523">
        <v>431390</v>
      </c>
      <c r="B1523" t="s">
        <v>19324</v>
      </c>
      <c r="C1523" t="s">
        <v>19325</v>
      </c>
      <c r="D1523">
        <v>3</v>
      </c>
      <c r="F1523" s="126"/>
      <c r="G1523" s="7">
        <v>0</v>
      </c>
      <c r="H1523" s="7">
        <v>0</v>
      </c>
      <c r="I1523" s="7">
        <v>0</v>
      </c>
      <c r="J1523" s="7">
        <v>0</v>
      </c>
      <c r="K1523" s="3">
        <f t="shared" si="56"/>
        <v>0</v>
      </c>
      <c r="L1523" s="3"/>
      <c r="M1523" s="3">
        <f t="shared" si="57"/>
        <v>0</v>
      </c>
      <c r="O1523" s="5"/>
      <c r="S1523" s="6"/>
    </row>
    <row r="1524" spans="1:19" customFormat="1" x14ac:dyDescent="0.45">
      <c r="A1524">
        <v>431467</v>
      </c>
      <c r="B1524" t="s">
        <v>19326</v>
      </c>
      <c r="C1524" t="s">
        <v>19327</v>
      </c>
      <c r="D1524">
        <v>9</v>
      </c>
      <c r="F1524" s="126"/>
      <c r="G1524" s="3">
        <v>0</v>
      </c>
      <c r="H1524" s="3">
        <v>0</v>
      </c>
      <c r="I1524" s="3">
        <v>0</v>
      </c>
      <c r="J1524" s="3">
        <v>0</v>
      </c>
      <c r="K1524" s="3">
        <f t="shared" si="56"/>
        <v>0</v>
      </c>
      <c r="L1524" s="3"/>
      <c r="M1524" s="3">
        <f t="shared" si="57"/>
        <v>0</v>
      </c>
      <c r="O1524" s="5"/>
      <c r="S1524" s="6"/>
    </row>
    <row r="1525" spans="1:19" customFormat="1" x14ac:dyDescent="0.45">
      <c r="A1525">
        <v>431522</v>
      </c>
      <c r="B1525" t="s">
        <v>19328</v>
      </c>
      <c r="C1525" t="s">
        <v>16331</v>
      </c>
      <c r="D1525">
        <v>1</v>
      </c>
      <c r="E1525" t="s">
        <v>16331</v>
      </c>
      <c r="F1525" s="126"/>
      <c r="G1525" s="7">
        <v>0</v>
      </c>
      <c r="H1525" s="7">
        <v>0</v>
      </c>
      <c r="I1525" s="7">
        <v>0</v>
      </c>
      <c r="J1525" s="7">
        <v>0</v>
      </c>
      <c r="K1525" s="3">
        <f t="shared" si="56"/>
        <v>0</v>
      </c>
      <c r="L1525" s="3"/>
      <c r="M1525" s="3">
        <f t="shared" si="57"/>
        <v>0</v>
      </c>
      <c r="O1525" s="5"/>
      <c r="S1525" s="6"/>
    </row>
    <row r="1526" spans="1:19" customFormat="1" x14ac:dyDescent="0.45">
      <c r="A1526">
        <v>431577</v>
      </c>
      <c r="B1526" t="s">
        <v>19329</v>
      </c>
      <c r="C1526" t="s">
        <v>16331</v>
      </c>
      <c r="D1526">
        <v>1</v>
      </c>
      <c r="E1526" t="s">
        <v>16331</v>
      </c>
      <c r="F1526" s="126"/>
      <c r="G1526" s="7">
        <v>0</v>
      </c>
      <c r="H1526" s="7">
        <v>0</v>
      </c>
      <c r="I1526" s="7">
        <v>0</v>
      </c>
      <c r="J1526" s="7">
        <v>0</v>
      </c>
      <c r="K1526" s="3">
        <f t="shared" si="56"/>
        <v>0</v>
      </c>
      <c r="L1526" s="3"/>
      <c r="M1526" s="3">
        <f t="shared" si="57"/>
        <v>0</v>
      </c>
      <c r="O1526" s="5"/>
      <c r="S1526" s="6"/>
    </row>
    <row r="1527" spans="1:19" customFormat="1" x14ac:dyDescent="0.45">
      <c r="A1527">
        <v>431767</v>
      </c>
      <c r="B1527" t="s">
        <v>19330</v>
      </c>
      <c r="C1527" t="s">
        <v>19331</v>
      </c>
      <c r="D1527">
        <v>1</v>
      </c>
      <c r="F1527" s="126"/>
      <c r="G1527" s="7">
        <v>0</v>
      </c>
      <c r="H1527" s="7">
        <v>0</v>
      </c>
      <c r="I1527" s="7">
        <v>0</v>
      </c>
      <c r="J1527" s="7">
        <v>0</v>
      </c>
      <c r="K1527" s="3">
        <f t="shared" si="56"/>
        <v>0</v>
      </c>
      <c r="L1527" s="3"/>
      <c r="M1527" s="3">
        <f t="shared" si="57"/>
        <v>0</v>
      </c>
      <c r="O1527" s="5"/>
      <c r="S1527" s="6"/>
    </row>
    <row r="1528" spans="1:19" customFormat="1" x14ac:dyDescent="0.45">
      <c r="A1528">
        <v>431844</v>
      </c>
      <c r="B1528" t="s">
        <v>19332</v>
      </c>
      <c r="C1528" t="s">
        <v>19333</v>
      </c>
      <c r="D1528">
        <v>0</v>
      </c>
      <c r="E1528" t="s">
        <v>16561</v>
      </c>
      <c r="F1528" s="126"/>
      <c r="G1528" s="7">
        <v>0</v>
      </c>
      <c r="H1528" s="7">
        <v>0</v>
      </c>
      <c r="I1528" s="7">
        <v>0</v>
      </c>
      <c r="J1528" s="7">
        <v>0</v>
      </c>
      <c r="K1528" s="3">
        <f t="shared" si="56"/>
        <v>0</v>
      </c>
      <c r="L1528" s="3"/>
      <c r="M1528" s="3">
        <f t="shared" si="57"/>
        <v>0</v>
      </c>
      <c r="N1528" s="7"/>
      <c r="O1528" s="5"/>
      <c r="S1528" s="6"/>
    </row>
    <row r="1529" spans="1:19" customFormat="1" x14ac:dyDescent="0.45">
      <c r="A1529">
        <v>431882</v>
      </c>
      <c r="B1529" t="s">
        <v>19334</v>
      </c>
      <c r="C1529" t="s">
        <v>19335</v>
      </c>
      <c r="D1529">
        <v>2</v>
      </c>
      <c r="F1529" s="126"/>
      <c r="G1529" s="3">
        <v>0</v>
      </c>
      <c r="H1529" s="3">
        <v>0</v>
      </c>
      <c r="I1529" s="3">
        <v>0</v>
      </c>
      <c r="J1529" s="3">
        <v>0</v>
      </c>
      <c r="K1529" s="3">
        <f t="shared" si="56"/>
        <v>0</v>
      </c>
      <c r="L1529" s="3"/>
      <c r="M1529" s="3">
        <f t="shared" si="57"/>
        <v>0</v>
      </c>
      <c r="O1529" s="5"/>
      <c r="S1529" s="6"/>
    </row>
    <row r="1530" spans="1:19" customFormat="1" x14ac:dyDescent="0.45">
      <c r="A1530">
        <v>431904</v>
      </c>
      <c r="B1530" t="s">
        <v>19336</v>
      </c>
      <c r="C1530" t="s">
        <v>16331</v>
      </c>
      <c r="D1530">
        <v>4</v>
      </c>
      <c r="E1530" t="s">
        <v>16331</v>
      </c>
      <c r="F1530" s="126"/>
      <c r="K1530" s="3">
        <f t="shared" si="56"/>
        <v>0</v>
      </c>
      <c r="L1530" s="3"/>
      <c r="M1530" s="3">
        <f t="shared" si="57"/>
        <v>0</v>
      </c>
      <c r="O1530" s="5"/>
      <c r="S1530" s="6"/>
    </row>
    <row r="1531" spans="1:19" customFormat="1" x14ac:dyDescent="0.45">
      <c r="A1531">
        <v>431908</v>
      </c>
      <c r="B1531" t="s">
        <v>19337</v>
      </c>
      <c r="C1531" t="s">
        <v>16331</v>
      </c>
      <c r="D1531">
        <v>1</v>
      </c>
      <c r="E1531" t="s">
        <v>16331</v>
      </c>
      <c r="F1531" s="126"/>
      <c r="G1531" s="7">
        <v>0</v>
      </c>
      <c r="H1531" s="7">
        <v>0</v>
      </c>
      <c r="I1531" s="7">
        <v>0</v>
      </c>
      <c r="J1531" s="7">
        <v>0</v>
      </c>
      <c r="K1531" s="3">
        <f t="shared" si="56"/>
        <v>0</v>
      </c>
      <c r="L1531" s="3"/>
      <c r="M1531" s="3">
        <f t="shared" si="57"/>
        <v>0</v>
      </c>
      <c r="O1531" s="5"/>
      <c r="S1531" s="6"/>
    </row>
    <row r="1532" spans="1:19" customFormat="1" x14ac:dyDescent="0.45">
      <c r="A1532">
        <v>432009</v>
      </c>
      <c r="B1532" t="s">
        <v>19338</v>
      </c>
      <c r="C1532" t="s">
        <v>16331</v>
      </c>
      <c r="D1532">
        <v>3</v>
      </c>
      <c r="E1532" t="s">
        <v>16331</v>
      </c>
      <c r="F1532" s="126"/>
      <c r="G1532" s="7">
        <v>0</v>
      </c>
      <c r="H1532" s="7">
        <v>0</v>
      </c>
      <c r="I1532" s="7">
        <v>0</v>
      </c>
      <c r="J1532" s="7">
        <v>0</v>
      </c>
      <c r="K1532" s="3">
        <f t="shared" si="56"/>
        <v>0</v>
      </c>
      <c r="L1532" s="3"/>
      <c r="M1532" s="3">
        <f t="shared" si="57"/>
        <v>0</v>
      </c>
      <c r="O1532" s="5"/>
      <c r="S1532" s="6"/>
    </row>
    <row r="1533" spans="1:19" customFormat="1" x14ac:dyDescent="0.45">
      <c r="A1533">
        <v>432014</v>
      </c>
      <c r="B1533" t="s">
        <v>19339</v>
      </c>
      <c r="C1533" t="s">
        <v>19340</v>
      </c>
      <c r="D1533">
        <v>29</v>
      </c>
      <c r="F1533" s="126"/>
      <c r="G1533" s="3">
        <v>0</v>
      </c>
      <c r="H1533" s="3">
        <v>0</v>
      </c>
      <c r="I1533" s="3">
        <v>0</v>
      </c>
      <c r="J1533" s="3">
        <v>0</v>
      </c>
      <c r="K1533" s="3">
        <f t="shared" si="56"/>
        <v>0</v>
      </c>
      <c r="L1533" s="3"/>
      <c r="M1533" s="3">
        <f t="shared" si="57"/>
        <v>0</v>
      </c>
      <c r="O1533" s="5"/>
      <c r="S1533" s="6"/>
    </row>
    <row r="1534" spans="1:19" customFormat="1" x14ac:dyDescent="0.45">
      <c r="A1534">
        <v>432177</v>
      </c>
      <c r="B1534" t="s">
        <v>19341</v>
      </c>
      <c r="C1534" t="s">
        <v>16331</v>
      </c>
      <c r="D1534">
        <v>1</v>
      </c>
      <c r="E1534" t="s">
        <v>16331</v>
      </c>
      <c r="F1534" s="126"/>
      <c r="G1534" s="7">
        <v>0</v>
      </c>
      <c r="H1534" s="7">
        <v>0</v>
      </c>
      <c r="I1534" s="7">
        <v>0</v>
      </c>
      <c r="J1534" s="7">
        <v>0</v>
      </c>
      <c r="K1534" s="3">
        <f t="shared" ref="K1534:K1597" si="58">SUM(G1534:J1534)</f>
        <v>0</v>
      </c>
      <c r="L1534" s="3"/>
      <c r="M1534" s="3">
        <f t="shared" ref="M1534:M1597" si="59">K1534+F1534</f>
        <v>0</v>
      </c>
      <c r="O1534" s="5"/>
      <c r="S1534" s="6"/>
    </row>
    <row r="1535" spans="1:19" customFormat="1" x14ac:dyDescent="0.45">
      <c r="A1535">
        <v>432334</v>
      </c>
      <c r="B1535" t="s">
        <v>19342</v>
      </c>
      <c r="C1535" t="s">
        <v>16331</v>
      </c>
      <c r="D1535">
        <v>1</v>
      </c>
      <c r="E1535" t="s">
        <v>16331</v>
      </c>
      <c r="F1535" s="126"/>
      <c r="G1535" s="7">
        <v>0</v>
      </c>
      <c r="H1535" s="7">
        <v>0</v>
      </c>
      <c r="I1535" s="7">
        <v>0</v>
      </c>
      <c r="J1535" s="7">
        <v>0</v>
      </c>
      <c r="K1535" s="3">
        <f t="shared" si="58"/>
        <v>0</v>
      </c>
      <c r="L1535" s="3"/>
      <c r="M1535" s="3">
        <f t="shared" si="59"/>
        <v>0</v>
      </c>
      <c r="O1535" s="5"/>
      <c r="S1535" s="6"/>
    </row>
    <row r="1536" spans="1:19" customFormat="1" x14ac:dyDescent="0.45">
      <c r="A1536">
        <v>432431</v>
      </c>
      <c r="B1536" t="s">
        <v>19343</v>
      </c>
      <c r="C1536" t="s">
        <v>19344</v>
      </c>
      <c r="D1536">
        <v>4</v>
      </c>
      <c r="F1536" s="126"/>
      <c r="G1536" s="7">
        <v>0</v>
      </c>
      <c r="H1536" s="7">
        <v>0</v>
      </c>
      <c r="I1536" s="7">
        <v>0</v>
      </c>
      <c r="J1536" s="7">
        <v>0</v>
      </c>
      <c r="K1536" s="3">
        <f t="shared" si="58"/>
        <v>0</v>
      </c>
      <c r="L1536" s="3"/>
      <c r="M1536" s="3">
        <f t="shared" si="59"/>
        <v>0</v>
      </c>
      <c r="O1536" s="5"/>
      <c r="S1536" s="6"/>
    </row>
    <row r="1537" spans="1:22" customFormat="1" x14ac:dyDescent="0.45">
      <c r="A1537">
        <v>432451</v>
      </c>
      <c r="B1537" t="s">
        <v>19345</v>
      </c>
      <c r="C1537" t="s">
        <v>19346</v>
      </c>
      <c r="D1537">
        <v>2</v>
      </c>
      <c r="F1537" s="126"/>
      <c r="G1537" s="3">
        <v>0</v>
      </c>
      <c r="H1537" s="3">
        <v>0</v>
      </c>
      <c r="I1537" s="3">
        <v>0</v>
      </c>
      <c r="J1537" s="3">
        <v>0</v>
      </c>
      <c r="K1537" s="3">
        <f t="shared" si="58"/>
        <v>0</v>
      </c>
      <c r="L1537" s="3"/>
      <c r="M1537" s="3">
        <f t="shared" si="59"/>
        <v>0</v>
      </c>
      <c r="O1537" s="5"/>
      <c r="S1537" s="6"/>
    </row>
    <row r="1538" spans="1:22" customFormat="1" x14ac:dyDescent="0.45">
      <c r="A1538">
        <v>432488</v>
      </c>
      <c r="B1538" t="s">
        <v>19347</v>
      </c>
      <c r="C1538" t="s">
        <v>19348</v>
      </c>
      <c r="D1538">
        <v>6</v>
      </c>
      <c r="F1538" s="126"/>
      <c r="G1538" s="7">
        <v>0</v>
      </c>
      <c r="H1538" s="7">
        <v>0</v>
      </c>
      <c r="I1538" s="7">
        <v>0</v>
      </c>
      <c r="J1538" s="7">
        <v>0</v>
      </c>
      <c r="K1538" s="3">
        <f t="shared" si="58"/>
        <v>0</v>
      </c>
      <c r="L1538" s="3"/>
      <c r="M1538" s="3">
        <f t="shared" si="59"/>
        <v>0</v>
      </c>
      <c r="O1538" s="5"/>
      <c r="S1538" s="6"/>
    </row>
    <row r="1539" spans="1:22" x14ac:dyDescent="0.45">
      <c r="A1539" s="124">
        <v>513655</v>
      </c>
      <c r="B1539" s="124" t="s">
        <v>19349</v>
      </c>
      <c r="C1539" s="125" t="s">
        <v>19350</v>
      </c>
      <c r="D1539" s="124">
        <v>66</v>
      </c>
      <c r="E1539" s="124" t="s">
        <v>16334</v>
      </c>
      <c r="F1539" s="126">
        <v>1.6999999999999999E-3</v>
      </c>
      <c r="G1539" s="126">
        <v>0.03</v>
      </c>
      <c r="H1539" s="126"/>
      <c r="I1539" s="127">
        <v>0</v>
      </c>
      <c r="J1539" s="127">
        <v>1E-3</v>
      </c>
      <c r="K1539" s="126">
        <f t="shared" si="58"/>
        <v>3.1E-2</v>
      </c>
      <c r="L1539" s="3"/>
      <c r="M1539" s="126">
        <f t="shared" si="59"/>
        <v>3.27E-2</v>
      </c>
      <c r="N1539" s="124" t="s">
        <v>19351</v>
      </c>
      <c r="O1539" s="131" t="s">
        <v>19352</v>
      </c>
      <c r="P1539" s="128" t="s">
        <v>26918</v>
      </c>
      <c r="Q1539" s="130">
        <f>400112+263897</f>
        <v>664009</v>
      </c>
      <c r="R1539" s="124" t="s">
        <v>16348</v>
      </c>
      <c r="S1539" s="132">
        <v>3809497</v>
      </c>
      <c r="T1539" s="129">
        <f>S1539/Q1539</f>
        <v>5.7371165149869956</v>
      </c>
      <c r="V1539" s="125" t="s">
        <v>19353</v>
      </c>
    </row>
    <row r="1540" spans="1:22" customFormat="1" x14ac:dyDescent="0.45">
      <c r="A1540">
        <v>432689</v>
      </c>
      <c r="B1540" t="s">
        <v>19354</v>
      </c>
      <c r="C1540" t="s">
        <v>16331</v>
      </c>
      <c r="D1540">
        <v>1</v>
      </c>
      <c r="E1540" t="s">
        <v>16331</v>
      </c>
      <c r="F1540" s="126"/>
      <c r="K1540" s="3">
        <f t="shared" si="58"/>
        <v>0</v>
      </c>
      <c r="L1540" s="3"/>
      <c r="M1540" s="3">
        <f t="shared" si="59"/>
        <v>0</v>
      </c>
      <c r="O1540" s="5"/>
      <c r="S1540" s="6"/>
    </row>
    <row r="1541" spans="1:22" customFormat="1" x14ac:dyDescent="0.45">
      <c r="A1541">
        <v>432722</v>
      </c>
      <c r="B1541" t="s">
        <v>19355</v>
      </c>
      <c r="C1541" t="s">
        <v>19356</v>
      </c>
      <c r="D1541">
        <v>2</v>
      </c>
      <c r="F1541" s="126"/>
      <c r="G1541" s="7">
        <v>0</v>
      </c>
      <c r="H1541" s="7">
        <v>0</v>
      </c>
      <c r="I1541" s="7">
        <v>0</v>
      </c>
      <c r="J1541" s="7">
        <v>0</v>
      </c>
      <c r="K1541" s="3">
        <f t="shared" si="58"/>
        <v>0</v>
      </c>
      <c r="L1541" s="3"/>
      <c r="M1541" s="3">
        <f t="shared" si="59"/>
        <v>0</v>
      </c>
      <c r="O1541" s="5"/>
      <c r="S1541" s="6"/>
    </row>
    <row r="1542" spans="1:22" customFormat="1" x14ac:dyDescent="0.45">
      <c r="A1542">
        <v>432748</v>
      </c>
      <c r="B1542" t="s">
        <v>19357</v>
      </c>
      <c r="C1542" t="s">
        <v>16331</v>
      </c>
      <c r="D1542">
        <v>1</v>
      </c>
      <c r="E1542" t="s">
        <v>16331</v>
      </c>
      <c r="F1542" s="126"/>
      <c r="G1542" s="7">
        <v>0</v>
      </c>
      <c r="H1542" s="7">
        <v>0</v>
      </c>
      <c r="I1542" s="7">
        <v>0</v>
      </c>
      <c r="J1542" s="7">
        <v>0</v>
      </c>
      <c r="K1542" s="3">
        <f t="shared" si="58"/>
        <v>0</v>
      </c>
      <c r="L1542" s="3"/>
      <c r="M1542" s="3">
        <f t="shared" si="59"/>
        <v>0</v>
      </c>
      <c r="O1542" s="5"/>
      <c r="S1542" s="6"/>
    </row>
    <row r="1543" spans="1:22" customFormat="1" x14ac:dyDescent="0.45">
      <c r="A1543">
        <v>432784</v>
      </c>
      <c r="B1543" t="s">
        <v>19358</v>
      </c>
      <c r="C1543" t="s">
        <v>19359</v>
      </c>
      <c r="D1543">
        <v>2</v>
      </c>
      <c r="F1543" s="126"/>
      <c r="G1543" s="3">
        <v>0</v>
      </c>
      <c r="H1543" s="3">
        <v>0</v>
      </c>
      <c r="I1543" s="3">
        <v>0</v>
      </c>
      <c r="J1543" s="3">
        <v>0</v>
      </c>
      <c r="K1543" s="3">
        <f t="shared" si="58"/>
        <v>0</v>
      </c>
      <c r="L1543" s="3"/>
      <c r="M1543" s="3">
        <f t="shared" si="59"/>
        <v>0</v>
      </c>
      <c r="O1543" s="5"/>
      <c r="S1543" s="6"/>
    </row>
    <row r="1544" spans="1:22" customFormat="1" x14ac:dyDescent="0.45">
      <c r="A1544">
        <v>432886</v>
      </c>
      <c r="B1544" t="s">
        <v>19360</v>
      </c>
      <c r="C1544" t="s">
        <v>19361</v>
      </c>
      <c r="D1544">
        <v>7</v>
      </c>
      <c r="F1544" s="126"/>
      <c r="K1544" s="3">
        <f t="shared" si="58"/>
        <v>0</v>
      </c>
      <c r="L1544" s="3"/>
      <c r="M1544" s="3">
        <f t="shared" si="59"/>
        <v>0</v>
      </c>
      <c r="O1544" s="5"/>
      <c r="S1544" s="6"/>
    </row>
    <row r="1545" spans="1:22" customFormat="1" x14ac:dyDescent="0.45">
      <c r="A1545">
        <v>432949</v>
      </c>
      <c r="B1545" t="s">
        <v>19362</v>
      </c>
      <c r="C1545" t="s">
        <v>16331</v>
      </c>
      <c r="D1545">
        <v>0</v>
      </c>
      <c r="E1545" t="s">
        <v>16331</v>
      </c>
      <c r="F1545" s="126"/>
      <c r="G1545" s="7">
        <v>0</v>
      </c>
      <c r="H1545" s="7">
        <v>0</v>
      </c>
      <c r="I1545" s="7">
        <v>0</v>
      </c>
      <c r="J1545" s="7">
        <v>0</v>
      </c>
      <c r="K1545" s="3">
        <f t="shared" si="58"/>
        <v>0</v>
      </c>
      <c r="L1545" s="3"/>
      <c r="M1545" s="3">
        <f t="shared" si="59"/>
        <v>0</v>
      </c>
      <c r="O1545" s="5"/>
      <c r="S1545" s="6"/>
    </row>
    <row r="1546" spans="1:22" customFormat="1" x14ac:dyDescent="0.45">
      <c r="A1546">
        <v>432965</v>
      </c>
      <c r="B1546" t="s">
        <v>19363</v>
      </c>
      <c r="C1546" t="s">
        <v>19364</v>
      </c>
      <c r="D1546">
        <v>2</v>
      </c>
      <c r="F1546" s="126"/>
      <c r="G1546" s="7">
        <v>0</v>
      </c>
      <c r="H1546" s="7">
        <v>0</v>
      </c>
      <c r="I1546" s="7">
        <v>0</v>
      </c>
      <c r="J1546" s="7">
        <v>0</v>
      </c>
      <c r="K1546" s="3">
        <f t="shared" si="58"/>
        <v>0</v>
      </c>
      <c r="L1546" s="3"/>
      <c r="M1546" s="3">
        <f t="shared" si="59"/>
        <v>0</v>
      </c>
      <c r="N1546" s="7"/>
      <c r="O1546" s="5"/>
      <c r="S1546" s="6"/>
    </row>
    <row r="1547" spans="1:22" customFormat="1" x14ac:dyDescent="0.45">
      <c r="A1547">
        <v>433008</v>
      </c>
      <c r="B1547" t="s">
        <v>19365</v>
      </c>
      <c r="C1547" t="s">
        <v>19366</v>
      </c>
      <c r="D1547">
        <v>4</v>
      </c>
      <c r="F1547" s="126"/>
      <c r="G1547" s="7">
        <v>0</v>
      </c>
      <c r="H1547" s="7">
        <v>0</v>
      </c>
      <c r="I1547" s="7">
        <v>0</v>
      </c>
      <c r="J1547" s="7">
        <v>0</v>
      </c>
      <c r="K1547" s="3">
        <f t="shared" si="58"/>
        <v>0</v>
      </c>
      <c r="L1547" s="3"/>
      <c r="M1547" s="3">
        <f t="shared" si="59"/>
        <v>0</v>
      </c>
      <c r="O1547" s="5"/>
      <c r="S1547" s="6"/>
    </row>
    <row r="1548" spans="1:22" customFormat="1" x14ac:dyDescent="0.45">
      <c r="A1548">
        <v>433052</v>
      </c>
      <c r="B1548" t="s">
        <v>19367</v>
      </c>
      <c r="C1548" s="2" t="s">
        <v>19368</v>
      </c>
      <c r="D1548">
        <v>7</v>
      </c>
      <c r="F1548" s="126"/>
      <c r="G1548" s="3">
        <v>0</v>
      </c>
      <c r="H1548" s="3">
        <v>0</v>
      </c>
      <c r="I1548" s="3">
        <v>0</v>
      </c>
      <c r="J1548" s="3">
        <v>0</v>
      </c>
      <c r="K1548" s="3">
        <f t="shared" si="58"/>
        <v>0</v>
      </c>
      <c r="L1548" s="3"/>
      <c r="M1548" s="3">
        <f t="shared" si="59"/>
        <v>0</v>
      </c>
      <c r="O1548" s="5"/>
      <c r="S1548" s="6"/>
    </row>
    <row r="1549" spans="1:22" customFormat="1" x14ac:dyDescent="0.45">
      <c r="A1549">
        <v>433181</v>
      </c>
      <c r="B1549" t="s">
        <v>19369</v>
      </c>
      <c r="C1549" t="s">
        <v>19370</v>
      </c>
      <c r="D1549">
        <v>8</v>
      </c>
      <c r="F1549" s="126"/>
      <c r="K1549" s="3">
        <f t="shared" si="58"/>
        <v>0</v>
      </c>
      <c r="L1549" s="3"/>
      <c r="M1549" s="3">
        <f t="shared" si="59"/>
        <v>0</v>
      </c>
      <c r="O1549" s="5"/>
      <c r="S1549" s="6"/>
    </row>
    <row r="1550" spans="1:22" customFormat="1" x14ac:dyDescent="0.45">
      <c r="A1550">
        <v>433207</v>
      </c>
      <c r="B1550" t="s">
        <v>19371</v>
      </c>
      <c r="C1550" t="s">
        <v>16331</v>
      </c>
      <c r="D1550">
        <v>1</v>
      </c>
      <c r="E1550" t="s">
        <v>16331</v>
      </c>
      <c r="F1550" s="126"/>
      <c r="G1550" s="7">
        <v>0</v>
      </c>
      <c r="H1550" s="7">
        <v>0</v>
      </c>
      <c r="I1550" s="7">
        <v>0</v>
      </c>
      <c r="J1550" s="7">
        <v>0</v>
      </c>
      <c r="K1550" s="3">
        <f t="shared" si="58"/>
        <v>0</v>
      </c>
      <c r="L1550" s="3"/>
      <c r="M1550" s="3">
        <f t="shared" si="59"/>
        <v>0</v>
      </c>
      <c r="O1550" s="5"/>
      <c r="S1550" s="6"/>
    </row>
    <row r="1551" spans="1:22" customFormat="1" x14ac:dyDescent="0.45">
      <c r="A1551">
        <v>433208</v>
      </c>
      <c r="B1551" t="s">
        <v>19372</v>
      </c>
      <c r="C1551" t="s">
        <v>19373</v>
      </c>
      <c r="D1551">
        <v>6</v>
      </c>
      <c r="E1551" t="s">
        <v>19374</v>
      </c>
      <c r="F1551" s="126"/>
      <c r="G1551" s="3">
        <v>0</v>
      </c>
      <c r="H1551" s="3">
        <v>0</v>
      </c>
      <c r="I1551" s="3">
        <v>0</v>
      </c>
      <c r="J1551" s="3">
        <v>0</v>
      </c>
      <c r="K1551" s="3">
        <f t="shared" si="58"/>
        <v>0</v>
      </c>
      <c r="L1551" s="3"/>
      <c r="M1551" s="3">
        <f t="shared" si="59"/>
        <v>0</v>
      </c>
      <c r="O1551" s="5"/>
      <c r="P1551">
        <f>O1551*0.02</f>
        <v>0</v>
      </c>
      <c r="S1551" s="6"/>
    </row>
    <row r="1552" spans="1:22" customFormat="1" x14ac:dyDescent="0.45">
      <c r="A1552">
        <v>433288</v>
      </c>
      <c r="B1552" t="s">
        <v>19375</v>
      </c>
      <c r="C1552" t="s">
        <v>19376</v>
      </c>
      <c r="D1552">
        <v>4</v>
      </c>
      <c r="F1552" s="126"/>
      <c r="G1552" s="3">
        <v>0</v>
      </c>
      <c r="H1552" s="3">
        <v>0</v>
      </c>
      <c r="I1552" s="3">
        <v>0</v>
      </c>
      <c r="J1552" s="3">
        <v>0</v>
      </c>
      <c r="K1552" s="3">
        <f t="shared" si="58"/>
        <v>0</v>
      </c>
      <c r="L1552" s="3"/>
      <c r="M1552" s="3">
        <f t="shared" si="59"/>
        <v>0</v>
      </c>
      <c r="O1552" s="5"/>
      <c r="S1552" s="6"/>
    </row>
    <row r="1553" spans="1:22" customFormat="1" x14ac:dyDescent="0.45">
      <c r="A1553">
        <v>433429</v>
      </c>
      <c r="B1553" t="s">
        <v>19377</v>
      </c>
      <c r="C1553" t="s">
        <v>16331</v>
      </c>
      <c r="D1553">
        <v>2</v>
      </c>
      <c r="E1553" t="s">
        <v>16331</v>
      </c>
      <c r="F1553" s="126"/>
      <c r="G1553" s="7">
        <v>0</v>
      </c>
      <c r="H1553" s="7">
        <v>0</v>
      </c>
      <c r="I1553" s="7">
        <v>0</v>
      </c>
      <c r="J1553" s="7">
        <v>0</v>
      </c>
      <c r="K1553" s="3">
        <f t="shared" si="58"/>
        <v>0</v>
      </c>
      <c r="L1553" s="3"/>
      <c r="M1553" s="3">
        <f t="shared" si="59"/>
        <v>0</v>
      </c>
      <c r="O1553" s="5"/>
      <c r="S1553" s="6"/>
    </row>
    <row r="1554" spans="1:22" customFormat="1" x14ac:dyDescent="0.45">
      <c r="A1554">
        <v>433591</v>
      </c>
      <c r="B1554" t="s">
        <v>19378</v>
      </c>
      <c r="C1554" t="s">
        <v>19379</v>
      </c>
      <c r="D1554">
        <v>20</v>
      </c>
      <c r="F1554" s="126"/>
      <c r="G1554" s="3">
        <v>0</v>
      </c>
      <c r="H1554" s="3">
        <v>0</v>
      </c>
      <c r="I1554" s="3">
        <v>0</v>
      </c>
      <c r="J1554" s="3">
        <v>0</v>
      </c>
      <c r="K1554" s="3">
        <f t="shared" si="58"/>
        <v>0</v>
      </c>
      <c r="L1554" s="3"/>
      <c r="M1554" s="3">
        <f t="shared" si="59"/>
        <v>0</v>
      </c>
      <c r="O1554" s="5"/>
      <c r="S1554" s="6"/>
    </row>
    <row r="1555" spans="1:22" customFormat="1" x14ac:dyDescent="0.45">
      <c r="A1555">
        <v>433784</v>
      </c>
      <c r="B1555" t="s">
        <v>19380</v>
      </c>
      <c r="C1555" t="s">
        <v>19381</v>
      </c>
      <c r="D1555">
        <v>1</v>
      </c>
      <c r="F1555" s="126"/>
      <c r="G1555" s="7">
        <v>0</v>
      </c>
      <c r="H1555" s="7">
        <v>0</v>
      </c>
      <c r="I1555" s="7">
        <v>0</v>
      </c>
      <c r="J1555" s="7">
        <v>0</v>
      </c>
      <c r="K1555" s="3">
        <f t="shared" si="58"/>
        <v>0</v>
      </c>
      <c r="L1555" s="3"/>
      <c r="M1555" s="3">
        <f t="shared" si="59"/>
        <v>0</v>
      </c>
      <c r="O1555" s="5"/>
      <c r="S1555" s="6"/>
    </row>
    <row r="1556" spans="1:22" x14ac:dyDescent="0.45">
      <c r="A1556" s="124">
        <v>746535</v>
      </c>
      <c r="B1556" s="124" t="s">
        <v>19382</v>
      </c>
      <c r="C1556" s="124" t="s">
        <v>19383</v>
      </c>
      <c r="D1556" s="124">
        <v>1</v>
      </c>
      <c r="E1556" s="124" t="s">
        <v>16334</v>
      </c>
      <c r="F1556" s="126">
        <v>1.6999999999999999E-3</v>
      </c>
      <c r="G1556" s="126"/>
      <c r="H1556" s="126"/>
      <c r="I1556" s="127">
        <v>2.7E-2</v>
      </c>
      <c r="J1556" s="127">
        <v>5.0000000000000001E-3</v>
      </c>
      <c r="K1556" s="126">
        <f t="shared" si="58"/>
        <v>3.2000000000000001E-2</v>
      </c>
      <c r="L1556" s="3"/>
      <c r="M1556" s="126">
        <f t="shared" si="59"/>
        <v>3.3700000000000001E-2</v>
      </c>
      <c r="O1556" s="131" t="s">
        <v>19384</v>
      </c>
      <c r="P1556" s="128" t="s">
        <v>26918</v>
      </c>
      <c r="Q1556" s="124">
        <f>36975+2900</f>
        <v>39875</v>
      </c>
      <c r="R1556" s="124" t="s">
        <v>16348</v>
      </c>
      <c r="S1556" s="132">
        <v>36626</v>
      </c>
      <c r="T1556" s="129">
        <f>S1556/Q1556</f>
        <v>0.9185203761755486</v>
      </c>
      <c r="V1556" s="125" t="s">
        <v>19385</v>
      </c>
    </row>
    <row r="1557" spans="1:22" customFormat="1" x14ac:dyDescent="0.45">
      <c r="A1557">
        <v>434317</v>
      </c>
      <c r="B1557" t="s">
        <v>19386</v>
      </c>
      <c r="C1557" t="s">
        <v>19387</v>
      </c>
      <c r="D1557">
        <v>2</v>
      </c>
      <c r="F1557" s="126"/>
      <c r="G1557" s="7">
        <v>0</v>
      </c>
      <c r="H1557" s="7">
        <v>0</v>
      </c>
      <c r="I1557" s="7">
        <v>0</v>
      </c>
      <c r="J1557" s="7">
        <v>0</v>
      </c>
      <c r="K1557" s="3">
        <f t="shared" si="58"/>
        <v>0</v>
      </c>
      <c r="L1557" s="3"/>
      <c r="M1557" s="3">
        <f t="shared" si="59"/>
        <v>0</v>
      </c>
      <c r="O1557" s="5"/>
      <c r="S1557" s="6"/>
    </row>
    <row r="1558" spans="1:22" x14ac:dyDescent="0.45">
      <c r="A1558" s="124">
        <v>189461</v>
      </c>
      <c r="B1558" s="124" t="s">
        <v>19388</v>
      </c>
      <c r="C1558" s="124" t="s">
        <v>19389</v>
      </c>
      <c r="D1558" s="124">
        <v>3</v>
      </c>
      <c r="E1558" s="124" t="s">
        <v>16334</v>
      </c>
      <c r="F1558" s="126">
        <v>1.6999999999999999E-3</v>
      </c>
      <c r="G1558" s="126">
        <v>0.01</v>
      </c>
      <c r="H1558" s="126">
        <v>0.01</v>
      </c>
      <c r="I1558" s="127">
        <v>0</v>
      </c>
      <c r="J1558" s="127">
        <v>0</v>
      </c>
      <c r="K1558" s="126">
        <f t="shared" si="58"/>
        <v>0.02</v>
      </c>
      <c r="L1558" s="3"/>
      <c r="M1558" s="126">
        <f t="shared" si="59"/>
        <v>2.1700000000000001E-2</v>
      </c>
      <c r="O1558" s="125" t="s">
        <v>19390</v>
      </c>
      <c r="P1558" s="128" t="s">
        <v>26918</v>
      </c>
      <c r="Q1558" s="130">
        <f>284423+18142</f>
        <v>302565</v>
      </c>
      <c r="R1558" s="124" t="s">
        <v>16348</v>
      </c>
      <c r="S1558" s="130">
        <v>135038</v>
      </c>
      <c r="T1558" s="129">
        <f>S1558/Q1558</f>
        <v>0.44631071009535139</v>
      </c>
      <c r="V1558" s="125" t="s">
        <v>19391</v>
      </c>
    </row>
    <row r="1559" spans="1:22" customFormat="1" x14ac:dyDescent="0.45">
      <c r="A1559">
        <v>434722</v>
      </c>
      <c r="B1559" t="s">
        <v>19392</v>
      </c>
      <c r="C1559" t="s">
        <v>19393</v>
      </c>
      <c r="D1559">
        <v>1</v>
      </c>
      <c r="F1559" s="126"/>
      <c r="G1559" s="7">
        <v>0</v>
      </c>
      <c r="H1559" s="7">
        <v>0</v>
      </c>
      <c r="I1559" s="7">
        <v>0</v>
      </c>
      <c r="J1559" s="7">
        <v>0</v>
      </c>
      <c r="K1559" s="3">
        <f t="shared" si="58"/>
        <v>0</v>
      </c>
      <c r="L1559" s="3"/>
      <c r="M1559" s="3">
        <f t="shared" si="59"/>
        <v>0</v>
      </c>
      <c r="O1559" s="5"/>
      <c r="S1559" s="6"/>
    </row>
    <row r="1560" spans="1:22" customFormat="1" x14ac:dyDescent="0.45">
      <c r="A1560">
        <v>434724</v>
      </c>
      <c r="B1560" t="s">
        <v>19394</v>
      </c>
      <c r="C1560" t="s">
        <v>19395</v>
      </c>
      <c r="D1560">
        <v>2</v>
      </c>
      <c r="F1560" s="126"/>
      <c r="G1560" s="7">
        <v>0</v>
      </c>
      <c r="H1560" s="7">
        <v>0</v>
      </c>
      <c r="I1560" s="7">
        <v>0</v>
      </c>
      <c r="J1560" s="7">
        <v>0</v>
      </c>
      <c r="K1560" s="3">
        <f t="shared" si="58"/>
        <v>0</v>
      </c>
      <c r="L1560" s="3"/>
      <c r="M1560" s="3">
        <f t="shared" si="59"/>
        <v>0</v>
      </c>
      <c r="O1560" s="5"/>
      <c r="S1560" s="6"/>
    </row>
    <row r="1561" spans="1:22" customFormat="1" x14ac:dyDescent="0.45">
      <c r="A1561">
        <v>434743</v>
      </c>
      <c r="B1561" t="s">
        <v>19396</v>
      </c>
      <c r="C1561" t="s">
        <v>19397</v>
      </c>
      <c r="D1561">
        <v>1</v>
      </c>
      <c r="F1561" s="126"/>
      <c r="G1561" s="7">
        <v>0</v>
      </c>
      <c r="H1561" s="7">
        <v>0</v>
      </c>
      <c r="I1561" s="7">
        <v>0</v>
      </c>
      <c r="J1561" s="7">
        <v>0</v>
      </c>
      <c r="K1561" s="3">
        <f t="shared" si="58"/>
        <v>0</v>
      </c>
      <c r="L1561" s="3"/>
      <c r="M1561" s="3">
        <f t="shared" si="59"/>
        <v>0</v>
      </c>
      <c r="O1561" s="5"/>
      <c r="S1561" s="6"/>
    </row>
    <row r="1562" spans="1:22" x14ac:dyDescent="0.45">
      <c r="A1562" s="124">
        <v>300635</v>
      </c>
      <c r="B1562" s="124" t="s">
        <v>19398</v>
      </c>
      <c r="C1562" s="125" t="s">
        <v>19399</v>
      </c>
      <c r="D1562" s="124">
        <v>6</v>
      </c>
      <c r="E1562" s="124" t="s">
        <v>16334</v>
      </c>
      <c r="F1562" s="126">
        <v>1.6999999999999999E-3</v>
      </c>
      <c r="G1562" s="126">
        <v>2.5000000000000001E-2</v>
      </c>
      <c r="H1562" s="126">
        <v>5.0000000000000001E-3</v>
      </c>
      <c r="I1562" s="127"/>
      <c r="J1562" s="127"/>
      <c r="K1562" s="126">
        <f t="shared" si="58"/>
        <v>3.0000000000000002E-2</v>
      </c>
      <c r="L1562" s="3"/>
      <c r="M1562" s="126">
        <f t="shared" si="59"/>
        <v>3.1699999999999999E-2</v>
      </c>
      <c r="O1562" s="125" t="s">
        <v>19400</v>
      </c>
      <c r="P1562" s="128" t="s">
        <v>26918</v>
      </c>
      <c r="Q1562" s="130">
        <f>8996+5683205</f>
        <v>5692201</v>
      </c>
      <c r="R1562" s="124" t="s">
        <v>16348</v>
      </c>
      <c r="S1562" s="130">
        <v>5131043</v>
      </c>
      <c r="T1562" s="129">
        <f>S1562/Q1562</f>
        <v>0.90141634141169646</v>
      </c>
      <c r="V1562" s="125" t="s">
        <v>19401</v>
      </c>
    </row>
    <row r="1563" spans="1:22" customFormat="1" x14ac:dyDescent="0.45">
      <c r="A1563">
        <v>434931</v>
      </c>
      <c r="B1563" t="s">
        <v>19402</v>
      </c>
      <c r="C1563" t="s">
        <v>19403</v>
      </c>
      <c r="D1563">
        <v>19</v>
      </c>
      <c r="F1563" s="126"/>
      <c r="K1563" s="3">
        <f t="shared" si="58"/>
        <v>0</v>
      </c>
      <c r="L1563" s="3"/>
      <c r="M1563" s="3">
        <f t="shared" si="59"/>
        <v>0</v>
      </c>
      <c r="O1563" s="5"/>
      <c r="S1563" s="6"/>
    </row>
    <row r="1564" spans="1:22" customFormat="1" x14ac:dyDescent="0.45">
      <c r="A1564">
        <v>435135</v>
      </c>
      <c r="B1564" t="s">
        <v>19404</v>
      </c>
      <c r="C1564" t="s">
        <v>19405</v>
      </c>
      <c r="D1564">
        <v>3</v>
      </c>
      <c r="F1564" s="126"/>
      <c r="G1564" s="7">
        <v>0</v>
      </c>
      <c r="H1564" s="7">
        <v>0</v>
      </c>
      <c r="I1564" s="7">
        <v>0</v>
      </c>
      <c r="J1564" s="7">
        <v>0</v>
      </c>
      <c r="K1564" s="3">
        <f t="shared" si="58"/>
        <v>0</v>
      </c>
      <c r="L1564" s="3"/>
      <c r="M1564" s="3">
        <f t="shared" si="59"/>
        <v>0</v>
      </c>
      <c r="O1564" s="5"/>
      <c r="S1564" s="6"/>
    </row>
    <row r="1565" spans="1:22" customFormat="1" x14ac:dyDescent="0.45">
      <c r="A1565">
        <v>435190</v>
      </c>
      <c r="B1565" t="s">
        <v>19406</v>
      </c>
      <c r="C1565" t="s">
        <v>19407</v>
      </c>
      <c r="D1565">
        <v>4</v>
      </c>
      <c r="F1565" s="126"/>
      <c r="K1565" s="3">
        <f t="shared" si="58"/>
        <v>0</v>
      </c>
      <c r="L1565" s="3"/>
      <c r="M1565" s="3">
        <f t="shared" si="59"/>
        <v>0</v>
      </c>
      <c r="O1565" s="5"/>
      <c r="S1565" s="6"/>
    </row>
    <row r="1566" spans="1:22" customFormat="1" x14ac:dyDescent="0.45">
      <c r="A1566">
        <v>435238</v>
      </c>
      <c r="B1566" t="s">
        <v>19408</v>
      </c>
      <c r="C1566" t="s">
        <v>19409</v>
      </c>
      <c r="D1566">
        <v>2</v>
      </c>
      <c r="F1566" s="126"/>
      <c r="G1566" s="7">
        <v>0</v>
      </c>
      <c r="H1566" s="7">
        <v>0</v>
      </c>
      <c r="I1566" s="7">
        <v>0</v>
      </c>
      <c r="J1566" s="7">
        <v>0</v>
      </c>
      <c r="K1566" s="3">
        <f t="shared" si="58"/>
        <v>0</v>
      </c>
      <c r="L1566" s="3"/>
      <c r="M1566" s="3">
        <f t="shared" si="59"/>
        <v>0</v>
      </c>
      <c r="O1566" s="5"/>
      <c r="S1566" s="6"/>
    </row>
    <row r="1567" spans="1:22" customFormat="1" x14ac:dyDescent="0.45">
      <c r="A1567">
        <v>435492</v>
      </c>
      <c r="B1567" t="s">
        <v>19410</v>
      </c>
      <c r="C1567" t="s">
        <v>19411</v>
      </c>
      <c r="D1567">
        <v>3</v>
      </c>
      <c r="F1567" s="126"/>
      <c r="G1567" s="7">
        <v>0</v>
      </c>
      <c r="H1567" s="7">
        <v>0</v>
      </c>
      <c r="I1567" s="7">
        <v>0</v>
      </c>
      <c r="J1567" s="7">
        <v>0</v>
      </c>
      <c r="K1567" s="3">
        <f t="shared" si="58"/>
        <v>0</v>
      </c>
      <c r="L1567" s="3"/>
      <c r="M1567" s="3">
        <f t="shared" si="59"/>
        <v>0</v>
      </c>
      <c r="O1567" s="5"/>
      <c r="S1567" s="6"/>
    </row>
    <row r="1568" spans="1:22" customFormat="1" x14ac:dyDescent="0.45">
      <c r="A1568">
        <v>435878</v>
      </c>
      <c r="B1568" t="s">
        <v>19412</v>
      </c>
      <c r="C1568" t="s">
        <v>19413</v>
      </c>
      <c r="D1568">
        <v>3</v>
      </c>
      <c r="F1568" s="126"/>
      <c r="K1568" s="3">
        <f t="shared" si="58"/>
        <v>0</v>
      </c>
      <c r="L1568" s="3"/>
      <c r="M1568" s="3">
        <f t="shared" si="59"/>
        <v>0</v>
      </c>
      <c r="O1568" s="5"/>
      <c r="S1568" s="6"/>
    </row>
    <row r="1569" spans="1:22" customFormat="1" x14ac:dyDescent="0.45">
      <c r="A1569">
        <v>435939</v>
      </c>
      <c r="B1569" t="s">
        <v>19414</v>
      </c>
      <c r="C1569" t="s">
        <v>19415</v>
      </c>
      <c r="D1569">
        <v>2</v>
      </c>
      <c r="F1569" s="126"/>
      <c r="G1569" s="7">
        <v>0</v>
      </c>
      <c r="H1569" s="7">
        <v>0</v>
      </c>
      <c r="I1569" s="7">
        <v>0</v>
      </c>
      <c r="J1569" s="7">
        <v>0</v>
      </c>
      <c r="K1569" s="3">
        <f t="shared" si="58"/>
        <v>0</v>
      </c>
      <c r="L1569" s="3"/>
      <c r="M1569" s="3">
        <f t="shared" si="59"/>
        <v>0</v>
      </c>
      <c r="O1569" s="5"/>
      <c r="S1569" s="6"/>
    </row>
    <row r="1570" spans="1:22" x14ac:dyDescent="0.45">
      <c r="A1570" s="124">
        <v>577482</v>
      </c>
      <c r="B1570" s="124" t="s">
        <v>19416</v>
      </c>
      <c r="C1570" s="124" t="s">
        <v>19417</v>
      </c>
      <c r="D1570" s="124">
        <v>7</v>
      </c>
      <c r="E1570" s="124" t="s">
        <v>16334</v>
      </c>
      <c r="F1570" s="126">
        <v>1.6999999999999999E-3</v>
      </c>
      <c r="G1570" s="126"/>
      <c r="H1570" s="126"/>
      <c r="I1570" s="127">
        <v>0.02</v>
      </c>
      <c r="J1570" s="127">
        <v>0.02</v>
      </c>
      <c r="K1570" s="126">
        <f t="shared" si="58"/>
        <v>0.04</v>
      </c>
      <c r="L1570" s="3"/>
      <c r="M1570" s="126">
        <f t="shared" si="59"/>
        <v>4.1700000000000001E-2</v>
      </c>
      <c r="N1570" s="124" t="s">
        <v>19418</v>
      </c>
      <c r="O1570" s="131" t="s">
        <v>19418</v>
      </c>
      <c r="P1570" s="128" t="s">
        <v>26918</v>
      </c>
      <c r="Q1570" s="130">
        <f>169163+10725</f>
        <v>179888</v>
      </c>
      <c r="R1570" s="124" t="s">
        <v>16348</v>
      </c>
      <c r="S1570" s="132">
        <v>-207280</v>
      </c>
      <c r="T1570" s="129">
        <f>S1570/Q1570</f>
        <v>-1.1522725251267456</v>
      </c>
      <c r="V1570" s="125" t="s">
        <v>19419</v>
      </c>
    </row>
    <row r="1571" spans="1:22" customFormat="1" x14ac:dyDescent="0.45">
      <c r="A1571">
        <v>436040</v>
      </c>
      <c r="B1571" t="s">
        <v>19420</v>
      </c>
      <c r="C1571" t="s">
        <v>19421</v>
      </c>
      <c r="D1571">
        <v>6</v>
      </c>
      <c r="F1571" s="126"/>
      <c r="G1571" s="7">
        <v>0</v>
      </c>
      <c r="H1571" s="7">
        <v>0</v>
      </c>
      <c r="I1571" s="7">
        <v>0</v>
      </c>
      <c r="J1571" s="7">
        <v>0</v>
      </c>
      <c r="K1571" s="3">
        <f t="shared" si="58"/>
        <v>0</v>
      </c>
      <c r="L1571" s="3"/>
      <c r="M1571" s="3">
        <f t="shared" si="59"/>
        <v>0</v>
      </c>
      <c r="O1571" s="5"/>
      <c r="S1571" s="6"/>
    </row>
    <row r="1572" spans="1:22" customFormat="1" x14ac:dyDescent="0.45">
      <c r="A1572">
        <v>436063</v>
      </c>
      <c r="B1572" t="s">
        <v>19422</v>
      </c>
      <c r="C1572" t="s">
        <v>16331</v>
      </c>
      <c r="D1572">
        <v>2</v>
      </c>
      <c r="E1572" t="s">
        <v>16331</v>
      </c>
      <c r="F1572" s="126"/>
      <c r="G1572" s="7">
        <v>0</v>
      </c>
      <c r="H1572" s="7">
        <v>0</v>
      </c>
      <c r="I1572" s="7">
        <v>0</v>
      </c>
      <c r="J1572" s="7">
        <v>0</v>
      </c>
      <c r="K1572" s="3">
        <f t="shared" si="58"/>
        <v>0</v>
      </c>
      <c r="L1572" s="3"/>
      <c r="M1572" s="3">
        <f t="shared" si="59"/>
        <v>0</v>
      </c>
      <c r="O1572" s="5"/>
      <c r="S1572" s="6"/>
    </row>
    <row r="1573" spans="1:22" customFormat="1" x14ac:dyDescent="0.45">
      <c r="A1573">
        <v>436189</v>
      </c>
      <c r="B1573" t="s">
        <v>19423</v>
      </c>
      <c r="C1573" t="s">
        <v>16331</v>
      </c>
      <c r="D1573">
        <v>0</v>
      </c>
      <c r="E1573" t="s">
        <v>16331</v>
      </c>
      <c r="F1573" s="126"/>
      <c r="G1573" s="7">
        <v>0</v>
      </c>
      <c r="H1573" s="7">
        <v>0</v>
      </c>
      <c r="I1573" s="7">
        <v>0</v>
      </c>
      <c r="J1573" s="7">
        <v>0</v>
      </c>
      <c r="K1573" s="3">
        <f t="shared" si="58"/>
        <v>0</v>
      </c>
      <c r="L1573" s="3"/>
      <c r="M1573" s="3">
        <f t="shared" si="59"/>
        <v>0</v>
      </c>
      <c r="O1573" s="5"/>
      <c r="S1573" s="6"/>
    </row>
    <row r="1574" spans="1:22" customFormat="1" x14ac:dyDescent="0.45">
      <c r="A1574">
        <v>436239</v>
      </c>
      <c r="B1574" t="s">
        <v>19424</v>
      </c>
      <c r="C1574" t="s">
        <v>19425</v>
      </c>
      <c r="D1574">
        <v>1</v>
      </c>
      <c r="F1574" s="126"/>
      <c r="G1574" s="7">
        <v>0</v>
      </c>
      <c r="H1574" s="7">
        <v>0</v>
      </c>
      <c r="I1574" s="7">
        <v>0</v>
      </c>
      <c r="J1574" s="7">
        <v>0</v>
      </c>
      <c r="K1574" s="3">
        <f t="shared" si="58"/>
        <v>0</v>
      </c>
      <c r="L1574" s="3"/>
      <c r="M1574" s="3">
        <f t="shared" si="59"/>
        <v>0</v>
      </c>
      <c r="O1574" s="5"/>
      <c r="S1574" s="6"/>
    </row>
    <row r="1575" spans="1:22" customFormat="1" x14ac:dyDescent="0.45">
      <c r="A1575">
        <v>436263</v>
      </c>
      <c r="B1575" t="s">
        <v>19426</v>
      </c>
      <c r="C1575" t="s">
        <v>16331</v>
      </c>
      <c r="D1575">
        <v>1</v>
      </c>
      <c r="E1575" t="s">
        <v>16331</v>
      </c>
      <c r="F1575" s="126"/>
      <c r="G1575" s="7">
        <v>0</v>
      </c>
      <c r="H1575" s="7">
        <v>0</v>
      </c>
      <c r="I1575" s="7">
        <v>0</v>
      </c>
      <c r="J1575" s="7">
        <v>0</v>
      </c>
      <c r="K1575" s="3">
        <f t="shared" si="58"/>
        <v>0</v>
      </c>
      <c r="L1575" s="3"/>
      <c r="M1575" s="3">
        <f t="shared" si="59"/>
        <v>0</v>
      </c>
      <c r="N1575" s="7"/>
      <c r="O1575" s="5"/>
      <c r="S1575" s="6"/>
    </row>
    <row r="1576" spans="1:22" customFormat="1" x14ac:dyDescent="0.45">
      <c r="A1576">
        <v>436295</v>
      </c>
      <c r="B1576" t="s">
        <v>19427</v>
      </c>
      <c r="C1576" t="s">
        <v>16331</v>
      </c>
      <c r="D1576">
        <v>2</v>
      </c>
      <c r="E1576" t="s">
        <v>16331</v>
      </c>
      <c r="F1576" s="126"/>
      <c r="G1576" s="7">
        <v>0</v>
      </c>
      <c r="H1576" s="7">
        <v>0</v>
      </c>
      <c r="I1576" s="7">
        <v>0</v>
      </c>
      <c r="J1576" s="7">
        <v>0</v>
      </c>
      <c r="K1576" s="3">
        <f t="shared" si="58"/>
        <v>0</v>
      </c>
      <c r="L1576" s="3"/>
      <c r="M1576" s="3">
        <f t="shared" si="59"/>
        <v>0</v>
      </c>
      <c r="O1576" s="5"/>
      <c r="S1576" s="6"/>
    </row>
    <row r="1577" spans="1:22" customFormat="1" x14ac:dyDescent="0.45">
      <c r="A1577">
        <v>436338</v>
      </c>
      <c r="B1577" t="s">
        <v>19428</v>
      </c>
      <c r="C1577" t="s">
        <v>19429</v>
      </c>
      <c r="D1577">
        <v>3</v>
      </c>
      <c r="F1577" s="126"/>
      <c r="K1577" s="3">
        <f t="shared" si="58"/>
        <v>0</v>
      </c>
      <c r="L1577" s="3"/>
      <c r="M1577" s="3">
        <f t="shared" si="59"/>
        <v>0</v>
      </c>
      <c r="O1577" s="5"/>
      <c r="S1577" s="6"/>
    </row>
    <row r="1578" spans="1:22" customFormat="1" x14ac:dyDescent="0.45">
      <c r="A1578">
        <v>436452</v>
      </c>
      <c r="B1578" t="s">
        <v>19430</v>
      </c>
      <c r="C1578" t="s">
        <v>19431</v>
      </c>
      <c r="D1578">
        <v>2</v>
      </c>
      <c r="F1578" s="126"/>
      <c r="G1578" s="7">
        <v>0</v>
      </c>
      <c r="H1578" s="7">
        <v>0</v>
      </c>
      <c r="I1578" s="7">
        <v>0</v>
      </c>
      <c r="J1578" s="7">
        <v>0</v>
      </c>
      <c r="K1578" s="3">
        <f t="shared" si="58"/>
        <v>0</v>
      </c>
      <c r="L1578" s="3"/>
      <c r="M1578" s="3">
        <f t="shared" si="59"/>
        <v>0</v>
      </c>
      <c r="N1578" s="7"/>
      <c r="O1578" s="5"/>
      <c r="S1578" s="6"/>
    </row>
    <row r="1579" spans="1:22" customFormat="1" x14ac:dyDescent="0.45">
      <c r="A1579">
        <v>436500</v>
      </c>
      <c r="B1579" t="s">
        <v>19432</v>
      </c>
      <c r="C1579" t="s">
        <v>16331</v>
      </c>
      <c r="D1579">
        <v>1</v>
      </c>
      <c r="E1579" t="s">
        <v>16331</v>
      </c>
      <c r="F1579" s="126"/>
      <c r="G1579" s="7">
        <v>0</v>
      </c>
      <c r="H1579" s="7">
        <v>0</v>
      </c>
      <c r="I1579" s="7">
        <v>0</v>
      </c>
      <c r="J1579" s="7">
        <v>0</v>
      </c>
      <c r="K1579" s="3">
        <f t="shared" si="58"/>
        <v>0</v>
      </c>
      <c r="L1579" s="3"/>
      <c r="M1579" s="3">
        <f t="shared" si="59"/>
        <v>0</v>
      </c>
      <c r="O1579" s="5"/>
      <c r="S1579" s="6"/>
    </row>
    <row r="1580" spans="1:22" customFormat="1" x14ac:dyDescent="0.45">
      <c r="A1580">
        <v>436797</v>
      </c>
      <c r="B1580" t="s">
        <v>19433</v>
      </c>
      <c r="C1580" t="s">
        <v>19434</v>
      </c>
      <c r="D1580">
        <v>11</v>
      </c>
      <c r="F1580" s="126"/>
      <c r="G1580" s="7">
        <v>0</v>
      </c>
      <c r="H1580" s="7">
        <v>0</v>
      </c>
      <c r="I1580" s="7">
        <v>0</v>
      </c>
      <c r="J1580" s="7">
        <v>0</v>
      </c>
      <c r="K1580" s="3">
        <f t="shared" si="58"/>
        <v>0</v>
      </c>
      <c r="L1580" s="3"/>
      <c r="M1580" s="3">
        <f t="shared" si="59"/>
        <v>0</v>
      </c>
      <c r="N1580" s="7"/>
      <c r="O1580" s="5"/>
      <c r="S1580" s="6"/>
    </row>
    <row r="1581" spans="1:22" customFormat="1" x14ac:dyDescent="0.45">
      <c r="A1581">
        <v>436840</v>
      </c>
      <c r="B1581" t="s">
        <v>19435</v>
      </c>
      <c r="C1581" t="s">
        <v>16331</v>
      </c>
      <c r="D1581">
        <v>1</v>
      </c>
      <c r="E1581" t="s">
        <v>16331</v>
      </c>
      <c r="F1581" s="126"/>
      <c r="G1581" s="7">
        <v>0</v>
      </c>
      <c r="H1581" s="7">
        <v>0</v>
      </c>
      <c r="I1581" s="7">
        <v>0</v>
      </c>
      <c r="J1581" s="7">
        <v>0</v>
      </c>
      <c r="K1581" s="3">
        <f t="shared" si="58"/>
        <v>0</v>
      </c>
      <c r="L1581" s="3"/>
      <c r="M1581" s="3">
        <f t="shared" si="59"/>
        <v>0</v>
      </c>
      <c r="O1581" s="5"/>
      <c r="S1581" s="6"/>
    </row>
    <row r="1582" spans="1:22" customFormat="1" x14ac:dyDescent="0.45">
      <c r="A1582">
        <v>436910</v>
      </c>
      <c r="B1582" t="s">
        <v>19436</v>
      </c>
      <c r="C1582" t="s">
        <v>19437</v>
      </c>
      <c r="D1582">
        <v>1</v>
      </c>
      <c r="F1582" s="126"/>
      <c r="G1582" s="7">
        <v>0</v>
      </c>
      <c r="H1582" s="7">
        <v>0</v>
      </c>
      <c r="I1582" s="7">
        <v>0</v>
      </c>
      <c r="J1582" s="7">
        <v>0</v>
      </c>
      <c r="K1582" s="3">
        <f t="shared" si="58"/>
        <v>0</v>
      </c>
      <c r="L1582" s="3"/>
      <c r="M1582" s="3">
        <f t="shared" si="59"/>
        <v>0</v>
      </c>
      <c r="O1582" s="5"/>
      <c r="S1582" s="6"/>
    </row>
    <row r="1583" spans="1:22" customFormat="1" x14ac:dyDescent="0.45">
      <c r="A1583">
        <v>437381</v>
      </c>
      <c r="B1583" t="s">
        <v>19438</v>
      </c>
      <c r="C1583" t="s">
        <v>16331</v>
      </c>
      <c r="D1583">
        <v>1</v>
      </c>
      <c r="E1583" t="s">
        <v>16331</v>
      </c>
      <c r="F1583" s="126"/>
      <c r="G1583" s="7">
        <v>0</v>
      </c>
      <c r="H1583" s="7">
        <v>0</v>
      </c>
      <c r="I1583" s="7">
        <v>0</v>
      </c>
      <c r="J1583" s="7">
        <v>0</v>
      </c>
      <c r="K1583" s="3">
        <f t="shared" si="58"/>
        <v>0</v>
      </c>
      <c r="L1583" s="3"/>
      <c r="M1583" s="3">
        <f t="shared" si="59"/>
        <v>0</v>
      </c>
      <c r="O1583" s="5"/>
      <c r="S1583" s="6"/>
    </row>
    <row r="1584" spans="1:22" customFormat="1" x14ac:dyDescent="0.45">
      <c r="A1584">
        <v>437797</v>
      </c>
      <c r="B1584" t="s">
        <v>19439</v>
      </c>
      <c r="C1584" t="s">
        <v>16331</v>
      </c>
      <c r="D1584">
        <v>1</v>
      </c>
      <c r="E1584" t="s">
        <v>16331</v>
      </c>
      <c r="F1584" s="126"/>
      <c r="K1584" s="3">
        <f t="shared" si="58"/>
        <v>0</v>
      </c>
      <c r="L1584" s="3"/>
      <c r="M1584" s="3">
        <f t="shared" si="59"/>
        <v>0</v>
      </c>
      <c r="O1584" s="5"/>
      <c r="S1584" s="6"/>
    </row>
    <row r="1585" spans="1:19" customFormat="1" x14ac:dyDescent="0.45">
      <c r="A1585">
        <v>437861</v>
      </c>
      <c r="B1585" t="s">
        <v>19440</v>
      </c>
      <c r="C1585" t="s">
        <v>16331</v>
      </c>
      <c r="D1585">
        <v>1</v>
      </c>
      <c r="E1585" t="s">
        <v>16331</v>
      </c>
      <c r="F1585" s="126"/>
      <c r="G1585" s="7">
        <v>0</v>
      </c>
      <c r="H1585" s="7">
        <v>0</v>
      </c>
      <c r="I1585" s="7">
        <v>0</v>
      </c>
      <c r="J1585" s="7">
        <v>0</v>
      </c>
      <c r="K1585" s="3">
        <f t="shared" si="58"/>
        <v>0</v>
      </c>
      <c r="L1585" s="3"/>
      <c r="M1585" s="3">
        <f t="shared" si="59"/>
        <v>0</v>
      </c>
      <c r="O1585" s="5"/>
      <c r="S1585" s="6"/>
    </row>
    <row r="1586" spans="1:19" customFormat="1" x14ac:dyDescent="0.45">
      <c r="A1586">
        <v>437887</v>
      </c>
      <c r="B1586" t="s">
        <v>19441</v>
      </c>
      <c r="C1586" t="s">
        <v>16331</v>
      </c>
      <c r="D1586">
        <v>1</v>
      </c>
      <c r="E1586" t="s">
        <v>16331</v>
      </c>
      <c r="F1586" s="126"/>
      <c r="G1586" s="7">
        <v>0</v>
      </c>
      <c r="H1586" s="7">
        <v>0</v>
      </c>
      <c r="I1586" s="7">
        <v>0</v>
      </c>
      <c r="J1586" s="7">
        <v>0</v>
      </c>
      <c r="K1586" s="3">
        <f t="shared" si="58"/>
        <v>0</v>
      </c>
      <c r="L1586" s="3"/>
      <c r="M1586" s="3">
        <f t="shared" si="59"/>
        <v>0</v>
      </c>
      <c r="O1586" s="5"/>
      <c r="S1586" s="6"/>
    </row>
    <row r="1587" spans="1:19" customFormat="1" x14ac:dyDescent="0.45">
      <c r="A1587">
        <v>437923</v>
      </c>
      <c r="B1587" t="s">
        <v>19442</v>
      </c>
      <c r="C1587" t="s">
        <v>16331</v>
      </c>
      <c r="D1587">
        <v>0</v>
      </c>
      <c r="E1587" t="s">
        <v>16331</v>
      </c>
      <c r="F1587" s="126"/>
      <c r="K1587" s="3">
        <f t="shared" si="58"/>
        <v>0</v>
      </c>
      <c r="L1587" s="3"/>
      <c r="M1587" s="3">
        <f t="shared" si="59"/>
        <v>0</v>
      </c>
      <c r="O1587" s="5"/>
      <c r="S1587" s="6"/>
    </row>
    <row r="1588" spans="1:19" customFormat="1" x14ac:dyDescent="0.45">
      <c r="A1588">
        <v>437966</v>
      </c>
      <c r="B1588" t="s">
        <v>19443</v>
      </c>
      <c r="C1588" t="s">
        <v>19444</v>
      </c>
      <c r="D1588">
        <v>1</v>
      </c>
      <c r="F1588" s="126"/>
      <c r="G1588" s="7">
        <v>0</v>
      </c>
      <c r="H1588" s="7">
        <v>0</v>
      </c>
      <c r="I1588" s="7">
        <v>0</v>
      </c>
      <c r="J1588" s="7">
        <v>0</v>
      </c>
      <c r="K1588" s="3">
        <f t="shared" si="58"/>
        <v>0</v>
      </c>
      <c r="L1588" s="3"/>
      <c r="M1588" s="3">
        <f t="shared" si="59"/>
        <v>0</v>
      </c>
      <c r="O1588" s="5"/>
      <c r="S1588" s="6"/>
    </row>
    <row r="1589" spans="1:19" customFormat="1" x14ac:dyDescent="0.45">
      <c r="A1589">
        <v>438073</v>
      </c>
      <c r="B1589" t="s">
        <v>19445</v>
      </c>
      <c r="C1589" t="s">
        <v>19446</v>
      </c>
      <c r="D1589">
        <v>2</v>
      </c>
      <c r="F1589" s="126"/>
      <c r="G1589" s="3">
        <v>0</v>
      </c>
      <c r="H1589" s="3">
        <v>0</v>
      </c>
      <c r="I1589" s="3">
        <v>0</v>
      </c>
      <c r="J1589" s="3">
        <v>0</v>
      </c>
      <c r="K1589" s="3">
        <f t="shared" si="58"/>
        <v>0</v>
      </c>
      <c r="L1589" s="3"/>
      <c r="M1589" s="3">
        <f t="shared" si="59"/>
        <v>0</v>
      </c>
      <c r="O1589" s="5"/>
      <c r="S1589" s="6"/>
    </row>
    <row r="1590" spans="1:19" customFormat="1" x14ac:dyDescent="0.45">
      <c r="A1590">
        <v>438187</v>
      </c>
      <c r="B1590" t="s">
        <v>19447</v>
      </c>
      <c r="C1590" t="s">
        <v>19448</v>
      </c>
      <c r="D1590">
        <v>4</v>
      </c>
      <c r="F1590" s="126"/>
      <c r="K1590" s="3">
        <f t="shared" si="58"/>
        <v>0</v>
      </c>
      <c r="L1590" s="3"/>
      <c r="M1590" s="3">
        <f t="shared" si="59"/>
        <v>0</v>
      </c>
      <c r="O1590" s="5"/>
      <c r="S1590" s="6"/>
    </row>
    <row r="1591" spans="1:19" customFormat="1" x14ac:dyDescent="0.45">
      <c r="A1591">
        <v>438355</v>
      </c>
      <c r="B1591" t="s">
        <v>19449</v>
      </c>
      <c r="C1591" t="s">
        <v>19450</v>
      </c>
      <c r="D1591">
        <v>2</v>
      </c>
      <c r="F1591" s="126"/>
      <c r="G1591" s="7">
        <v>0</v>
      </c>
      <c r="H1591" s="7">
        <v>0</v>
      </c>
      <c r="I1591" s="7">
        <v>0</v>
      </c>
      <c r="J1591" s="7">
        <v>0</v>
      </c>
      <c r="K1591" s="3">
        <f t="shared" si="58"/>
        <v>0</v>
      </c>
      <c r="L1591" s="3"/>
      <c r="M1591" s="3">
        <f t="shared" si="59"/>
        <v>0</v>
      </c>
      <c r="O1591" s="5"/>
      <c r="S1591" s="6"/>
    </row>
    <row r="1592" spans="1:19" customFormat="1" x14ac:dyDescent="0.45">
      <c r="A1592">
        <v>438796</v>
      </c>
      <c r="B1592" t="s">
        <v>19451</v>
      </c>
      <c r="C1592" t="s">
        <v>19452</v>
      </c>
      <c r="D1592">
        <v>2</v>
      </c>
      <c r="F1592" s="126"/>
      <c r="G1592" s="7">
        <v>0</v>
      </c>
      <c r="H1592" s="7">
        <v>0</v>
      </c>
      <c r="I1592" s="7">
        <v>0</v>
      </c>
      <c r="J1592" s="7">
        <v>0</v>
      </c>
      <c r="K1592" s="3">
        <f t="shared" si="58"/>
        <v>0</v>
      </c>
      <c r="L1592" s="3"/>
      <c r="M1592" s="3">
        <f t="shared" si="59"/>
        <v>0</v>
      </c>
      <c r="O1592" s="5"/>
      <c r="S1592" s="6"/>
    </row>
    <row r="1593" spans="1:19" customFormat="1" x14ac:dyDescent="0.45">
      <c r="A1593">
        <v>438883</v>
      </c>
      <c r="B1593" t="s">
        <v>19453</v>
      </c>
      <c r="C1593" t="s">
        <v>19454</v>
      </c>
      <c r="D1593">
        <v>2</v>
      </c>
      <c r="F1593" s="126"/>
      <c r="G1593" s="7">
        <v>0</v>
      </c>
      <c r="H1593" s="7">
        <v>0</v>
      </c>
      <c r="I1593" s="7">
        <v>0</v>
      </c>
      <c r="J1593" s="7">
        <v>0</v>
      </c>
      <c r="K1593" s="3">
        <f t="shared" si="58"/>
        <v>0</v>
      </c>
      <c r="L1593" s="3"/>
      <c r="M1593" s="3">
        <f t="shared" si="59"/>
        <v>0</v>
      </c>
      <c r="O1593" s="5"/>
      <c r="S1593" s="6"/>
    </row>
    <row r="1594" spans="1:19" customFormat="1" x14ac:dyDescent="0.45">
      <c r="A1594">
        <v>438928</v>
      </c>
      <c r="B1594" t="s">
        <v>19455</v>
      </c>
      <c r="C1594" t="s">
        <v>19456</v>
      </c>
      <c r="D1594">
        <v>2</v>
      </c>
      <c r="F1594" s="126"/>
      <c r="G1594" s="7">
        <v>0</v>
      </c>
      <c r="H1594" s="7">
        <v>0</v>
      </c>
      <c r="I1594" s="7">
        <v>0</v>
      </c>
      <c r="J1594" s="7">
        <v>0</v>
      </c>
      <c r="K1594" s="3">
        <f t="shared" si="58"/>
        <v>0</v>
      </c>
      <c r="L1594" s="3"/>
      <c r="M1594" s="3">
        <f t="shared" si="59"/>
        <v>0</v>
      </c>
      <c r="O1594" s="5"/>
      <c r="S1594" s="6"/>
    </row>
    <row r="1595" spans="1:19" customFormat="1" x14ac:dyDescent="0.45">
      <c r="A1595">
        <v>438932</v>
      </c>
      <c r="B1595" t="s">
        <v>19457</v>
      </c>
      <c r="C1595" t="s">
        <v>19458</v>
      </c>
      <c r="D1595">
        <v>2</v>
      </c>
      <c r="F1595" s="126"/>
      <c r="G1595" s="7">
        <v>0</v>
      </c>
      <c r="H1595" s="7">
        <v>0</v>
      </c>
      <c r="I1595" s="7">
        <v>0</v>
      </c>
      <c r="J1595" s="7">
        <v>0</v>
      </c>
      <c r="K1595" s="3">
        <f t="shared" si="58"/>
        <v>0</v>
      </c>
      <c r="L1595" s="3"/>
      <c r="M1595" s="3">
        <f t="shared" si="59"/>
        <v>0</v>
      </c>
      <c r="O1595" s="5"/>
      <c r="S1595" s="6"/>
    </row>
    <row r="1596" spans="1:19" customFormat="1" x14ac:dyDescent="0.45">
      <c r="A1596">
        <v>439092</v>
      </c>
      <c r="B1596" t="s">
        <v>19459</v>
      </c>
      <c r="C1596" t="s">
        <v>19460</v>
      </c>
      <c r="D1596">
        <v>2</v>
      </c>
      <c r="F1596" s="126"/>
      <c r="G1596" s="7">
        <v>0</v>
      </c>
      <c r="H1596" s="7">
        <v>0</v>
      </c>
      <c r="I1596" s="7">
        <v>0</v>
      </c>
      <c r="J1596" s="7">
        <v>0</v>
      </c>
      <c r="K1596" s="3">
        <f t="shared" si="58"/>
        <v>0</v>
      </c>
      <c r="L1596" s="3"/>
      <c r="M1596" s="3">
        <f t="shared" si="59"/>
        <v>0</v>
      </c>
      <c r="O1596" s="5"/>
      <c r="S1596" s="6"/>
    </row>
    <row r="1597" spans="1:19" customFormat="1" x14ac:dyDescent="0.45">
      <c r="A1597">
        <v>439104</v>
      </c>
      <c r="B1597" t="s">
        <v>19461</v>
      </c>
      <c r="C1597" t="s">
        <v>19462</v>
      </c>
      <c r="D1597">
        <v>1</v>
      </c>
      <c r="F1597" s="126"/>
      <c r="G1597" s="7">
        <v>0</v>
      </c>
      <c r="H1597" s="7">
        <v>0</v>
      </c>
      <c r="I1597" s="7">
        <v>0</v>
      </c>
      <c r="J1597" s="7">
        <v>0</v>
      </c>
      <c r="K1597" s="3">
        <f t="shared" si="58"/>
        <v>0</v>
      </c>
      <c r="L1597" s="3"/>
      <c r="M1597" s="3">
        <f t="shared" si="59"/>
        <v>0</v>
      </c>
      <c r="O1597" s="5"/>
      <c r="S1597" s="6"/>
    </row>
    <row r="1598" spans="1:19" customFormat="1" x14ac:dyDescent="0.45">
      <c r="A1598">
        <v>439179</v>
      </c>
      <c r="B1598" t="s">
        <v>19463</v>
      </c>
      <c r="C1598" t="s">
        <v>19464</v>
      </c>
      <c r="D1598">
        <v>2</v>
      </c>
      <c r="F1598" s="126"/>
      <c r="G1598" s="7">
        <v>0</v>
      </c>
      <c r="H1598" s="7">
        <v>0</v>
      </c>
      <c r="I1598" s="7">
        <v>0</v>
      </c>
      <c r="J1598" s="7">
        <v>0</v>
      </c>
      <c r="K1598" s="3">
        <f t="shared" ref="K1598:K1661" si="60">SUM(G1598:J1598)</f>
        <v>0</v>
      </c>
      <c r="L1598" s="3"/>
      <c r="M1598" s="3">
        <f t="shared" ref="M1598:M1661" si="61">K1598+F1598</f>
        <v>0</v>
      </c>
      <c r="O1598" s="5"/>
      <c r="S1598" s="6"/>
    </row>
    <row r="1599" spans="1:19" customFormat="1" x14ac:dyDescent="0.45">
      <c r="A1599">
        <v>439187</v>
      </c>
      <c r="B1599" t="s">
        <v>19465</v>
      </c>
      <c r="C1599" t="s">
        <v>16331</v>
      </c>
      <c r="D1599">
        <v>1</v>
      </c>
      <c r="E1599" t="s">
        <v>16331</v>
      </c>
      <c r="F1599" s="126"/>
      <c r="G1599" s="7">
        <v>0</v>
      </c>
      <c r="H1599" s="7">
        <v>0</v>
      </c>
      <c r="I1599" s="7">
        <v>0</v>
      </c>
      <c r="J1599" s="7">
        <v>0</v>
      </c>
      <c r="K1599" s="3">
        <f t="shared" si="60"/>
        <v>0</v>
      </c>
      <c r="L1599" s="3"/>
      <c r="M1599" s="3">
        <f t="shared" si="61"/>
        <v>0</v>
      </c>
      <c r="O1599" s="5"/>
      <c r="S1599" s="6"/>
    </row>
    <row r="1600" spans="1:19" customFormat="1" x14ac:dyDescent="0.45">
      <c r="A1600">
        <v>439288</v>
      </c>
      <c r="B1600" t="s">
        <v>19466</v>
      </c>
      <c r="C1600" t="s">
        <v>16331</v>
      </c>
      <c r="D1600">
        <v>2</v>
      </c>
      <c r="E1600" t="s">
        <v>16331</v>
      </c>
      <c r="F1600" s="126"/>
      <c r="G1600" s="7">
        <v>0</v>
      </c>
      <c r="H1600" s="7">
        <v>0</v>
      </c>
      <c r="I1600" s="7">
        <v>0</v>
      </c>
      <c r="J1600" s="7">
        <v>0</v>
      </c>
      <c r="K1600" s="3">
        <f t="shared" si="60"/>
        <v>0</v>
      </c>
      <c r="L1600" s="3"/>
      <c r="M1600" s="3">
        <f t="shared" si="61"/>
        <v>0</v>
      </c>
      <c r="N1600" s="7"/>
      <c r="O1600" s="5"/>
      <c r="S1600" s="6"/>
    </row>
    <row r="1601" spans="1:22" customFormat="1" x14ac:dyDescent="0.45">
      <c r="A1601">
        <v>439529</v>
      </c>
      <c r="B1601" t="s">
        <v>19467</v>
      </c>
      <c r="C1601" t="s">
        <v>16331</v>
      </c>
      <c r="D1601">
        <v>1</v>
      </c>
      <c r="E1601" t="s">
        <v>16331</v>
      </c>
      <c r="F1601" s="126"/>
      <c r="G1601" s="7">
        <v>0</v>
      </c>
      <c r="H1601" s="7">
        <v>0</v>
      </c>
      <c r="I1601" s="7">
        <v>0</v>
      </c>
      <c r="J1601" s="7">
        <v>0</v>
      </c>
      <c r="K1601" s="3">
        <f t="shared" si="60"/>
        <v>0</v>
      </c>
      <c r="L1601" s="3"/>
      <c r="M1601" s="3">
        <f t="shared" si="61"/>
        <v>0</v>
      </c>
      <c r="O1601" s="5"/>
      <c r="S1601" s="6"/>
    </row>
    <row r="1602" spans="1:22" customFormat="1" x14ac:dyDescent="0.45">
      <c r="A1602">
        <v>439567</v>
      </c>
      <c r="B1602" t="s">
        <v>19468</v>
      </c>
      <c r="C1602" t="s">
        <v>19469</v>
      </c>
      <c r="D1602">
        <v>0</v>
      </c>
      <c r="E1602" t="s">
        <v>16561</v>
      </c>
      <c r="F1602" s="126"/>
      <c r="K1602" s="3">
        <f t="shared" si="60"/>
        <v>0</v>
      </c>
      <c r="L1602" s="3"/>
      <c r="M1602" s="3">
        <f t="shared" si="61"/>
        <v>0</v>
      </c>
      <c r="O1602" s="5"/>
      <c r="S1602" s="6"/>
    </row>
    <row r="1603" spans="1:22" customFormat="1" x14ac:dyDescent="0.45">
      <c r="A1603">
        <v>439620</v>
      </c>
      <c r="B1603" t="s">
        <v>19470</v>
      </c>
      <c r="C1603" t="s">
        <v>19471</v>
      </c>
      <c r="D1603">
        <v>2</v>
      </c>
      <c r="F1603" s="126"/>
      <c r="K1603" s="3">
        <f t="shared" si="60"/>
        <v>0</v>
      </c>
      <c r="L1603" s="3"/>
      <c r="M1603" s="3">
        <f t="shared" si="61"/>
        <v>0</v>
      </c>
      <c r="O1603" s="5"/>
      <c r="S1603" s="6"/>
    </row>
    <row r="1604" spans="1:22" customFormat="1" x14ac:dyDescent="0.45">
      <c r="A1604">
        <v>439624</v>
      </c>
      <c r="B1604" t="s">
        <v>19472</v>
      </c>
      <c r="C1604" t="s">
        <v>19473</v>
      </c>
      <c r="D1604">
        <v>4</v>
      </c>
      <c r="F1604" s="126"/>
      <c r="G1604" s="3">
        <v>0</v>
      </c>
      <c r="H1604" s="3">
        <v>0</v>
      </c>
      <c r="I1604" s="3">
        <v>0</v>
      </c>
      <c r="J1604" s="3">
        <v>0</v>
      </c>
      <c r="K1604" s="3">
        <f t="shared" si="60"/>
        <v>0</v>
      </c>
      <c r="L1604" s="3"/>
      <c r="M1604" s="3">
        <f t="shared" si="61"/>
        <v>0</v>
      </c>
      <c r="O1604" s="5"/>
      <c r="S1604" s="6"/>
    </row>
    <row r="1605" spans="1:22" customFormat="1" x14ac:dyDescent="0.45">
      <c r="A1605">
        <v>439720</v>
      </c>
      <c r="B1605" t="s">
        <v>19474</v>
      </c>
      <c r="C1605" t="s">
        <v>19475</v>
      </c>
      <c r="D1605">
        <v>5</v>
      </c>
      <c r="F1605" s="126"/>
      <c r="G1605" s="36">
        <v>0</v>
      </c>
      <c r="H1605" s="36" t="s">
        <v>19476</v>
      </c>
      <c r="I1605" s="36">
        <v>0</v>
      </c>
      <c r="J1605" s="36">
        <v>0</v>
      </c>
      <c r="K1605" s="3">
        <f t="shared" si="60"/>
        <v>0</v>
      </c>
      <c r="L1605" s="3"/>
      <c r="M1605" s="3">
        <f t="shared" si="61"/>
        <v>0</v>
      </c>
      <c r="O1605" s="5"/>
      <c r="S1605" s="6"/>
    </row>
    <row r="1606" spans="1:22" customFormat="1" x14ac:dyDescent="0.45">
      <c r="A1606">
        <v>439731</v>
      </c>
      <c r="B1606" t="s">
        <v>19477</v>
      </c>
      <c r="C1606" t="s">
        <v>19478</v>
      </c>
      <c r="D1606">
        <v>7</v>
      </c>
      <c r="F1606" s="126"/>
      <c r="G1606" s="7">
        <v>0</v>
      </c>
      <c r="H1606" s="7">
        <v>0</v>
      </c>
      <c r="I1606" s="7">
        <v>0</v>
      </c>
      <c r="J1606" s="7">
        <v>0</v>
      </c>
      <c r="K1606" s="3">
        <f t="shared" si="60"/>
        <v>0</v>
      </c>
      <c r="L1606" s="3"/>
      <c r="M1606" s="3">
        <f t="shared" si="61"/>
        <v>0</v>
      </c>
      <c r="N1606" s="7"/>
      <c r="O1606" s="5"/>
      <c r="S1606" s="6"/>
    </row>
    <row r="1607" spans="1:22" customFormat="1" x14ac:dyDescent="0.45">
      <c r="A1607">
        <v>439740</v>
      </c>
      <c r="B1607" t="s">
        <v>19479</v>
      </c>
      <c r="C1607" t="s">
        <v>19480</v>
      </c>
      <c r="D1607">
        <v>1</v>
      </c>
      <c r="F1607" s="126"/>
      <c r="G1607" s="3">
        <v>0</v>
      </c>
      <c r="H1607" s="3">
        <v>0</v>
      </c>
      <c r="I1607" s="3">
        <v>0</v>
      </c>
      <c r="J1607" s="3">
        <v>0</v>
      </c>
      <c r="K1607" s="3">
        <f t="shared" si="60"/>
        <v>0</v>
      </c>
      <c r="L1607" s="3"/>
      <c r="M1607" s="3">
        <f t="shared" si="61"/>
        <v>0</v>
      </c>
      <c r="O1607" s="5"/>
      <c r="S1607" s="6"/>
    </row>
    <row r="1608" spans="1:22" customFormat="1" x14ac:dyDescent="0.45">
      <c r="A1608">
        <v>439744</v>
      </c>
      <c r="B1608" t="s">
        <v>19481</v>
      </c>
      <c r="C1608" t="s">
        <v>19482</v>
      </c>
      <c r="D1608">
        <v>0</v>
      </c>
      <c r="E1608" t="s">
        <v>16561</v>
      </c>
      <c r="F1608" s="126"/>
      <c r="G1608" s="7">
        <v>0</v>
      </c>
      <c r="H1608" s="7">
        <v>0</v>
      </c>
      <c r="I1608" s="7">
        <v>0</v>
      </c>
      <c r="J1608" s="7">
        <v>0</v>
      </c>
      <c r="K1608" s="3">
        <f t="shared" si="60"/>
        <v>0</v>
      </c>
      <c r="L1608" s="3"/>
      <c r="M1608" s="3">
        <f t="shared" si="61"/>
        <v>0</v>
      </c>
      <c r="N1608" s="7"/>
      <c r="O1608" s="5"/>
      <c r="S1608" s="6"/>
    </row>
    <row r="1609" spans="1:22" x14ac:dyDescent="0.45">
      <c r="A1609" s="124">
        <v>230553</v>
      </c>
      <c r="B1609" s="124" t="s">
        <v>19483</v>
      </c>
      <c r="C1609" s="124" t="s">
        <v>19484</v>
      </c>
      <c r="D1609" s="124">
        <v>6</v>
      </c>
      <c r="E1609" s="124" t="s">
        <v>16417</v>
      </c>
      <c r="F1609" s="126">
        <v>1.7999999999999999E-2</v>
      </c>
      <c r="G1609" s="126">
        <f>((0.6+2)/2)/100+0.4%</f>
        <v>1.7000000000000001E-2</v>
      </c>
      <c r="H1609" s="126">
        <v>1.0999999999999999E-2</v>
      </c>
      <c r="I1609" s="135">
        <v>0</v>
      </c>
      <c r="J1609" s="135">
        <v>0</v>
      </c>
      <c r="K1609" s="126">
        <f t="shared" si="60"/>
        <v>2.8000000000000001E-2</v>
      </c>
      <c r="L1609" s="3"/>
      <c r="M1609" s="126">
        <f t="shared" si="61"/>
        <v>4.5999999999999999E-2</v>
      </c>
      <c r="N1609" s="124" t="s">
        <v>26922</v>
      </c>
      <c r="O1609" s="125" t="s">
        <v>19485</v>
      </c>
      <c r="P1609" s="125" t="s">
        <v>19486</v>
      </c>
      <c r="Q1609" s="130">
        <f>109756+4524190</f>
        <v>4633946</v>
      </c>
      <c r="R1609" s="124" t="s">
        <v>16348</v>
      </c>
      <c r="S1609" s="130">
        <v>4055718</v>
      </c>
      <c r="T1609" s="129">
        <f>S1609/Q1609</f>
        <v>0.87521908973475304</v>
      </c>
      <c r="V1609" s="125" t="s">
        <v>19487</v>
      </c>
    </row>
    <row r="1610" spans="1:22" customFormat="1" x14ac:dyDescent="0.45">
      <c r="A1610">
        <v>439777</v>
      </c>
      <c r="B1610" t="s">
        <v>19488</v>
      </c>
      <c r="C1610" t="s">
        <v>16331</v>
      </c>
      <c r="D1610">
        <v>3</v>
      </c>
      <c r="E1610" t="s">
        <v>16331</v>
      </c>
      <c r="F1610" s="126"/>
      <c r="G1610" s="7">
        <v>0</v>
      </c>
      <c r="H1610" s="7">
        <v>0</v>
      </c>
      <c r="I1610" s="7">
        <v>0</v>
      </c>
      <c r="J1610" s="7">
        <v>0</v>
      </c>
      <c r="K1610" s="3">
        <f t="shared" si="60"/>
        <v>0</v>
      </c>
      <c r="L1610" s="3"/>
      <c r="M1610" s="3">
        <f t="shared" si="61"/>
        <v>0</v>
      </c>
      <c r="O1610" s="5"/>
      <c r="S1610" s="6"/>
    </row>
    <row r="1611" spans="1:22" customFormat="1" x14ac:dyDescent="0.45">
      <c r="A1611">
        <v>439839</v>
      </c>
      <c r="B1611" t="s">
        <v>19489</v>
      </c>
      <c r="C1611" t="s">
        <v>19490</v>
      </c>
      <c r="D1611">
        <v>1</v>
      </c>
      <c r="F1611" s="126"/>
      <c r="K1611" s="3">
        <f t="shared" si="60"/>
        <v>0</v>
      </c>
      <c r="L1611" s="3"/>
      <c r="M1611" s="3">
        <f t="shared" si="61"/>
        <v>0</v>
      </c>
      <c r="O1611" s="5"/>
      <c r="S1611" s="6"/>
    </row>
    <row r="1612" spans="1:22" customFormat="1" x14ac:dyDescent="0.45">
      <c r="A1612">
        <v>439996</v>
      </c>
      <c r="B1612" t="s">
        <v>19491</v>
      </c>
      <c r="C1612" t="s">
        <v>19492</v>
      </c>
      <c r="D1612">
        <v>1</v>
      </c>
      <c r="F1612" s="126"/>
      <c r="G1612" s="7">
        <v>0</v>
      </c>
      <c r="H1612" s="7">
        <v>0</v>
      </c>
      <c r="I1612" s="7">
        <v>0</v>
      </c>
      <c r="J1612" s="7">
        <v>0</v>
      </c>
      <c r="K1612" s="3">
        <f t="shared" si="60"/>
        <v>0</v>
      </c>
      <c r="L1612" s="3"/>
      <c r="M1612" s="3">
        <f t="shared" si="61"/>
        <v>0</v>
      </c>
      <c r="O1612" s="5"/>
      <c r="S1612" s="6"/>
    </row>
    <row r="1613" spans="1:22" customFormat="1" x14ac:dyDescent="0.45">
      <c r="A1613">
        <v>440000</v>
      </c>
      <c r="B1613" t="s">
        <v>19493</v>
      </c>
      <c r="C1613" t="s">
        <v>19494</v>
      </c>
      <c r="D1613">
        <v>1</v>
      </c>
      <c r="F1613" s="126"/>
      <c r="G1613" s="7">
        <v>0</v>
      </c>
      <c r="H1613" s="7">
        <v>0</v>
      </c>
      <c r="I1613" s="7">
        <v>0</v>
      </c>
      <c r="J1613" s="7">
        <v>0</v>
      </c>
      <c r="K1613" s="3">
        <f t="shared" si="60"/>
        <v>0</v>
      </c>
      <c r="L1613" s="3"/>
      <c r="M1613" s="3">
        <f t="shared" si="61"/>
        <v>0</v>
      </c>
      <c r="O1613" s="5"/>
      <c r="S1613" s="6"/>
    </row>
    <row r="1614" spans="1:22" customFormat="1" x14ac:dyDescent="0.45">
      <c r="A1614">
        <v>440045</v>
      </c>
      <c r="B1614" t="s">
        <v>19495</v>
      </c>
      <c r="C1614" s="2" t="s">
        <v>19496</v>
      </c>
      <c r="D1614">
        <v>1</v>
      </c>
      <c r="F1614" s="126"/>
      <c r="G1614" s="3">
        <v>0</v>
      </c>
      <c r="H1614" s="3">
        <v>0</v>
      </c>
      <c r="I1614" s="3">
        <v>0</v>
      </c>
      <c r="J1614" s="3">
        <v>0</v>
      </c>
      <c r="K1614" s="3">
        <f t="shared" si="60"/>
        <v>0</v>
      </c>
      <c r="L1614" s="3"/>
      <c r="M1614" s="3">
        <f t="shared" si="61"/>
        <v>0</v>
      </c>
      <c r="O1614" s="5"/>
      <c r="S1614" s="6"/>
    </row>
    <row r="1615" spans="1:22" customFormat="1" x14ac:dyDescent="0.45">
      <c r="A1615">
        <v>440049</v>
      </c>
      <c r="B1615" t="s">
        <v>19497</v>
      </c>
      <c r="C1615" t="s">
        <v>16331</v>
      </c>
      <c r="D1615">
        <v>1</v>
      </c>
      <c r="E1615" t="s">
        <v>16331</v>
      </c>
      <c r="F1615" s="126"/>
      <c r="G1615" s="7">
        <v>0</v>
      </c>
      <c r="H1615" s="7">
        <v>0</v>
      </c>
      <c r="I1615" s="7">
        <v>0</v>
      </c>
      <c r="J1615" s="7">
        <v>0</v>
      </c>
      <c r="K1615" s="3">
        <f t="shared" si="60"/>
        <v>0</v>
      </c>
      <c r="L1615" s="3"/>
      <c r="M1615" s="3">
        <f t="shared" si="61"/>
        <v>0</v>
      </c>
      <c r="O1615" s="5"/>
      <c r="S1615" s="6"/>
    </row>
    <row r="1616" spans="1:22" customFormat="1" x14ac:dyDescent="0.45">
      <c r="A1616">
        <v>440064</v>
      </c>
      <c r="B1616" t="s">
        <v>19498</v>
      </c>
      <c r="C1616" t="s">
        <v>16331</v>
      </c>
      <c r="D1616">
        <v>1</v>
      </c>
      <c r="E1616" t="s">
        <v>16331</v>
      </c>
      <c r="F1616" s="126"/>
      <c r="G1616" s="7">
        <v>0</v>
      </c>
      <c r="H1616" s="7">
        <v>0</v>
      </c>
      <c r="I1616" s="7">
        <v>0</v>
      </c>
      <c r="J1616" s="7">
        <v>0</v>
      </c>
      <c r="K1616" s="3">
        <f t="shared" si="60"/>
        <v>0</v>
      </c>
      <c r="L1616" s="3"/>
      <c r="M1616" s="3">
        <f t="shared" si="61"/>
        <v>0</v>
      </c>
      <c r="O1616" s="5"/>
      <c r="S1616" s="6"/>
    </row>
    <row r="1617" spans="1:19" customFormat="1" x14ac:dyDescent="0.45">
      <c r="A1617">
        <v>440099</v>
      </c>
      <c r="B1617" t="s">
        <v>19499</v>
      </c>
      <c r="C1617" t="s">
        <v>19500</v>
      </c>
      <c r="D1617">
        <v>2</v>
      </c>
      <c r="F1617" s="126"/>
      <c r="G1617" s="7">
        <v>0</v>
      </c>
      <c r="H1617" s="7">
        <v>0</v>
      </c>
      <c r="I1617" s="7">
        <v>0</v>
      </c>
      <c r="J1617" s="7">
        <v>0</v>
      </c>
      <c r="K1617" s="3">
        <f t="shared" si="60"/>
        <v>0</v>
      </c>
      <c r="L1617" s="3"/>
      <c r="M1617" s="3">
        <f t="shared" si="61"/>
        <v>0</v>
      </c>
      <c r="O1617" s="5"/>
      <c r="S1617" s="6"/>
    </row>
    <row r="1618" spans="1:19" customFormat="1" x14ac:dyDescent="0.45">
      <c r="A1618">
        <v>440201</v>
      </c>
      <c r="B1618" t="s">
        <v>19501</v>
      </c>
      <c r="C1618" t="s">
        <v>16331</v>
      </c>
      <c r="D1618">
        <v>2</v>
      </c>
      <c r="E1618" t="s">
        <v>16331</v>
      </c>
      <c r="F1618" s="126"/>
      <c r="G1618" s="7">
        <v>0</v>
      </c>
      <c r="H1618" s="7">
        <v>0</v>
      </c>
      <c r="I1618" s="7">
        <v>0</v>
      </c>
      <c r="J1618" s="7">
        <v>0</v>
      </c>
      <c r="K1618" s="3">
        <f t="shared" si="60"/>
        <v>0</v>
      </c>
      <c r="L1618" s="3"/>
      <c r="M1618" s="3">
        <f t="shared" si="61"/>
        <v>0</v>
      </c>
      <c r="O1618" s="5"/>
      <c r="S1618" s="6"/>
    </row>
    <row r="1619" spans="1:19" customFormat="1" x14ac:dyDescent="0.45">
      <c r="A1619">
        <v>440232</v>
      </c>
      <c r="B1619" t="s">
        <v>19502</v>
      </c>
      <c r="C1619" t="s">
        <v>19503</v>
      </c>
      <c r="D1619">
        <v>1</v>
      </c>
      <c r="F1619" s="126"/>
      <c r="G1619" s="7">
        <v>0</v>
      </c>
      <c r="H1619" s="7">
        <v>0</v>
      </c>
      <c r="I1619" s="7">
        <v>0</v>
      </c>
      <c r="J1619" s="7">
        <v>0</v>
      </c>
      <c r="K1619" s="3">
        <f t="shared" si="60"/>
        <v>0</v>
      </c>
      <c r="L1619" s="3"/>
      <c r="M1619" s="3">
        <f t="shared" si="61"/>
        <v>0</v>
      </c>
      <c r="O1619" s="5"/>
      <c r="S1619" s="6"/>
    </row>
    <row r="1620" spans="1:19" customFormat="1" x14ac:dyDescent="0.45">
      <c r="A1620">
        <v>440282</v>
      </c>
      <c r="B1620" t="s">
        <v>19504</v>
      </c>
      <c r="C1620" t="s">
        <v>16331</v>
      </c>
      <c r="D1620">
        <v>2</v>
      </c>
      <c r="E1620" t="s">
        <v>16331</v>
      </c>
      <c r="F1620" s="126"/>
      <c r="K1620" s="3">
        <f t="shared" si="60"/>
        <v>0</v>
      </c>
      <c r="L1620" s="3"/>
      <c r="M1620" s="3">
        <f t="shared" si="61"/>
        <v>0</v>
      </c>
      <c r="O1620" s="5"/>
      <c r="S1620" s="6"/>
    </row>
    <row r="1621" spans="1:19" customFormat="1" x14ac:dyDescent="0.45">
      <c r="A1621">
        <v>440408</v>
      </c>
      <c r="B1621" t="s">
        <v>19505</v>
      </c>
      <c r="C1621" t="s">
        <v>19506</v>
      </c>
      <c r="D1621">
        <v>1</v>
      </c>
      <c r="F1621" s="126"/>
      <c r="G1621" s="7">
        <v>0</v>
      </c>
      <c r="H1621" s="7">
        <v>0</v>
      </c>
      <c r="I1621" s="7">
        <v>0</v>
      </c>
      <c r="J1621" s="7">
        <v>0</v>
      </c>
      <c r="K1621" s="3">
        <f t="shared" si="60"/>
        <v>0</v>
      </c>
      <c r="L1621" s="3"/>
      <c r="M1621" s="3">
        <f t="shared" si="61"/>
        <v>0</v>
      </c>
      <c r="O1621" s="5"/>
      <c r="S1621" s="6"/>
    </row>
    <row r="1622" spans="1:19" customFormat="1" x14ac:dyDescent="0.45">
      <c r="A1622">
        <v>440472</v>
      </c>
      <c r="B1622" t="s">
        <v>19507</v>
      </c>
      <c r="C1622" t="s">
        <v>19508</v>
      </c>
      <c r="D1622">
        <v>1</v>
      </c>
      <c r="F1622" s="126"/>
      <c r="G1622" s="7">
        <v>0</v>
      </c>
      <c r="H1622" s="7">
        <v>0</v>
      </c>
      <c r="I1622" s="7">
        <v>0</v>
      </c>
      <c r="J1622" s="7">
        <v>0</v>
      </c>
      <c r="K1622" s="3">
        <f t="shared" si="60"/>
        <v>0</v>
      </c>
      <c r="L1622" s="3"/>
      <c r="M1622" s="3">
        <f t="shared" si="61"/>
        <v>0</v>
      </c>
      <c r="O1622" s="5"/>
      <c r="S1622" s="6"/>
    </row>
    <row r="1623" spans="1:19" customFormat="1" x14ac:dyDescent="0.45">
      <c r="A1623">
        <v>440481</v>
      </c>
      <c r="B1623" t="s">
        <v>19509</v>
      </c>
      <c r="C1623" t="s">
        <v>19510</v>
      </c>
      <c r="D1623">
        <v>1</v>
      </c>
      <c r="F1623" s="126"/>
      <c r="G1623" s="7">
        <v>0</v>
      </c>
      <c r="H1623" s="7">
        <v>0</v>
      </c>
      <c r="I1623" s="7">
        <v>0</v>
      </c>
      <c r="J1623" s="7">
        <v>0</v>
      </c>
      <c r="K1623" s="3">
        <f t="shared" si="60"/>
        <v>0</v>
      </c>
      <c r="L1623" s="3"/>
      <c r="M1623" s="3">
        <f t="shared" si="61"/>
        <v>0</v>
      </c>
      <c r="O1623" s="5"/>
      <c r="S1623" s="6"/>
    </row>
    <row r="1624" spans="1:19" customFormat="1" x14ac:dyDescent="0.45">
      <c r="A1624">
        <v>440484</v>
      </c>
      <c r="B1624" t="s">
        <v>19511</v>
      </c>
      <c r="C1624" t="s">
        <v>19512</v>
      </c>
      <c r="D1624">
        <v>4</v>
      </c>
      <c r="E1624" t="s">
        <v>16334</v>
      </c>
      <c r="F1624" s="126"/>
      <c r="G1624" s="3">
        <v>0</v>
      </c>
      <c r="H1624" s="3">
        <v>0</v>
      </c>
      <c r="I1624" s="3">
        <v>0</v>
      </c>
      <c r="J1624" s="3">
        <v>0</v>
      </c>
      <c r="K1624" s="3">
        <f t="shared" si="60"/>
        <v>0</v>
      </c>
      <c r="L1624" s="3"/>
      <c r="M1624" s="3">
        <f t="shared" si="61"/>
        <v>0</v>
      </c>
      <c r="O1624" s="5"/>
      <c r="S1624" s="6"/>
    </row>
    <row r="1625" spans="1:19" customFormat="1" x14ac:dyDescent="0.45">
      <c r="A1625">
        <v>440552</v>
      </c>
      <c r="B1625" t="s">
        <v>19513</v>
      </c>
      <c r="C1625" t="s">
        <v>19514</v>
      </c>
      <c r="D1625">
        <v>1</v>
      </c>
      <c r="F1625" s="126"/>
      <c r="G1625" s="7">
        <v>0</v>
      </c>
      <c r="H1625" s="7">
        <v>0</v>
      </c>
      <c r="I1625" s="7">
        <v>0</v>
      </c>
      <c r="J1625" s="7">
        <v>0</v>
      </c>
      <c r="K1625" s="3">
        <f t="shared" si="60"/>
        <v>0</v>
      </c>
      <c r="L1625" s="3"/>
      <c r="M1625" s="3">
        <f t="shared" si="61"/>
        <v>0</v>
      </c>
      <c r="O1625" s="5"/>
      <c r="S1625" s="6"/>
    </row>
    <row r="1626" spans="1:19" customFormat="1" x14ac:dyDescent="0.45">
      <c r="A1626">
        <v>440557</v>
      </c>
      <c r="B1626" t="s">
        <v>19515</v>
      </c>
      <c r="C1626" t="s">
        <v>19516</v>
      </c>
      <c r="D1626">
        <v>4</v>
      </c>
      <c r="F1626" s="126"/>
      <c r="G1626" s="7">
        <v>0</v>
      </c>
      <c r="H1626" s="7">
        <v>0</v>
      </c>
      <c r="I1626" s="7">
        <v>0</v>
      </c>
      <c r="J1626" s="7">
        <v>0</v>
      </c>
      <c r="K1626" s="3">
        <f t="shared" si="60"/>
        <v>0</v>
      </c>
      <c r="L1626" s="3"/>
      <c r="M1626" s="3">
        <f t="shared" si="61"/>
        <v>0</v>
      </c>
      <c r="O1626" s="5"/>
      <c r="S1626" s="6"/>
    </row>
    <row r="1627" spans="1:19" customFormat="1" x14ac:dyDescent="0.45">
      <c r="A1627">
        <v>440573</v>
      </c>
      <c r="B1627" t="s">
        <v>19517</v>
      </c>
      <c r="C1627" t="s">
        <v>16331</v>
      </c>
      <c r="D1627">
        <v>1</v>
      </c>
      <c r="E1627" t="s">
        <v>16331</v>
      </c>
      <c r="F1627" s="126"/>
      <c r="G1627" s="7">
        <v>0</v>
      </c>
      <c r="H1627" s="7">
        <v>0</v>
      </c>
      <c r="I1627" s="7">
        <v>0</v>
      </c>
      <c r="J1627" s="7">
        <v>0</v>
      </c>
      <c r="K1627" s="3">
        <f t="shared" si="60"/>
        <v>0</v>
      </c>
      <c r="L1627" s="3"/>
      <c r="M1627" s="3">
        <f t="shared" si="61"/>
        <v>0</v>
      </c>
      <c r="O1627" s="5"/>
      <c r="S1627" s="6"/>
    </row>
    <row r="1628" spans="1:19" customFormat="1" x14ac:dyDescent="0.45">
      <c r="A1628">
        <v>440577</v>
      </c>
      <c r="B1628" t="s">
        <v>19518</v>
      </c>
      <c r="C1628" t="s">
        <v>19519</v>
      </c>
      <c r="D1628">
        <v>1</v>
      </c>
      <c r="F1628" s="126"/>
      <c r="G1628" s="7">
        <v>0</v>
      </c>
      <c r="H1628" s="7">
        <v>0</v>
      </c>
      <c r="I1628" s="7">
        <v>0</v>
      </c>
      <c r="J1628" s="7">
        <v>0</v>
      </c>
      <c r="K1628" s="3">
        <f t="shared" si="60"/>
        <v>0</v>
      </c>
      <c r="L1628" s="3"/>
      <c r="M1628" s="3">
        <f t="shared" si="61"/>
        <v>0</v>
      </c>
      <c r="O1628" s="5"/>
      <c r="S1628" s="6"/>
    </row>
    <row r="1629" spans="1:19" customFormat="1" x14ac:dyDescent="0.45">
      <c r="A1629">
        <v>440589</v>
      </c>
      <c r="B1629" t="s">
        <v>19520</v>
      </c>
      <c r="C1629" t="s">
        <v>19521</v>
      </c>
      <c r="D1629">
        <v>11</v>
      </c>
      <c r="F1629" s="126"/>
      <c r="G1629" s="7">
        <v>0</v>
      </c>
      <c r="H1629" s="7">
        <v>0</v>
      </c>
      <c r="I1629" s="7">
        <v>0</v>
      </c>
      <c r="J1629" s="7">
        <v>0</v>
      </c>
      <c r="K1629" s="3">
        <f t="shared" si="60"/>
        <v>0</v>
      </c>
      <c r="L1629" s="3"/>
      <c r="M1629" s="3">
        <f t="shared" si="61"/>
        <v>0</v>
      </c>
      <c r="O1629" s="5"/>
      <c r="S1629" s="6"/>
    </row>
    <row r="1630" spans="1:19" customFormat="1" x14ac:dyDescent="0.45">
      <c r="A1630">
        <v>440633</v>
      </c>
      <c r="B1630" t="s">
        <v>19522</v>
      </c>
      <c r="C1630" t="s">
        <v>19523</v>
      </c>
      <c r="D1630">
        <v>16</v>
      </c>
      <c r="F1630" s="126"/>
      <c r="G1630" s="7">
        <v>0</v>
      </c>
      <c r="H1630" s="7">
        <v>0</v>
      </c>
      <c r="I1630" s="7">
        <v>0</v>
      </c>
      <c r="J1630" s="7">
        <v>0</v>
      </c>
      <c r="K1630" s="3">
        <f t="shared" si="60"/>
        <v>0</v>
      </c>
      <c r="L1630" s="3"/>
      <c r="M1630" s="3">
        <f t="shared" si="61"/>
        <v>0</v>
      </c>
      <c r="O1630" s="5"/>
      <c r="S1630" s="6"/>
    </row>
    <row r="1631" spans="1:19" customFormat="1" x14ac:dyDescent="0.45">
      <c r="A1631">
        <v>440668</v>
      </c>
      <c r="B1631" t="s">
        <v>19524</v>
      </c>
      <c r="C1631" t="s">
        <v>19525</v>
      </c>
      <c r="D1631">
        <v>8</v>
      </c>
      <c r="F1631" s="126"/>
      <c r="G1631" s="7">
        <v>0</v>
      </c>
      <c r="H1631" s="7">
        <v>0</v>
      </c>
      <c r="I1631" s="7">
        <v>0</v>
      </c>
      <c r="J1631" s="7">
        <v>0</v>
      </c>
      <c r="K1631" s="3">
        <f t="shared" si="60"/>
        <v>0</v>
      </c>
      <c r="L1631" s="3"/>
      <c r="M1631" s="3">
        <f t="shared" si="61"/>
        <v>0</v>
      </c>
      <c r="O1631" s="5"/>
      <c r="S1631" s="6"/>
    </row>
    <row r="1632" spans="1:19" customFormat="1" x14ac:dyDescent="0.45">
      <c r="A1632">
        <v>440698</v>
      </c>
      <c r="B1632" t="s">
        <v>19526</v>
      </c>
      <c r="C1632" t="s">
        <v>19527</v>
      </c>
      <c r="D1632">
        <v>5</v>
      </c>
      <c r="F1632" s="126"/>
      <c r="G1632" s="7">
        <v>0</v>
      </c>
      <c r="H1632" s="7">
        <v>0</v>
      </c>
      <c r="I1632" s="7">
        <v>0</v>
      </c>
      <c r="J1632" s="7">
        <v>0</v>
      </c>
      <c r="K1632" s="3">
        <f t="shared" si="60"/>
        <v>0</v>
      </c>
      <c r="L1632" s="3"/>
      <c r="M1632" s="3">
        <f t="shared" si="61"/>
        <v>0</v>
      </c>
      <c r="O1632" s="5"/>
      <c r="S1632" s="6"/>
    </row>
    <row r="1633" spans="1:22" x14ac:dyDescent="0.45">
      <c r="A1633" s="124">
        <v>218745</v>
      </c>
      <c r="B1633" s="124" t="s">
        <v>19528</v>
      </c>
      <c r="C1633" s="124" t="s">
        <v>19529</v>
      </c>
      <c r="D1633" s="124">
        <v>27</v>
      </c>
      <c r="E1633" s="124" t="s">
        <v>16334</v>
      </c>
      <c r="F1633" s="126">
        <v>1.6999999999999999E-3</v>
      </c>
      <c r="G1633" s="135">
        <v>0.01</v>
      </c>
      <c r="H1633" s="135">
        <v>0.01</v>
      </c>
      <c r="I1633" s="127"/>
      <c r="J1633" s="127"/>
      <c r="K1633" s="126">
        <f t="shared" si="60"/>
        <v>0.02</v>
      </c>
      <c r="L1633" s="3"/>
      <c r="M1633" s="126">
        <f t="shared" si="61"/>
        <v>2.1700000000000001E-2</v>
      </c>
      <c r="O1633" s="125" t="s">
        <v>19530</v>
      </c>
      <c r="P1633" s="128" t="s">
        <v>26918</v>
      </c>
      <c r="Q1633" s="130">
        <f>1688977+252324</f>
        <v>1941301</v>
      </c>
      <c r="R1633" s="124" t="s">
        <v>16348</v>
      </c>
      <c r="S1633" s="130">
        <v>1053259</v>
      </c>
      <c r="T1633" s="129">
        <f>S1633/Q1633</f>
        <v>0.5425531640894431</v>
      </c>
      <c r="V1633" s="125" t="s">
        <v>19531</v>
      </c>
    </row>
    <row r="1634" spans="1:22" customFormat="1" x14ac:dyDescent="0.45">
      <c r="A1634">
        <v>440751</v>
      </c>
      <c r="B1634" t="s">
        <v>19532</v>
      </c>
      <c r="C1634" t="s">
        <v>19533</v>
      </c>
      <c r="D1634">
        <v>3</v>
      </c>
      <c r="F1634" s="126"/>
      <c r="G1634" s="3">
        <v>0</v>
      </c>
      <c r="H1634" s="3">
        <v>0</v>
      </c>
      <c r="I1634" s="3">
        <v>0</v>
      </c>
      <c r="J1634" s="3">
        <v>0</v>
      </c>
      <c r="K1634" s="3">
        <f t="shared" si="60"/>
        <v>0</v>
      </c>
      <c r="L1634" s="3"/>
      <c r="M1634" s="3">
        <f t="shared" si="61"/>
        <v>0</v>
      </c>
      <c r="O1634" s="5"/>
      <c r="S1634" s="6"/>
    </row>
    <row r="1635" spans="1:22" customFormat="1" x14ac:dyDescent="0.45">
      <c r="A1635">
        <v>440753</v>
      </c>
      <c r="B1635" t="s">
        <v>19534</v>
      </c>
      <c r="C1635" t="s">
        <v>19535</v>
      </c>
      <c r="D1635">
        <v>0</v>
      </c>
      <c r="E1635" t="s">
        <v>16561</v>
      </c>
      <c r="F1635" s="126"/>
      <c r="G1635" s="7">
        <v>0</v>
      </c>
      <c r="H1635" s="7">
        <v>0</v>
      </c>
      <c r="I1635" s="7">
        <v>0</v>
      </c>
      <c r="J1635" s="7">
        <v>0</v>
      </c>
      <c r="K1635" s="3">
        <f t="shared" si="60"/>
        <v>0</v>
      </c>
      <c r="L1635" s="3"/>
      <c r="M1635" s="3">
        <f t="shared" si="61"/>
        <v>0</v>
      </c>
      <c r="O1635" s="5"/>
      <c r="S1635" s="6"/>
    </row>
    <row r="1636" spans="1:22" customFormat="1" x14ac:dyDescent="0.45">
      <c r="A1636">
        <v>440803</v>
      </c>
      <c r="B1636" t="s">
        <v>19536</v>
      </c>
      <c r="C1636" t="s">
        <v>19537</v>
      </c>
      <c r="D1636">
        <v>2</v>
      </c>
      <c r="F1636" s="126"/>
      <c r="G1636" s="7">
        <v>0</v>
      </c>
      <c r="H1636" s="7">
        <v>0</v>
      </c>
      <c r="I1636" s="7">
        <v>0</v>
      </c>
      <c r="J1636" s="7">
        <v>0</v>
      </c>
      <c r="K1636" s="3">
        <f t="shared" si="60"/>
        <v>0</v>
      </c>
      <c r="L1636" s="3"/>
      <c r="M1636" s="3">
        <f t="shared" si="61"/>
        <v>0</v>
      </c>
      <c r="O1636" s="5"/>
      <c r="S1636" s="6"/>
    </row>
    <row r="1637" spans="1:22" x14ac:dyDescent="0.45">
      <c r="A1637" s="124">
        <v>106078</v>
      </c>
      <c r="B1637" s="124" t="s">
        <v>19538</v>
      </c>
      <c r="C1637" s="125" t="s">
        <v>19539</v>
      </c>
      <c r="D1637" s="124">
        <v>245</v>
      </c>
      <c r="E1637" s="124" t="s">
        <v>16417</v>
      </c>
      <c r="F1637" s="126">
        <v>5.7999999999999996E-3</v>
      </c>
      <c r="G1637" s="126">
        <v>2.5000000000000001E-2</v>
      </c>
      <c r="H1637" s="126">
        <v>7.4999999999999997E-3</v>
      </c>
      <c r="I1637" s="127">
        <v>0</v>
      </c>
      <c r="J1637" s="127">
        <v>0</v>
      </c>
      <c r="K1637" s="126">
        <f t="shared" si="60"/>
        <v>3.2500000000000001E-2</v>
      </c>
      <c r="L1637" s="3"/>
      <c r="M1637" s="126">
        <f t="shared" si="61"/>
        <v>3.8300000000000001E-2</v>
      </c>
      <c r="N1637" s="124" t="s">
        <v>19540</v>
      </c>
      <c r="O1637" s="125" t="s">
        <v>19541</v>
      </c>
      <c r="P1637" s="125" t="s">
        <v>19542</v>
      </c>
      <c r="Q1637" s="130">
        <v>79014000</v>
      </c>
      <c r="R1637" s="130" t="s">
        <v>19543</v>
      </c>
      <c r="S1637" s="130">
        <v>48923000</v>
      </c>
      <c r="T1637" s="129">
        <f>S1637/Q1637</f>
        <v>0.61916875490419421</v>
      </c>
      <c r="U1637" s="130"/>
      <c r="V1637" s="125" t="s">
        <v>19544</v>
      </c>
    </row>
    <row r="1638" spans="1:22" customFormat="1" x14ac:dyDescent="0.45">
      <c r="A1638">
        <v>440850</v>
      </c>
      <c r="B1638" t="s">
        <v>19545</v>
      </c>
      <c r="C1638" t="s">
        <v>16331</v>
      </c>
      <c r="D1638">
        <v>3</v>
      </c>
      <c r="E1638" t="s">
        <v>16331</v>
      </c>
      <c r="F1638" s="126"/>
      <c r="G1638" s="7">
        <v>0</v>
      </c>
      <c r="H1638" s="7">
        <v>0</v>
      </c>
      <c r="I1638" s="7">
        <v>0</v>
      </c>
      <c r="J1638" s="7">
        <v>0</v>
      </c>
      <c r="K1638" s="3">
        <f t="shared" si="60"/>
        <v>0</v>
      </c>
      <c r="L1638" s="3"/>
      <c r="M1638" s="3">
        <f t="shared" si="61"/>
        <v>0</v>
      </c>
      <c r="O1638" s="5"/>
      <c r="S1638" s="6"/>
    </row>
    <row r="1639" spans="1:22" x14ac:dyDescent="0.45">
      <c r="A1639" s="124">
        <v>192666</v>
      </c>
      <c r="B1639" s="124" t="s">
        <v>19546</v>
      </c>
      <c r="C1639" s="125" t="s">
        <v>19547</v>
      </c>
      <c r="D1639" s="124">
        <v>245</v>
      </c>
      <c r="E1639" s="124" t="s">
        <v>16417</v>
      </c>
      <c r="F1639" s="126">
        <v>5.7999999999999996E-3</v>
      </c>
      <c r="G1639" s="137">
        <v>2.5000000000000001E-2</v>
      </c>
      <c r="H1639" s="126">
        <v>7.4999999999999997E-3</v>
      </c>
      <c r="I1639" s="127">
        <v>0</v>
      </c>
      <c r="J1639" s="127">
        <v>0</v>
      </c>
      <c r="K1639" s="126">
        <f t="shared" si="60"/>
        <v>3.2500000000000001E-2</v>
      </c>
      <c r="L1639" s="3"/>
      <c r="M1639" s="126">
        <f t="shared" si="61"/>
        <v>3.8300000000000001E-2</v>
      </c>
      <c r="N1639" s="124" t="s">
        <v>19548</v>
      </c>
      <c r="O1639" s="125" t="s">
        <v>19541</v>
      </c>
      <c r="P1639" s="125" t="s">
        <v>19542</v>
      </c>
      <c r="Q1639" s="130">
        <v>79014000</v>
      </c>
      <c r="R1639" s="130" t="s">
        <v>16348</v>
      </c>
      <c r="S1639" s="130">
        <v>48923000</v>
      </c>
      <c r="T1639" s="129">
        <f>S1639/Q1639</f>
        <v>0.61916875490419421</v>
      </c>
      <c r="U1639" s="130"/>
      <c r="V1639" s="125" t="s">
        <v>19549</v>
      </c>
    </row>
    <row r="1640" spans="1:22" customFormat="1" x14ac:dyDescent="0.45">
      <c r="A1640">
        <v>440915</v>
      </c>
      <c r="B1640" t="s">
        <v>19550</v>
      </c>
      <c r="C1640" t="s">
        <v>19551</v>
      </c>
      <c r="D1640">
        <v>2</v>
      </c>
      <c r="F1640" s="126"/>
      <c r="G1640" s="7">
        <v>0</v>
      </c>
      <c r="H1640" s="7">
        <v>0</v>
      </c>
      <c r="I1640" s="7">
        <v>0</v>
      </c>
      <c r="J1640" s="7">
        <v>0</v>
      </c>
      <c r="K1640" s="3">
        <f t="shared" si="60"/>
        <v>0</v>
      </c>
      <c r="L1640" s="3"/>
      <c r="M1640" s="3">
        <f t="shared" si="61"/>
        <v>0</v>
      </c>
      <c r="O1640" s="5"/>
      <c r="S1640" s="6"/>
    </row>
    <row r="1641" spans="1:22" customFormat="1" x14ac:dyDescent="0.45">
      <c r="A1641">
        <v>440982</v>
      </c>
      <c r="B1641" t="s">
        <v>19552</v>
      </c>
      <c r="C1641" t="s">
        <v>19553</v>
      </c>
      <c r="D1641">
        <v>3</v>
      </c>
      <c r="F1641" s="126"/>
      <c r="G1641" s="7">
        <v>0</v>
      </c>
      <c r="H1641" s="7">
        <v>0</v>
      </c>
      <c r="I1641" s="7">
        <v>0</v>
      </c>
      <c r="J1641" s="7">
        <v>0</v>
      </c>
      <c r="K1641" s="3">
        <f t="shared" si="60"/>
        <v>0</v>
      </c>
      <c r="L1641" s="3"/>
      <c r="M1641" s="3">
        <f t="shared" si="61"/>
        <v>0</v>
      </c>
      <c r="O1641" s="5"/>
      <c r="S1641" s="6"/>
    </row>
    <row r="1642" spans="1:22" customFormat="1" x14ac:dyDescent="0.45">
      <c r="A1642">
        <v>441074</v>
      </c>
      <c r="B1642" t="s">
        <v>19554</v>
      </c>
      <c r="C1642" t="s">
        <v>16331</v>
      </c>
      <c r="D1642">
        <v>4</v>
      </c>
      <c r="E1642" t="s">
        <v>16331</v>
      </c>
      <c r="F1642" s="126"/>
      <c r="G1642" s="7">
        <v>0</v>
      </c>
      <c r="H1642" s="7">
        <v>0</v>
      </c>
      <c r="I1642" s="7">
        <v>0</v>
      </c>
      <c r="J1642" s="7">
        <v>0</v>
      </c>
      <c r="K1642" s="3">
        <f t="shared" si="60"/>
        <v>0</v>
      </c>
      <c r="L1642" s="3"/>
      <c r="M1642" s="3">
        <f t="shared" si="61"/>
        <v>0</v>
      </c>
      <c r="O1642" s="5"/>
      <c r="S1642" s="6"/>
    </row>
    <row r="1643" spans="1:22" customFormat="1" x14ac:dyDescent="0.45">
      <c r="A1643">
        <v>441172</v>
      </c>
      <c r="B1643" t="s">
        <v>19555</v>
      </c>
      <c r="C1643" t="s">
        <v>16331</v>
      </c>
      <c r="D1643">
        <v>0</v>
      </c>
      <c r="E1643" t="s">
        <v>16331</v>
      </c>
      <c r="F1643" s="126"/>
      <c r="G1643" s="7">
        <v>0</v>
      </c>
      <c r="H1643" s="7">
        <v>0</v>
      </c>
      <c r="I1643" s="7">
        <v>0</v>
      </c>
      <c r="J1643" s="7">
        <v>0</v>
      </c>
      <c r="K1643" s="3">
        <f t="shared" si="60"/>
        <v>0</v>
      </c>
      <c r="L1643" s="3"/>
      <c r="M1643" s="3">
        <f t="shared" si="61"/>
        <v>0</v>
      </c>
      <c r="O1643" s="5"/>
      <c r="S1643" s="6"/>
    </row>
    <row r="1644" spans="1:22" customFormat="1" x14ac:dyDescent="0.45">
      <c r="A1644">
        <v>441181</v>
      </c>
      <c r="B1644" t="s">
        <v>19556</v>
      </c>
      <c r="C1644" t="s">
        <v>19557</v>
      </c>
      <c r="D1644">
        <v>4</v>
      </c>
      <c r="F1644" s="126"/>
      <c r="G1644" s="7">
        <v>0</v>
      </c>
      <c r="H1644" s="7">
        <v>0</v>
      </c>
      <c r="I1644" s="7">
        <v>0</v>
      </c>
      <c r="J1644" s="7">
        <v>0</v>
      </c>
      <c r="K1644" s="3">
        <f t="shared" si="60"/>
        <v>0</v>
      </c>
      <c r="L1644" s="3"/>
      <c r="M1644" s="3">
        <f t="shared" si="61"/>
        <v>0</v>
      </c>
      <c r="O1644" s="5"/>
      <c r="S1644" s="6"/>
    </row>
    <row r="1645" spans="1:22" customFormat="1" x14ac:dyDescent="0.45">
      <c r="A1645">
        <v>441196</v>
      </c>
      <c r="B1645" t="s">
        <v>19558</v>
      </c>
      <c r="C1645" t="s">
        <v>16331</v>
      </c>
      <c r="D1645">
        <v>1</v>
      </c>
      <c r="E1645" t="s">
        <v>16331</v>
      </c>
      <c r="F1645" s="126"/>
      <c r="G1645" s="7">
        <v>0</v>
      </c>
      <c r="H1645" s="7">
        <v>0</v>
      </c>
      <c r="I1645" s="7">
        <v>0</v>
      </c>
      <c r="J1645" s="7">
        <v>0</v>
      </c>
      <c r="K1645" s="3">
        <f t="shared" si="60"/>
        <v>0</v>
      </c>
      <c r="L1645" s="3"/>
      <c r="M1645" s="3">
        <f t="shared" si="61"/>
        <v>0</v>
      </c>
      <c r="O1645" s="5"/>
      <c r="S1645" s="6"/>
    </row>
    <row r="1646" spans="1:22" customFormat="1" x14ac:dyDescent="0.45">
      <c r="A1646">
        <v>441299</v>
      </c>
      <c r="B1646" t="s">
        <v>19559</v>
      </c>
      <c r="C1646" t="s">
        <v>19560</v>
      </c>
      <c r="D1646">
        <v>6</v>
      </c>
      <c r="F1646" s="126"/>
      <c r="G1646" s="7">
        <v>0</v>
      </c>
      <c r="H1646" s="7">
        <v>0</v>
      </c>
      <c r="I1646" s="7">
        <v>0</v>
      </c>
      <c r="J1646" s="7">
        <v>0</v>
      </c>
      <c r="K1646" s="3">
        <f t="shared" si="60"/>
        <v>0</v>
      </c>
      <c r="L1646" s="3"/>
      <c r="M1646" s="3">
        <f t="shared" si="61"/>
        <v>0</v>
      </c>
      <c r="O1646" s="5"/>
      <c r="S1646" s="6"/>
    </row>
    <row r="1647" spans="1:22" customFormat="1" x14ac:dyDescent="0.45">
      <c r="A1647">
        <v>441316</v>
      </c>
      <c r="B1647" t="s">
        <v>19561</v>
      </c>
      <c r="C1647" s="2" t="s">
        <v>19562</v>
      </c>
      <c r="D1647">
        <v>4</v>
      </c>
      <c r="F1647" s="126"/>
      <c r="G1647" s="3">
        <v>0</v>
      </c>
      <c r="H1647" s="3">
        <v>0</v>
      </c>
      <c r="I1647" s="3">
        <v>0</v>
      </c>
      <c r="J1647" s="3">
        <v>0</v>
      </c>
      <c r="K1647" s="3">
        <f t="shared" si="60"/>
        <v>0</v>
      </c>
      <c r="L1647" s="3"/>
      <c r="M1647" s="3">
        <f t="shared" si="61"/>
        <v>0</v>
      </c>
      <c r="O1647" s="5"/>
      <c r="S1647" s="6"/>
    </row>
    <row r="1648" spans="1:22" customFormat="1" x14ac:dyDescent="0.45">
      <c r="A1648">
        <v>441352</v>
      </c>
      <c r="B1648" t="s">
        <v>19563</v>
      </c>
      <c r="C1648" t="s">
        <v>19564</v>
      </c>
      <c r="D1648">
        <v>4</v>
      </c>
      <c r="F1648" s="126"/>
      <c r="G1648" s="7">
        <v>0</v>
      </c>
      <c r="H1648" s="7">
        <v>0</v>
      </c>
      <c r="I1648" s="7">
        <v>0</v>
      </c>
      <c r="J1648" s="7">
        <v>0</v>
      </c>
      <c r="K1648" s="3">
        <f t="shared" si="60"/>
        <v>0</v>
      </c>
      <c r="L1648" s="3"/>
      <c r="M1648" s="3">
        <f t="shared" si="61"/>
        <v>0</v>
      </c>
      <c r="O1648" s="5"/>
      <c r="S1648" s="6"/>
    </row>
    <row r="1649" spans="1:19" customFormat="1" x14ac:dyDescent="0.45">
      <c r="A1649">
        <v>441359</v>
      </c>
      <c r="B1649" t="s">
        <v>19565</v>
      </c>
      <c r="C1649" s="2" t="s">
        <v>19566</v>
      </c>
      <c r="D1649">
        <v>120</v>
      </c>
      <c r="E1649" t="s">
        <v>16334</v>
      </c>
      <c r="F1649" s="126"/>
      <c r="G1649" s="7">
        <v>0</v>
      </c>
      <c r="H1649" s="7">
        <v>0</v>
      </c>
      <c r="I1649" s="7">
        <v>0</v>
      </c>
      <c r="J1649" s="7">
        <v>0</v>
      </c>
      <c r="K1649" s="3">
        <f t="shared" si="60"/>
        <v>0</v>
      </c>
      <c r="L1649" s="3"/>
      <c r="M1649" s="3">
        <f t="shared" si="61"/>
        <v>0</v>
      </c>
      <c r="O1649" s="5"/>
      <c r="S1649" s="6"/>
    </row>
    <row r="1650" spans="1:19" customFormat="1" x14ac:dyDescent="0.45">
      <c r="A1650">
        <v>441383</v>
      </c>
      <c r="B1650" t="s">
        <v>19567</v>
      </c>
      <c r="C1650" t="s">
        <v>19568</v>
      </c>
      <c r="D1650">
        <v>1</v>
      </c>
      <c r="F1650" s="126"/>
      <c r="G1650" s="3"/>
      <c r="H1650" s="3"/>
      <c r="I1650" s="3"/>
      <c r="J1650" s="3"/>
      <c r="K1650" s="3">
        <f t="shared" si="60"/>
        <v>0</v>
      </c>
      <c r="L1650" s="3"/>
      <c r="M1650" s="3">
        <f t="shared" si="61"/>
        <v>0</v>
      </c>
      <c r="O1650" s="5"/>
      <c r="S1650" s="6"/>
    </row>
    <row r="1651" spans="1:19" customFormat="1" x14ac:dyDescent="0.45">
      <c r="A1651">
        <v>441384</v>
      </c>
      <c r="B1651" t="s">
        <v>19569</v>
      </c>
      <c r="C1651" t="s">
        <v>19570</v>
      </c>
      <c r="D1651">
        <v>9</v>
      </c>
      <c r="F1651" s="126"/>
      <c r="G1651" s="3">
        <v>0</v>
      </c>
      <c r="H1651" s="3">
        <v>0</v>
      </c>
      <c r="I1651" s="3">
        <v>0</v>
      </c>
      <c r="J1651" s="3">
        <v>0</v>
      </c>
      <c r="K1651" s="3">
        <f t="shared" si="60"/>
        <v>0</v>
      </c>
      <c r="L1651" s="3"/>
      <c r="M1651" s="3">
        <f t="shared" si="61"/>
        <v>0</v>
      </c>
      <c r="O1651" s="5"/>
      <c r="S1651" s="6"/>
    </row>
    <row r="1652" spans="1:19" customFormat="1" x14ac:dyDescent="0.45">
      <c r="A1652">
        <v>441386</v>
      </c>
      <c r="B1652" t="s">
        <v>19571</v>
      </c>
      <c r="C1652" t="s">
        <v>19572</v>
      </c>
      <c r="D1652">
        <v>2</v>
      </c>
      <c r="F1652" s="126"/>
      <c r="G1652" s="7">
        <v>0</v>
      </c>
      <c r="H1652" s="7">
        <v>0</v>
      </c>
      <c r="I1652" s="7">
        <v>0</v>
      </c>
      <c r="J1652" s="7">
        <v>0</v>
      </c>
      <c r="K1652" s="3">
        <f t="shared" si="60"/>
        <v>0</v>
      </c>
      <c r="L1652" s="3"/>
      <c r="M1652" s="3">
        <f t="shared" si="61"/>
        <v>0</v>
      </c>
      <c r="N1652" s="7"/>
      <c r="O1652" s="5"/>
      <c r="S1652" s="6"/>
    </row>
    <row r="1653" spans="1:19" customFormat="1" x14ac:dyDescent="0.45">
      <c r="A1653">
        <v>441394</v>
      </c>
      <c r="B1653" t="s">
        <v>19573</v>
      </c>
      <c r="C1653" t="s">
        <v>19574</v>
      </c>
      <c r="D1653">
        <v>1</v>
      </c>
      <c r="F1653" s="126"/>
      <c r="G1653" s="7">
        <v>0</v>
      </c>
      <c r="H1653" s="7">
        <v>0</v>
      </c>
      <c r="I1653" s="7">
        <v>0</v>
      </c>
      <c r="J1653" s="7">
        <v>0</v>
      </c>
      <c r="K1653" s="3">
        <f t="shared" si="60"/>
        <v>0</v>
      </c>
      <c r="L1653" s="3"/>
      <c r="M1653" s="3">
        <f t="shared" si="61"/>
        <v>0</v>
      </c>
      <c r="O1653" s="5"/>
      <c r="S1653" s="6"/>
    </row>
    <row r="1654" spans="1:19" customFormat="1" x14ac:dyDescent="0.45">
      <c r="A1654">
        <v>441508</v>
      </c>
      <c r="B1654" t="s">
        <v>19575</v>
      </c>
      <c r="C1654" t="s">
        <v>19576</v>
      </c>
      <c r="D1654">
        <v>1</v>
      </c>
      <c r="F1654" s="126"/>
      <c r="G1654" s="3">
        <v>0</v>
      </c>
      <c r="H1654" s="3">
        <v>0</v>
      </c>
      <c r="I1654" s="3">
        <v>0</v>
      </c>
      <c r="J1654" s="3">
        <v>0</v>
      </c>
      <c r="K1654" s="3">
        <f t="shared" si="60"/>
        <v>0</v>
      </c>
      <c r="L1654" s="3"/>
      <c r="M1654" s="3">
        <f t="shared" si="61"/>
        <v>0</v>
      </c>
      <c r="O1654" s="5"/>
      <c r="S1654" s="6"/>
    </row>
    <row r="1655" spans="1:19" customFormat="1" x14ac:dyDescent="0.45">
      <c r="A1655">
        <v>441521</v>
      </c>
      <c r="B1655" t="s">
        <v>19577</v>
      </c>
      <c r="C1655" t="s">
        <v>19578</v>
      </c>
      <c r="D1655">
        <v>2</v>
      </c>
      <c r="F1655" s="126"/>
      <c r="G1655" s="7">
        <v>0</v>
      </c>
      <c r="H1655" s="7">
        <v>0</v>
      </c>
      <c r="I1655" s="7">
        <v>0</v>
      </c>
      <c r="J1655" s="7">
        <v>0</v>
      </c>
      <c r="K1655" s="3">
        <f t="shared" si="60"/>
        <v>0</v>
      </c>
      <c r="L1655" s="3"/>
      <c r="M1655" s="3">
        <f t="shared" si="61"/>
        <v>0</v>
      </c>
      <c r="O1655" s="5"/>
      <c r="S1655" s="6"/>
    </row>
    <row r="1656" spans="1:19" customFormat="1" x14ac:dyDescent="0.45">
      <c r="A1656">
        <v>441587</v>
      </c>
      <c r="B1656" t="s">
        <v>19579</v>
      </c>
      <c r="C1656" t="s">
        <v>19580</v>
      </c>
      <c r="D1656">
        <v>0</v>
      </c>
      <c r="E1656" t="s">
        <v>16561</v>
      </c>
      <c r="F1656" s="126"/>
      <c r="G1656" s="7">
        <v>0</v>
      </c>
      <c r="H1656" s="7">
        <v>0</v>
      </c>
      <c r="I1656" s="7">
        <v>0</v>
      </c>
      <c r="J1656" s="7">
        <v>0</v>
      </c>
      <c r="K1656" s="3">
        <f t="shared" si="60"/>
        <v>0</v>
      </c>
      <c r="L1656" s="3"/>
      <c r="M1656" s="3">
        <f t="shared" si="61"/>
        <v>0</v>
      </c>
      <c r="N1656" s="7"/>
      <c r="O1656" s="5"/>
      <c r="S1656" s="6"/>
    </row>
    <row r="1657" spans="1:19" customFormat="1" x14ac:dyDescent="0.45">
      <c r="A1657">
        <v>441680</v>
      </c>
      <c r="B1657" t="s">
        <v>19581</v>
      </c>
      <c r="C1657" t="s">
        <v>19582</v>
      </c>
      <c r="D1657">
        <v>1</v>
      </c>
      <c r="F1657" s="126"/>
      <c r="G1657" s="7">
        <v>0</v>
      </c>
      <c r="H1657" s="7">
        <v>0</v>
      </c>
      <c r="I1657" s="7">
        <v>0</v>
      </c>
      <c r="J1657" s="7">
        <v>0</v>
      </c>
      <c r="K1657" s="3">
        <f t="shared" si="60"/>
        <v>0</v>
      </c>
      <c r="L1657" s="3"/>
      <c r="M1657" s="3">
        <f t="shared" si="61"/>
        <v>0</v>
      </c>
      <c r="O1657" s="5"/>
      <c r="S1657" s="6"/>
    </row>
    <row r="1658" spans="1:19" customFormat="1" x14ac:dyDescent="0.45">
      <c r="A1658">
        <v>441834</v>
      </c>
      <c r="B1658" t="s">
        <v>19583</v>
      </c>
      <c r="C1658" t="s">
        <v>16331</v>
      </c>
      <c r="D1658">
        <v>1</v>
      </c>
      <c r="E1658" t="s">
        <v>16331</v>
      </c>
      <c r="F1658" s="126"/>
      <c r="G1658" s="7">
        <v>0</v>
      </c>
      <c r="H1658" s="7">
        <v>0</v>
      </c>
      <c r="I1658" s="7">
        <v>0</v>
      </c>
      <c r="J1658" s="7">
        <v>0</v>
      </c>
      <c r="K1658" s="3">
        <f t="shared" si="60"/>
        <v>0</v>
      </c>
      <c r="L1658" s="3"/>
      <c r="M1658" s="3">
        <f t="shared" si="61"/>
        <v>0</v>
      </c>
      <c r="O1658" s="5"/>
      <c r="S1658" s="6"/>
    </row>
    <row r="1659" spans="1:19" customFormat="1" x14ac:dyDescent="0.45">
      <c r="A1659">
        <v>441849</v>
      </c>
      <c r="B1659" t="s">
        <v>19584</v>
      </c>
      <c r="C1659" t="s">
        <v>19585</v>
      </c>
      <c r="D1659">
        <v>2</v>
      </c>
      <c r="F1659" s="126"/>
      <c r="K1659" s="3">
        <f t="shared" si="60"/>
        <v>0</v>
      </c>
      <c r="L1659" s="3"/>
      <c r="M1659" s="3">
        <f t="shared" si="61"/>
        <v>0</v>
      </c>
      <c r="O1659" s="5"/>
      <c r="S1659" s="6"/>
    </row>
    <row r="1660" spans="1:19" customFormat="1" x14ac:dyDescent="0.45">
      <c r="A1660">
        <v>441911</v>
      </c>
      <c r="B1660" t="s">
        <v>19586</v>
      </c>
      <c r="C1660" t="s">
        <v>19587</v>
      </c>
      <c r="D1660">
        <v>1</v>
      </c>
      <c r="F1660" s="126"/>
      <c r="G1660" s="7">
        <v>0</v>
      </c>
      <c r="H1660" s="7">
        <v>0</v>
      </c>
      <c r="I1660" s="7">
        <v>0</v>
      </c>
      <c r="J1660" s="7">
        <v>0</v>
      </c>
      <c r="K1660" s="3">
        <f t="shared" si="60"/>
        <v>0</v>
      </c>
      <c r="L1660" s="3"/>
      <c r="M1660" s="3">
        <f t="shared" si="61"/>
        <v>0</v>
      </c>
      <c r="O1660" s="5"/>
      <c r="S1660" s="6"/>
    </row>
    <row r="1661" spans="1:19" customFormat="1" x14ac:dyDescent="0.45">
      <c r="A1661">
        <v>442050</v>
      </c>
      <c r="B1661" t="s">
        <v>19588</v>
      </c>
      <c r="C1661" t="s">
        <v>19589</v>
      </c>
      <c r="D1661">
        <v>2</v>
      </c>
      <c r="F1661" s="126"/>
      <c r="G1661" s="7">
        <v>0</v>
      </c>
      <c r="H1661" s="7">
        <v>0</v>
      </c>
      <c r="I1661" s="7">
        <v>0</v>
      </c>
      <c r="J1661" s="7">
        <v>0</v>
      </c>
      <c r="K1661" s="3">
        <f t="shared" si="60"/>
        <v>0</v>
      </c>
      <c r="L1661" s="3"/>
      <c r="M1661" s="3">
        <f t="shared" si="61"/>
        <v>0</v>
      </c>
      <c r="O1661" s="5"/>
      <c r="S1661" s="6"/>
    </row>
    <row r="1662" spans="1:19" customFormat="1" x14ac:dyDescent="0.45">
      <c r="A1662">
        <v>442051</v>
      </c>
      <c r="B1662" t="s">
        <v>19590</v>
      </c>
      <c r="C1662" t="s">
        <v>19591</v>
      </c>
      <c r="D1662">
        <v>1</v>
      </c>
      <c r="F1662" s="126"/>
      <c r="G1662" s="7">
        <v>0</v>
      </c>
      <c r="H1662" s="7">
        <v>0</v>
      </c>
      <c r="I1662" s="7">
        <v>0</v>
      </c>
      <c r="J1662" s="7">
        <v>0</v>
      </c>
      <c r="K1662" s="3">
        <f t="shared" ref="K1662:K1725" si="62">SUM(G1662:J1662)</f>
        <v>0</v>
      </c>
      <c r="L1662" s="3"/>
      <c r="M1662" s="3">
        <f t="shared" ref="M1662:M1727" si="63">K1662+F1662</f>
        <v>0</v>
      </c>
      <c r="O1662" s="5"/>
      <c r="S1662" s="6"/>
    </row>
    <row r="1663" spans="1:19" customFormat="1" x14ac:dyDescent="0.45">
      <c r="A1663">
        <v>442063</v>
      </c>
      <c r="B1663" t="s">
        <v>19592</v>
      </c>
      <c r="C1663" t="s">
        <v>19593</v>
      </c>
      <c r="D1663">
        <v>1</v>
      </c>
      <c r="F1663" s="126"/>
      <c r="G1663" s="7">
        <v>0</v>
      </c>
      <c r="H1663" s="7">
        <v>0</v>
      </c>
      <c r="I1663" s="7">
        <v>0</v>
      </c>
      <c r="J1663" s="7">
        <v>0</v>
      </c>
      <c r="K1663" s="3">
        <f t="shared" si="62"/>
        <v>0</v>
      </c>
      <c r="L1663" s="3"/>
      <c r="M1663" s="3">
        <f t="shared" si="63"/>
        <v>0</v>
      </c>
      <c r="O1663" s="5"/>
      <c r="S1663" s="6"/>
    </row>
    <row r="1664" spans="1:19" customFormat="1" x14ac:dyDescent="0.45">
      <c r="A1664">
        <v>442075</v>
      </c>
      <c r="B1664" t="s">
        <v>19594</v>
      </c>
      <c r="C1664" t="s">
        <v>19595</v>
      </c>
      <c r="D1664">
        <v>1</v>
      </c>
      <c r="F1664" s="126"/>
      <c r="G1664" s="7">
        <v>0</v>
      </c>
      <c r="H1664" s="7">
        <v>0</v>
      </c>
      <c r="I1664" s="7">
        <v>0</v>
      </c>
      <c r="J1664" s="7">
        <v>0</v>
      </c>
      <c r="K1664" s="3">
        <f t="shared" si="62"/>
        <v>0</v>
      </c>
      <c r="L1664" s="3"/>
      <c r="M1664" s="3">
        <f t="shared" si="63"/>
        <v>0</v>
      </c>
      <c r="O1664" s="5"/>
      <c r="S1664" s="6"/>
    </row>
    <row r="1665" spans="1:19" customFormat="1" x14ac:dyDescent="0.45">
      <c r="A1665">
        <v>442144</v>
      </c>
      <c r="B1665" t="s">
        <v>19596</v>
      </c>
      <c r="C1665" t="s">
        <v>19597</v>
      </c>
      <c r="D1665">
        <v>4</v>
      </c>
      <c r="F1665" s="126"/>
      <c r="G1665" s="3">
        <v>0</v>
      </c>
      <c r="H1665" s="3">
        <v>0</v>
      </c>
      <c r="I1665" s="3">
        <v>0</v>
      </c>
      <c r="J1665" s="3">
        <v>0</v>
      </c>
      <c r="K1665" s="3">
        <f t="shared" si="62"/>
        <v>0</v>
      </c>
      <c r="L1665" s="3"/>
      <c r="M1665" s="3">
        <f t="shared" si="63"/>
        <v>0</v>
      </c>
      <c r="O1665" s="5"/>
      <c r="S1665" s="6"/>
    </row>
    <row r="1666" spans="1:19" customFormat="1" x14ac:dyDescent="0.45">
      <c r="A1666">
        <v>442229</v>
      </c>
      <c r="B1666" t="s">
        <v>19598</v>
      </c>
      <c r="C1666" t="s">
        <v>19599</v>
      </c>
      <c r="D1666">
        <v>3</v>
      </c>
      <c r="F1666" s="126"/>
      <c r="G1666" s="7">
        <v>0</v>
      </c>
      <c r="H1666" s="7">
        <v>0</v>
      </c>
      <c r="I1666" s="7">
        <v>0</v>
      </c>
      <c r="J1666" s="7">
        <v>0</v>
      </c>
      <c r="K1666" s="3">
        <f t="shared" si="62"/>
        <v>0</v>
      </c>
      <c r="L1666" s="3"/>
      <c r="M1666" s="3">
        <f t="shared" si="63"/>
        <v>0</v>
      </c>
      <c r="O1666" s="5"/>
      <c r="S1666" s="6"/>
    </row>
    <row r="1667" spans="1:19" customFormat="1" x14ac:dyDescent="0.45">
      <c r="A1667">
        <v>442303</v>
      </c>
      <c r="B1667" t="s">
        <v>19600</v>
      </c>
      <c r="C1667" t="s">
        <v>19601</v>
      </c>
      <c r="D1667">
        <v>60</v>
      </c>
      <c r="E1667" t="s">
        <v>16561</v>
      </c>
      <c r="F1667" s="126"/>
      <c r="K1667" s="3">
        <f t="shared" si="62"/>
        <v>0</v>
      </c>
      <c r="L1667" s="3"/>
      <c r="M1667" s="3">
        <f t="shared" si="63"/>
        <v>0</v>
      </c>
      <c r="O1667" s="5"/>
      <c r="S1667" s="6"/>
    </row>
    <row r="1668" spans="1:19" customFormat="1" x14ac:dyDescent="0.45">
      <c r="A1668">
        <v>442673</v>
      </c>
      <c r="B1668" t="s">
        <v>19602</v>
      </c>
      <c r="C1668" t="s">
        <v>16331</v>
      </c>
      <c r="D1668">
        <v>2</v>
      </c>
      <c r="E1668" t="s">
        <v>16331</v>
      </c>
      <c r="F1668" s="126"/>
      <c r="G1668" s="7">
        <v>0</v>
      </c>
      <c r="H1668" s="7">
        <v>0</v>
      </c>
      <c r="I1668" s="7">
        <v>0</v>
      </c>
      <c r="J1668" s="7">
        <v>0</v>
      </c>
      <c r="K1668" s="3">
        <f t="shared" si="62"/>
        <v>0</v>
      </c>
      <c r="L1668" s="3"/>
      <c r="M1668" s="3">
        <f t="shared" si="63"/>
        <v>0</v>
      </c>
      <c r="O1668" s="5"/>
      <c r="S1668" s="6"/>
    </row>
    <row r="1669" spans="1:19" customFormat="1" x14ac:dyDescent="0.45">
      <c r="A1669">
        <v>442751</v>
      </c>
      <c r="B1669" t="s">
        <v>19603</v>
      </c>
      <c r="C1669" t="s">
        <v>19604</v>
      </c>
      <c r="D1669">
        <v>2</v>
      </c>
      <c r="F1669" s="126"/>
      <c r="G1669" s="3">
        <v>0</v>
      </c>
      <c r="H1669" s="3">
        <v>0</v>
      </c>
      <c r="I1669" s="3">
        <v>0</v>
      </c>
      <c r="J1669" s="3">
        <v>0</v>
      </c>
      <c r="K1669" s="3">
        <f t="shared" si="62"/>
        <v>0</v>
      </c>
      <c r="L1669" s="3"/>
      <c r="M1669" s="3">
        <f t="shared" si="63"/>
        <v>0</v>
      </c>
      <c r="O1669" s="5"/>
      <c r="S1669" s="6"/>
    </row>
    <row r="1670" spans="1:19" customFormat="1" x14ac:dyDescent="0.45">
      <c r="A1670">
        <v>442833</v>
      </c>
      <c r="B1670" t="s">
        <v>19605</v>
      </c>
      <c r="C1670" t="s">
        <v>19606</v>
      </c>
      <c r="D1670">
        <v>3</v>
      </c>
      <c r="F1670" s="126"/>
      <c r="G1670" s="7">
        <v>0</v>
      </c>
      <c r="H1670" s="7">
        <v>0</v>
      </c>
      <c r="I1670" s="7">
        <v>0</v>
      </c>
      <c r="J1670" s="7">
        <v>0</v>
      </c>
      <c r="K1670" s="3">
        <f t="shared" si="62"/>
        <v>0</v>
      </c>
      <c r="L1670" s="3"/>
      <c r="M1670" s="3">
        <f t="shared" si="63"/>
        <v>0</v>
      </c>
      <c r="N1670" s="7"/>
      <c r="O1670" s="5"/>
      <c r="S1670" s="6"/>
    </row>
    <row r="1671" spans="1:19" customFormat="1" x14ac:dyDescent="0.45">
      <c r="A1671">
        <v>442847</v>
      </c>
      <c r="B1671" t="s">
        <v>19607</v>
      </c>
      <c r="C1671" t="s">
        <v>19608</v>
      </c>
      <c r="D1671">
        <v>8</v>
      </c>
      <c r="F1671" s="126"/>
      <c r="K1671" s="3">
        <f t="shared" si="62"/>
        <v>0</v>
      </c>
      <c r="L1671" s="3"/>
      <c r="M1671" s="3">
        <f t="shared" si="63"/>
        <v>0</v>
      </c>
      <c r="O1671" s="5"/>
      <c r="S1671" s="6"/>
    </row>
    <row r="1672" spans="1:19" customFormat="1" x14ac:dyDescent="0.45">
      <c r="A1672">
        <v>442856</v>
      </c>
      <c r="B1672" t="s">
        <v>19609</v>
      </c>
      <c r="C1672" t="s">
        <v>16331</v>
      </c>
      <c r="D1672">
        <v>0</v>
      </c>
      <c r="E1672" t="s">
        <v>16331</v>
      </c>
      <c r="F1672" s="126"/>
      <c r="G1672" s="7">
        <v>0</v>
      </c>
      <c r="H1672" s="7">
        <v>0</v>
      </c>
      <c r="I1672" s="7">
        <v>0</v>
      </c>
      <c r="J1672" s="7">
        <v>0</v>
      </c>
      <c r="K1672" s="3">
        <f t="shared" si="62"/>
        <v>0</v>
      </c>
      <c r="L1672" s="3"/>
      <c r="M1672" s="3">
        <f t="shared" si="63"/>
        <v>0</v>
      </c>
      <c r="O1672" s="5"/>
      <c r="S1672" s="6"/>
    </row>
    <row r="1673" spans="1:19" customFormat="1" x14ac:dyDescent="0.45">
      <c r="A1673">
        <v>442875</v>
      </c>
      <c r="B1673" t="s">
        <v>19610</v>
      </c>
      <c r="C1673" t="s">
        <v>19611</v>
      </c>
      <c r="D1673">
        <v>2</v>
      </c>
      <c r="F1673" s="126"/>
      <c r="G1673" s="7">
        <v>0</v>
      </c>
      <c r="H1673" s="7">
        <v>0</v>
      </c>
      <c r="I1673" s="7">
        <v>0</v>
      </c>
      <c r="J1673" s="7">
        <v>0</v>
      </c>
      <c r="K1673" s="3">
        <f t="shared" si="62"/>
        <v>0</v>
      </c>
      <c r="L1673" s="3"/>
      <c r="M1673" s="3">
        <f t="shared" si="63"/>
        <v>0</v>
      </c>
      <c r="O1673" s="5"/>
      <c r="S1673" s="6"/>
    </row>
    <row r="1674" spans="1:19" customFormat="1" x14ac:dyDescent="0.45">
      <c r="A1674">
        <v>443209</v>
      </c>
      <c r="B1674" t="s">
        <v>19612</v>
      </c>
      <c r="C1674" t="s">
        <v>19613</v>
      </c>
      <c r="D1674">
        <v>7</v>
      </c>
      <c r="F1674" s="126"/>
      <c r="G1674" s="7">
        <v>0</v>
      </c>
      <c r="H1674" s="7">
        <v>0</v>
      </c>
      <c r="I1674" s="7">
        <v>0</v>
      </c>
      <c r="J1674" s="7">
        <v>0</v>
      </c>
      <c r="K1674" s="3">
        <f t="shared" si="62"/>
        <v>0</v>
      </c>
      <c r="L1674" s="3"/>
      <c r="M1674" s="3">
        <f t="shared" si="63"/>
        <v>0</v>
      </c>
      <c r="O1674" s="5"/>
      <c r="S1674" s="6"/>
    </row>
    <row r="1675" spans="1:19" customFormat="1" x14ac:dyDescent="0.45">
      <c r="A1675">
        <v>443586</v>
      </c>
      <c r="B1675" t="s">
        <v>19614</v>
      </c>
      <c r="C1675" t="s">
        <v>16331</v>
      </c>
      <c r="D1675">
        <v>1</v>
      </c>
      <c r="E1675" t="s">
        <v>16331</v>
      </c>
      <c r="F1675" s="126"/>
      <c r="G1675" s="7">
        <v>0</v>
      </c>
      <c r="H1675" s="7">
        <v>0</v>
      </c>
      <c r="I1675" s="7">
        <v>0</v>
      </c>
      <c r="J1675" s="7">
        <v>0</v>
      </c>
      <c r="K1675" s="3">
        <f t="shared" si="62"/>
        <v>0</v>
      </c>
      <c r="L1675" s="3"/>
      <c r="M1675" s="3">
        <f t="shared" si="63"/>
        <v>0</v>
      </c>
      <c r="O1675" s="5"/>
      <c r="S1675" s="6"/>
    </row>
    <row r="1676" spans="1:19" customFormat="1" x14ac:dyDescent="0.45">
      <c r="A1676">
        <v>443827</v>
      </c>
      <c r="B1676" t="s">
        <v>19615</v>
      </c>
      <c r="C1676" t="s">
        <v>19616</v>
      </c>
      <c r="D1676">
        <v>3</v>
      </c>
      <c r="F1676" s="126"/>
      <c r="G1676" s="7">
        <v>0</v>
      </c>
      <c r="H1676" s="7">
        <v>0</v>
      </c>
      <c r="I1676" s="7">
        <v>0</v>
      </c>
      <c r="J1676" s="7">
        <v>0</v>
      </c>
      <c r="K1676" s="3">
        <f t="shared" si="62"/>
        <v>0</v>
      </c>
      <c r="L1676" s="3"/>
      <c r="M1676" s="3">
        <f t="shared" si="63"/>
        <v>0</v>
      </c>
      <c r="O1676" s="5"/>
      <c r="S1676" s="6"/>
    </row>
    <row r="1677" spans="1:19" customFormat="1" x14ac:dyDescent="0.45">
      <c r="A1677">
        <v>444193</v>
      </c>
      <c r="B1677" t="s">
        <v>19617</v>
      </c>
      <c r="C1677" t="s">
        <v>19618</v>
      </c>
      <c r="D1677">
        <v>1</v>
      </c>
      <c r="F1677" s="126"/>
      <c r="G1677" s="3">
        <v>0</v>
      </c>
      <c r="H1677" s="3">
        <v>0</v>
      </c>
      <c r="I1677" s="3">
        <v>0</v>
      </c>
      <c r="J1677" s="3">
        <v>0</v>
      </c>
      <c r="K1677" s="3">
        <f t="shared" si="62"/>
        <v>0</v>
      </c>
      <c r="L1677" s="3"/>
      <c r="M1677" s="3">
        <f t="shared" si="63"/>
        <v>0</v>
      </c>
      <c r="O1677" s="5"/>
      <c r="S1677" s="6"/>
    </row>
    <row r="1678" spans="1:19" customFormat="1" x14ac:dyDescent="0.45">
      <c r="A1678">
        <v>444484</v>
      </c>
      <c r="B1678" t="s">
        <v>19619</v>
      </c>
      <c r="C1678" t="s">
        <v>19620</v>
      </c>
      <c r="D1678">
        <v>3</v>
      </c>
      <c r="F1678" s="126"/>
      <c r="K1678" s="3">
        <f t="shared" si="62"/>
        <v>0</v>
      </c>
      <c r="L1678" s="3"/>
      <c r="M1678" s="3">
        <f t="shared" si="63"/>
        <v>0</v>
      </c>
      <c r="O1678" s="5"/>
      <c r="S1678" s="6"/>
    </row>
    <row r="1679" spans="1:19" customFormat="1" x14ac:dyDescent="0.45">
      <c r="A1679">
        <v>445480</v>
      </c>
      <c r="B1679" t="s">
        <v>19621</v>
      </c>
      <c r="C1679" t="s">
        <v>19622</v>
      </c>
      <c r="D1679">
        <v>2</v>
      </c>
      <c r="F1679" s="126"/>
      <c r="G1679" s="7">
        <v>0</v>
      </c>
      <c r="H1679" s="7">
        <v>0</v>
      </c>
      <c r="I1679" s="7">
        <v>0</v>
      </c>
      <c r="J1679" s="7">
        <v>0</v>
      </c>
      <c r="K1679" s="3">
        <f t="shared" si="62"/>
        <v>0</v>
      </c>
      <c r="L1679" s="3"/>
      <c r="M1679" s="3">
        <f t="shared" si="63"/>
        <v>0</v>
      </c>
      <c r="O1679" s="5"/>
      <c r="S1679" s="6"/>
    </row>
    <row r="1680" spans="1:19" customFormat="1" x14ac:dyDescent="0.45">
      <c r="A1680">
        <v>445657</v>
      </c>
      <c r="B1680" t="s">
        <v>19623</v>
      </c>
      <c r="C1680" t="s">
        <v>19624</v>
      </c>
      <c r="D1680">
        <v>4</v>
      </c>
      <c r="F1680" s="126"/>
      <c r="G1680" s="7">
        <v>0</v>
      </c>
      <c r="H1680" s="7">
        <v>0</v>
      </c>
      <c r="I1680" s="7">
        <v>0</v>
      </c>
      <c r="J1680" s="7">
        <v>0</v>
      </c>
      <c r="K1680" s="3">
        <f t="shared" si="62"/>
        <v>0</v>
      </c>
      <c r="L1680" s="3"/>
      <c r="M1680" s="3">
        <f t="shared" si="63"/>
        <v>0</v>
      </c>
      <c r="O1680" s="5"/>
      <c r="S1680" s="6"/>
    </row>
    <row r="1681" spans="1:22" customFormat="1" x14ac:dyDescent="0.45">
      <c r="A1681">
        <v>445837</v>
      </c>
      <c r="B1681" t="s">
        <v>19625</v>
      </c>
      <c r="C1681" t="s">
        <v>19626</v>
      </c>
      <c r="D1681" s="48">
        <v>4</v>
      </c>
      <c r="E1681" t="s">
        <v>19627</v>
      </c>
      <c r="F1681" s="126"/>
      <c r="G1681" s="7">
        <v>0</v>
      </c>
      <c r="H1681" s="7">
        <v>0</v>
      </c>
      <c r="I1681" s="7">
        <v>0</v>
      </c>
      <c r="J1681" s="7">
        <v>0</v>
      </c>
      <c r="K1681" s="3">
        <f t="shared" si="62"/>
        <v>0</v>
      </c>
      <c r="L1681" s="3"/>
      <c r="M1681" s="3">
        <f t="shared" si="63"/>
        <v>0</v>
      </c>
      <c r="N1681" t="s">
        <v>19628</v>
      </c>
      <c r="O1681" s="5"/>
      <c r="S1681" s="6"/>
    </row>
    <row r="1682" spans="1:22" customFormat="1" x14ac:dyDescent="0.45">
      <c r="A1682">
        <v>445938</v>
      </c>
      <c r="B1682" t="s">
        <v>19629</v>
      </c>
      <c r="C1682" t="s">
        <v>16331</v>
      </c>
      <c r="D1682">
        <v>2</v>
      </c>
      <c r="E1682" t="s">
        <v>16331</v>
      </c>
      <c r="F1682" s="126"/>
      <c r="G1682" s="7">
        <v>0</v>
      </c>
      <c r="H1682" s="7">
        <v>0</v>
      </c>
      <c r="I1682" s="7">
        <v>0</v>
      </c>
      <c r="J1682" s="7">
        <v>0</v>
      </c>
      <c r="K1682" s="3">
        <f t="shared" si="62"/>
        <v>0</v>
      </c>
      <c r="L1682" s="3"/>
      <c r="M1682" s="3">
        <f t="shared" si="63"/>
        <v>0</v>
      </c>
      <c r="O1682" s="5"/>
      <c r="S1682" s="6"/>
    </row>
    <row r="1683" spans="1:22" x14ac:dyDescent="0.45">
      <c r="A1683" s="124">
        <v>452196</v>
      </c>
      <c r="B1683" s="124" t="s">
        <v>19630</v>
      </c>
      <c r="C1683" s="125" t="s">
        <v>19631</v>
      </c>
      <c r="D1683" s="125">
        <v>1</v>
      </c>
      <c r="E1683" s="124" t="s">
        <v>16334</v>
      </c>
      <c r="F1683" s="126">
        <v>1.6999999999999999E-3</v>
      </c>
      <c r="G1683" s="126">
        <v>0</v>
      </c>
      <c r="H1683" s="126">
        <v>0</v>
      </c>
      <c r="I1683" s="126">
        <f>0.55%+1%</f>
        <v>1.55E-2</v>
      </c>
      <c r="J1683" s="126">
        <v>0.01</v>
      </c>
      <c r="K1683" s="126">
        <f t="shared" si="62"/>
        <v>2.5500000000000002E-2</v>
      </c>
      <c r="L1683" s="30"/>
      <c r="M1683" s="126">
        <f t="shared" si="63"/>
        <v>2.7200000000000002E-2</v>
      </c>
      <c r="O1683" s="125" t="s">
        <v>19632</v>
      </c>
      <c r="P1683" s="128" t="s">
        <v>26918</v>
      </c>
      <c r="Q1683" s="130" t="s">
        <v>18223</v>
      </c>
      <c r="R1683" s="124" t="s">
        <v>16348</v>
      </c>
      <c r="S1683" s="124"/>
      <c r="T1683" s="129"/>
      <c r="V1683" s="124" t="s">
        <v>18223</v>
      </c>
    </row>
    <row r="1684" spans="1:22" customFormat="1" x14ac:dyDescent="0.45">
      <c r="A1684">
        <v>446074</v>
      </c>
      <c r="B1684" t="s">
        <v>19633</v>
      </c>
      <c r="C1684" t="s">
        <v>19634</v>
      </c>
      <c r="D1684">
        <v>2</v>
      </c>
      <c r="F1684" s="126"/>
      <c r="G1684" s="7">
        <v>0</v>
      </c>
      <c r="H1684" s="7">
        <v>0</v>
      </c>
      <c r="I1684" s="7">
        <v>0</v>
      </c>
      <c r="J1684" s="7">
        <v>0</v>
      </c>
      <c r="K1684" s="3">
        <f t="shared" si="62"/>
        <v>0</v>
      </c>
      <c r="L1684" s="3"/>
      <c r="M1684" s="3">
        <f t="shared" si="63"/>
        <v>0</v>
      </c>
      <c r="O1684" s="5"/>
      <c r="S1684" s="6"/>
    </row>
    <row r="1685" spans="1:22" customFormat="1" x14ac:dyDescent="0.45">
      <c r="A1685">
        <v>446163</v>
      </c>
      <c r="B1685" t="s">
        <v>19635</v>
      </c>
      <c r="C1685" t="s">
        <v>19636</v>
      </c>
      <c r="D1685">
        <v>3</v>
      </c>
      <c r="F1685" s="126"/>
      <c r="G1685" s="19"/>
      <c r="H1685" s="19"/>
      <c r="I1685" s="19"/>
      <c r="J1685" s="19"/>
      <c r="K1685" s="3">
        <f t="shared" si="62"/>
        <v>0</v>
      </c>
      <c r="L1685" s="3"/>
      <c r="M1685" s="3">
        <f t="shared" si="63"/>
        <v>0</v>
      </c>
      <c r="O1685" s="5"/>
      <c r="S1685" s="6"/>
    </row>
    <row r="1686" spans="1:22" customFormat="1" x14ac:dyDescent="0.45">
      <c r="A1686">
        <v>446202</v>
      </c>
      <c r="B1686" t="s">
        <v>19637</v>
      </c>
      <c r="C1686" t="s">
        <v>19638</v>
      </c>
      <c r="D1686">
        <v>1</v>
      </c>
      <c r="F1686" s="126"/>
      <c r="G1686" s="7">
        <v>0</v>
      </c>
      <c r="H1686" s="7">
        <v>0</v>
      </c>
      <c r="I1686" s="7">
        <v>0</v>
      </c>
      <c r="J1686" s="7">
        <v>0</v>
      </c>
      <c r="K1686" s="3">
        <f t="shared" si="62"/>
        <v>0</v>
      </c>
      <c r="L1686" s="3"/>
      <c r="M1686" s="3">
        <f t="shared" si="63"/>
        <v>0</v>
      </c>
      <c r="O1686" s="5"/>
      <c r="S1686" s="6"/>
    </row>
    <row r="1687" spans="1:22" customFormat="1" x14ac:dyDescent="0.45">
      <c r="A1687">
        <v>446240</v>
      </c>
      <c r="B1687" t="s">
        <v>19639</v>
      </c>
      <c r="C1687" t="s">
        <v>16331</v>
      </c>
      <c r="D1687">
        <v>2</v>
      </c>
      <c r="E1687" t="s">
        <v>16331</v>
      </c>
      <c r="F1687" s="126"/>
      <c r="G1687" s="7">
        <v>0</v>
      </c>
      <c r="H1687" s="7">
        <v>0</v>
      </c>
      <c r="I1687" s="7">
        <v>0</v>
      </c>
      <c r="J1687" s="7">
        <v>0</v>
      </c>
      <c r="K1687" s="3">
        <f t="shared" si="62"/>
        <v>0</v>
      </c>
      <c r="L1687" s="3"/>
      <c r="M1687" s="3">
        <f t="shared" si="63"/>
        <v>0</v>
      </c>
      <c r="O1687" s="5"/>
      <c r="S1687" s="6"/>
    </row>
    <row r="1688" spans="1:22" x14ac:dyDescent="0.45">
      <c r="A1688" s="124">
        <v>228591</v>
      </c>
      <c r="B1688" s="124" t="s">
        <v>19640</v>
      </c>
      <c r="C1688" s="125" t="s">
        <v>19641</v>
      </c>
      <c r="D1688" s="124">
        <v>5</v>
      </c>
      <c r="E1688" s="124" t="s">
        <v>16417</v>
      </c>
      <c r="F1688" s="126">
        <v>2.2000000000000001E-3</v>
      </c>
      <c r="G1688" s="126">
        <v>0.02</v>
      </c>
      <c r="H1688" s="126">
        <f>(1.5/2)%</f>
        <v>7.4999999999999997E-3</v>
      </c>
      <c r="I1688" s="127">
        <v>0</v>
      </c>
      <c r="J1688" s="127">
        <v>0</v>
      </c>
      <c r="K1688" s="126">
        <f t="shared" si="62"/>
        <v>2.75E-2</v>
      </c>
      <c r="L1688" s="30"/>
      <c r="M1688" s="126">
        <f t="shared" si="63"/>
        <v>2.9700000000000001E-2</v>
      </c>
      <c r="O1688" s="125" t="s">
        <v>19642</v>
      </c>
      <c r="P1688" s="124" t="s">
        <v>19643</v>
      </c>
      <c r="Q1688" s="130">
        <f>1095001+5731</f>
        <v>1100732</v>
      </c>
      <c r="R1688" s="124" t="s">
        <v>16348</v>
      </c>
      <c r="S1688" s="130">
        <v>998175</v>
      </c>
      <c r="T1688" s="129">
        <f>S1688/Q1688</f>
        <v>0.9068283651242991</v>
      </c>
      <c r="V1688" s="125" t="s">
        <v>19644</v>
      </c>
    </row>
    <row r="1689" spans="1:22" customFormat="1" x14ac:dyDescent="0.45">
      <c r="A1689">
        <v>446387</v>
      </c>
      <c r="B1689" t="s">
        <v>19645</v>
      </c>
      <c r="C1689" t="s">
        <v>19646</v>
      </c>
      <c r="D1689">
        <v>1</v>
      </c>
      <c r="F1689" s="126"/>
      <c r="G1689" s="3">
        <v>0</v>
      </c>
      <c r="H1689" s="3">
        <v>0</v>
      </c>
      <c r="I1689" s="3">
        <v>0</v>
      </c>
      <c r="J1689" s="3">
        <v>0</v>
      </c>
      <c r="K1689" s="3">
        <f t="shared" si="62"/>
        <v>0</v>
      </c>
      <c r="L1689" s="3"/>
      <c r="M1689" s="3">
        <f t="shared" si="63"/>
        <v>0</v>
      </c>
      <c r="O1689" s="5"/>
      <c r="S1689" s="6"/>
    </row>
    <row r="1690" spans="1:22" customFormat="1" x14ac:dyDescent="0.45">
      <c r="A1690">
        <v>446389</v>
      </c>
      <c r="B1690" t="s">
        <v>19647</v>
      </c>
      <c r="C1690" t="s">
        <v>19648</v>
      </c>
      <c r="D1690">
        <v>4</v>
      </c>
      <c r="F1690" s="126"/>
      <c r="K1690" s="3">
        <f t="shared" si="62"/>
        <v>0</v>
      </c>
      <c r="L1690" s="3"/>
      <c r="M1690" s="3">
        <f t="shared" si="63"/>
        <v>0</v>
      </c>
      <c r="O1690" s="5"/>
      <c r="S1690" s="6"/>
    </row>
    <row r="1691" spans="1:22" customFormat="1" x14ac:dyDescent="0.45">
      <c r="A1691">
        <v>446399</v>
      </c>
      <c r="B1691" t="s">
        <v>19649</v>
      </c>
      <c r="C1691" t="s">
        <v>19650</v>
      </c>
      <c r="D1691">
        <v>5</v>
      </c>
      <c r="F1691" s="126"/>
      <c r="G1691" s="7">
        <v>0</v>
      </c>
      <c r="H1691" s="7">
        <v>0</v>
      </c>
      <c r="I1691" s="7">
        <v>0</v>
      </c>
      <c r="J1691" s="7">
        <v>0</v>
      </c>
      <c r="K1691" s="3">
        <f t="shared" si="62"/>
        <v>0</v>
      </c>
      <c r="L1691" s="3"/>
      <c r="M1691" s="3">
        <f t="shared" si="63"/>
        <v>0</v>
      </c>
      <c r="O1691" s="5"/>
      <c r="S1691" s="6"/>
    </row>
    <row r="1692" spans="1:22" customFormat="1" x14ac:dyDescent="0.45">
      <c r="A1692">
        <v>446499</v>
      </c>
      <c r="B1692" t="s">
        <v>19651</v>
      </c>
      <c r="C1692" t="s">
        <v>19652</v>
      </c>
      <c r="D1692">
        <v>1</v>
      </c>
      <c r="F1692" s="126"/>
      <c r="G1692" s="7">
        <v>0</v>
      </c>
      <c r="H1692" s="7">
        <v>0</v>
      </c>
      <c r="I1692" s="7">
        <v>0</v>
      </c>
      <c r="J1692" s="7">
        <v>0</v>
      </c>
      <c r="K1692" s="3">
        <f t="shared" si="62"/>
        <v>0</v>
      </c>
      <c r="L1692" s="3"/>
      <c r="M1692" s="3">
        <f t="shared" si="63"/>
        <v>0</v>
      </c>
      <c r="O1692" s="5"/>
      <c r="S1692" s="6"/>
    </row>
    <row r="1693" spans="1:22" customFormat="1" x14ac:dyDescent="0.45">
      <c r="A1693">
        <v>446500</v>
      </c>
      <c r="B1693" t="s">
        <v>19653</v>
      </c>
      <c r="C1693" t="s">
        <v>19654</v>
      </c>
      <c r="D1693">
        <v>1</v>
      </c>
      <c r="F1693" s="126"/>
      <c r="G1693" s="7">
        <v>0</v>
      </c>
      <c r="H1693" s="7">
        <v>0</v>
      </c>
      <c r="I1693" s="7">
        <v>0</v>
      </c>
      <c r="J1693" s="7">
        <v>0</v>
      </c>
      <c r="K1693" s="3">
        <f t="shared" si="62"/>
        <v>0</v>
      </c>
      <c r="L1693" s="3"/>
      <c r="M1693" s="3">
        <f t="shared" si="63"/>
        <v>0</v>
      </c>
      <c r="O1693" s="5"/>
      <c r="S1693" s="6"/>
    </row>
    <row r="1694" spans="1:22" customFormat="1" x14ac:dyDescent="0.45">
      <c r="A1694">
        <v>446522</v>
      </c>
      <c r="B1694" t="s">
        <v>19655</v>
      </c>
      <c r="C1694" t="s">
        <v>19656</v>
      </c>
      <c r="D1694">
        <v>2</v>
      </c>
      <c r="F1694" s="126"/>
      <c r="G1694" s="7">
        <v>0</v>
      </c>
      <c r="H1694" s="7">
        <v>0</v>
      </c>
      <c r="I1694" s="7">
        <v>0</v>
      </c>
      <c r="J1694" s="7">
        <v>0</v>
      </c>
      <c r="K1694" s="3">
        <f t="shared" si="62"/>
        <v>0</v>
      </c>
      <c r="L1694" s="3"/>
      <c r="M1694" s="3">
        <f t="shared" si="63"/>
        <v>0</v>
      </c>
      <c r="O1694" s="5"/>
      <c r="S1694" s="6"/>
    </row>
    <row r="1695" spans="1:22" customFormat="1" x14ac:dyDescent="0.45">
      <c r="A1695">
        <v>446582</v>
      </c>
      <c r="B1695" t="s">
        <v>19657</v>
      </c>
      <c r="C1695" t="s">
        <v>16331</v>
      </c>
      <c r="D1695">
        <v>1</v>
      </c>
      <c r="E1695" t="s">
        <v>16331</v>
      </c>
      <c r="F1695" s="126"/>
      <c r="K1695" s="3">
        <f t="shared" si="62"/>
        <v>0</v>
      </c>
      <c r="L1695" s="3"/>
      <c r="M1695" s="3">
        <f t="shared" si="63"/>
        <v>0</v>
      </c>
      <c r="O1695" s="5"/>
      <c r="S1695" s="6"/>
    </row>
    <row r="1696" spans="1:22" customFormat="1" x14ac:dyDescent="0.45">
      <c r="A1696">
        <v>446589</v>
      </c>
      <c r="B1696" t="s">
        <v>19658</v>
      </c>
      <c r="C1696" t="s">
        <v>19659</v>
      </c>
      <c r="D1696">
        <v>15</v>
      </c>
      <c r="F1696" s="126"/>
      <c r="G1696" s="7">
        <v>0</v>
      </c>
      <c r="H1696" s="7">
        <v>0</v>
      </c>
      <c r="I1696" s="7">
        <v>0</v>
      </c>
      <c r="J1696" s="7">
        <v>0</v>
      </c>
      <c r="K1696" s="3">
        <f t="shared" si="62"/>
        <v>0</v>
      </c>
      <c r="L1696" s="3"/>
      <c r="M1696" s="3">
        <f t="shared" si="63"/>
        <v>0</v>
      </c>
      <c r="O1696" s="5"/>
      <c r="S1696" s="6"/>
    </row>
    <row r="1697" spans="1:19" customFormat="1" x14ac:dyDescent="0.45">
      <c r="A1697">
        <v>446591</v>
      </c>
      <c r="B1697" t="s">
        <v>19660</v>
      </c>
      <c r="C1697" t="s">
        <v>19661</v>
      </c>
      <c r="D1697">
        <v>2</v>
      </c>
      <c r="F1697" s="126"/>
      <c r="G1697" s="3">
        <v>0</v>
      </c>
      <c r="H1697" s="3">
        <v>0</v>
      </c>
      <c r="I1697" s="3">
        <v>0</v>
      </c>
      <c r="J1697" s="3">
        <v>0</v>
      </c>
      <c r="K1697" s="3">
        <f t="shared" si="62"/>
        <v>0</v>
      </c>
      <c r="L1697" s="3"/>
      <c r="M1697" s="3">
        <f t="shared" si="63"/>
        <v>0</v>
      </c>
      <c r="O1697" s="5"/>
      <c r="S1697" s="6"/>
    </row>
    <row r="1698" spans="1:19" customFormat="1" x14ac:dyDescent="0.45">
      <c r="A1698">
        <v>446700</v>
      </c>
      <c r="B1698" t="s">
        <v>19662</v>
      </c>
      <c r="C1698" t="s">
        <v>19663</v>
      </c>
      <c r="D1698">
        <v>2</v>
      </c>
      <c r="F1698" s="126"/>
      <c r="G1698" s="7">
        <v>0</v>
      </c>
      <c r="H1698" s="7">
        <v>0</v>
      </c>
      <c r="I1698" s="7">
        <v>0</v>
      </c>
      <c r="J1698" s="7">
        <v>0</v>
      </c>
      <c r="K1698" s="3">
        <f t="shared" si="62"/>
        <v>0</v>
      </c>
      <c r="L1698" s="3"/>
      <c r="M1698" s="3">
        <f t="shared" si="63"/>
        <v>0</v>
      </c>
      <c r="O1698" s="5"/>
      <c r="S1698" s="6"/>
    </row>
    <row r="1699" spans="1:19" customFormat="1" x14ac:dyDescent="0.45">
      <c r="A1699">
        <v>446732</v>
      </c>
      <c r="B1699" t="s">
        <v>19664</v>
      </c>
      <c r="C1699" t="s">
        <v>19665</v>
      </c>
      <c r="D1699">
        <v>1</v>
      </c>
      <c r="F1699" s="126"/>
      <c r="G1699" s="3">
        <v>0</v>
      </c>
      <c r="H1699" s="3">
        <v>0</v>
      </c>
      <c r="I1699" s="3">
        <v>0</v>
      </c>
      <c r="J1699" s="3">
        <v>0</v>
      </c>
      <c r="K1699" s="3">
        <f t="shared" si="62"/>
        <v>0</v>
      </c>
      <c r="L1699" s="3"/>
      <c r="M1699" s="3">
        <f t="shared" si="63"/>
        <v>0</v>
      </c>
      <c r="O1699" s="5"/>
      <c r="S1699" s="6"/>
    </row>
    <row r="1700" spans="1:19" customFormat="1" x14ac:dyDescent="0.45">
      <c r="A1700">
        <v>446801</v>
      </c>
      <c r="B1700" t="s">
        <v>19666</v>
      </c>
      <c r="C1700" t="s">
        <v>19667</v>
      </c>
      <c r="D1700">
        <v>1</v>
      </c>
      <c r="F1700" s="126"/>
      <c r="G1700" s="3">
        <v>0</v>
      </c>
      <c r="H1700" s="3">
        <v>0</v>
      </c>
      <c r="I1700" s="3">
        <v>0</v>
      </c>
      <c r="J1700" s="3">
        <v>0</v>
      </c>
      <c r="K1700" s="3">
        <f t="shared" si="62"/>
        <v>0</v>
      </c>
      <c r="L1700" s="3"/>
      <c r="M1700" s="3">
        <f t="shared" si="63"/>
        <v>0</v>
      </c>
      <c r="O1700" s="5"/>
      <c r="S1700" s="6"/>
    </row>
    <row r="1701" spans="1:19" customFormat="1" x14ac:dyDescent="0.45">
      <c r="A1701">
        <v>446821</v>
      </c>
      <c r="B1701" t="s">
        <v>19668</v>
      </c>
      <c r="C1701" t="s">
        <v>16331</v>
      </c>
      <c r="D1701">
        <v>2</v>
      </c>
      <c r="E1701" t="s">
        <v>16331</v>
      </c>
      <c r="F1701" s="126"/>
      <c r="G1701" s="7">
        <v>0</v>
      </c>
      <c r="H1701" s="7">
        <v>0</v>
      </c>
      <c r="I1701" s="7">
        <v>0</v>
      </c>
      <c r="J1701" s="7">
        <v>0</v>
      </c>
      <c r="K1701" s="3">
        <f t="shared" si="62"/>
        <v>0</v>
      </c>
      <c r="L1701" s="3"/>
      <c r="M1701" s="3">
        <f t="shared" si="63"/>
        <v>0</v>
      </c>
      <c r="O1701" s="5"/>
      <c r="S1701" s="6"/>
    </row>
    <row r="1702" spans="1:19" customFormat="1" x14ac:dyDescent="0.45">
      <c r="A1702">
        <v>446951</v>
      </c>
      <c r="B1702" t="s">
        <v>19669</v>
      </c>
      <c r="C1702" t="s">
        <v>19670</v>
      </c>
      <c r="D1702">
        <v>3</v>
      </c>
      <c r="F1702" s="126"/>
      <c r="G1702" s="7">
        <v>0</v>
      </c>
      <c r="H1702" s="7">
        <v>0</v>
      </c>
      <c r="I1702" s="7">
        <v>0</v>
      </c>
      <c r="J1702" s="7">
        <v>0</v>
      </c>
      <c r="K1702" s="3">
        <f t="shared" si="62"/>
        <v>0</v>
      </c>
      <c r="L1702" s="3"/>
      <c r="M1702" s="3">
        <f t="shared" si="63"/>
        <v>0</v>
      </c>
      <c r="N1702" s="7"/>
      <c r="O1702" s="5"/>
      <c r="S1702" s="6"/>
    </row>
    <row r="1703" spans="1:19" customFormat="1" x14ac:dyDescent="0.45">
      <c r="A1703">
        <v>446963</v>
      </c>
      <c r="B1703" t="s">
        <v>19671</v>
      </c>
      <c r="C1703" t="s">
        <v>16331</v>
      </c>
      <c r="D1703">
        <v>1</v>
      </c>
      <c r="E1703" t="s">
        <v>16331</v>
      </c>
      <c r="F1703" s="126"/>
      <c r="G1703" s="7">
        <v>0</v>
      </c>
      <c r="H1703" s="7">
        <v>0</v>
      </c>
      <c r="I1703" s="7">
        <v>0</v>
      </c>
      <c r="J1703" s="7">
        <v>0</v>
      </c>
      <c r="K1703" s="3">
        <f t="shared" si="62"/>
        <v>0</v>
      </c>
      <c r="L1703" s="3"/>
      <c r="M1703" s="3">
        <f t="shared" si="63"/>
        <v>0</v>
      </c>
      <c r="O1703" s="5"/>
      <c r="S1703" s="6"/>
    </row>
    <row r="1704" spans="1:19" customFormat="1" x14ac:dyDescent="0.45">
      <c r="A1704">
        <v>447020</v>
      </c>
      <c r="B1704" t="s">
        <v>19672</v>
      </c>
      <c r="C1704" t="s">
        <v>19673</v>
      </c>
      <c r="D1704">
        <v>0</v>
      </c>
      <c r="E1704" t="s">
        <v>16561</v>
      </c>
      <c r="F1704" s="126"/>
      <c r="G1704" s="7">
        <v>0</v>
      </c>
      <c r="H1704" s="7">
        <v>0</v>
      </c>
      <c r="I1704" s="7">
        <v>0</v>
      </c>
      <c r="J1704" s="7">
        <v>0</v>
      </c>
      <c r="K1704" s="3">
        <f t="shared" si="62"/>
        <v>0</v>
      </c>
      <c r="L1704" s="3"/>
      <c r="M1704" s="3">
        <f t="shared" si="63"/>
        <v>0</v>
      </c>
      <c r="N1704" s="7"/>
      <c r="O1704" s="5"/>
      <c r="S1704" s="6"/>
    </row>
    <row r="1705" spans="1:19" customFormat="1" x14ac:dyDescent="0.45">
      <c r="A1705">
        <v>447235</v>
      </c>
      <c r="B1705" t="s">
        <v>19674</v>
      </c>
      <c r="C1705" t="s">
        <v>19675</v>
      </c>
      <c r="D1705">
        <v>3</v>
      </c>
      <c r="F1705" s="126"/>
      <c r="G1705" s="19"/>
      <c r="H1705" s="19"/>
      <c r="I1705" s="19"/>
      <c r="J1705" s="19"/>
      <c r="K1705" s="3">
        <f t="shared" si="62"/>
        <v>0</v>
      </c>
      <c r="L1705" s="3"/>
      <c r="M1705" s="3">
        <f t="shared" si="63"/>
        <v>0</v>
      </c>
      <c r="O1705" s="5"/>
      <c r="S1705" s="6"/>
    </row>
    <row r="1706" spans="1:19" customFormat="1" x14ac:dyDescent="0.45">
      <c r="A1706">
        <v>447241</v>
      </c>
      <c r="B1706" t="s">
        <v>19676</v>
      </c>
      <c r="C1706" t="s">
        <v>16331</v>
      </c>
      <c r="D1706">
        <v>1</v>
      </c>
      <c r="E1706" t="s">
        <v>16331</v>
      </c>
      <c r="F1706" s="126"/>
      <c r="K1706" s="3">
        <f t="shared" si="62"/>
        <v>0</v>
      </c>
      <c r="L1706" s="3"/>
      <c r="M1706" s="3">
        <f t="shared" si="63"/>
        <v>0</v>
      </c>
      <c r="O1706" s="5"/>
      <c r="S1706" s="6"/>
    </row>
    <row r="1707" spans="1:19" customFormat="1" x14ac:dyDescent="0.45">
      <c r="A1707">
        <v>447432</v>
      </c>
      <c r="B1707" t="s">
        <v>19677</v>
      </c>
      <c r="C1707" t="s">
        <v>19678</v>
      </c>
      <c r="D1707">
        <v>11</v>
      </c>
      <c r="F1707" s="126"/>
      <c r="G1707" s="3">
        <v>0</v>
      </c>
      <c r="H1707" s="3">
        <v>0</v>
      </c>
      <c r="I1707" s="3">
        <v>0</v>
      </c>
      <c r="J1707" s="3">
        <v>0</v>
      </c>
      <c r="K1707" s="3">
        <f t="shared" si="62"/>
        <v>0</v>
      </c>
      <c r="L1707" s="3"/>
      <c r="M1707" s="3">
        <f t="shared" si="63"/>
        <v>0</v>
      </c>
      <c r="O1707" s="5"/>
      <c r="S1707" s="6"/>
    </row>
    <row r="1708" spans="1:19" customFormat="1" x14ac:dyDescent="0.45">
      <c r="A1708">
        <v>447461</v>
      </c>
      <c r="B1708" t="s">
        <v>19679</v>
      </c>
      <c r="C1708" t="s">
        <v>16331</v>
      </c>
      <c r="D1708">
        <v>13</v>
      </c>
      <c r="E1708" t="s">
        <v>16331</v>
      </c>
      <c r="F1708" s="126"/>
      <c r="G1708" s="7">
        <v>0</v>
      </c>
      <c r="H1708" s="7">
        <v>0</v>
      </c>
      <c r="I1708" s="7">
        <v>0</v>
      </c>
      <c r="J1708" s="7">
        <v>0</v>
      </c>
      <c r="K1708" s="3">
        <f t="shared" si="62"/>
        <v>0</v>
      </c>
      <c r="L1708" s="3"/>
      <c r="M1708" s="3">
        <f t="shared" si="63"/>
        <v>0</v>
      </c>
      <c r="O1708" s="5"/>
      <c r="S1708" s="6"/>
    </row>
    <row r="1709" spans="1:19" customFormat="1" x14ac:dyDescent="0.45">
      <c r="A1709">
        <v>447546</v>
      </c>
      <c r="B1709" t="s">
        <v>19680</v>
      </c>
      <c r="C1709" t="s">
        <v>16331</v>
      </c>
      <c r="D1709">
        <v>1</v>
      </c>
      <c r="E1709" t="s">
        <v>16331</v>
      </c>
      <c r="F1709" s="126"/>
      <c r="G1709" s="7">
        <v>0</v>
      </c>
      <c r="H1709" s="7">
        <v>0</v>
      </c>
      <c r="I1709" s="7">
        <v>0</v>
      </c>
      <c r="J1709" s="7">
        <v>0</v>
      </c>
      <c r="K1709" s="3">
        <f t="shared" si="62"/>
        <v>0</v>
      </c>
      <c r="L1709" s="3"/>
      <c r="M1709" s="3">
        <f t="shared" si="63"/>
        <v>0</v>
      </c>
      <c r="O1709" s="5"/>
      <c r="S1709" s="6"/>
    </row>
    <row r="1710" spans="1:19" customFormat="1" x14ac:dyDescent="0.45">
      <c r="A1710">
        <v>447549</v>
      </c>
      <c r="B1710" t="s">
        <v>19681</v>
      </c>
      <c r="C1710" t="s">
        <v>19682</v>
      </c>
      <c r="D1710">
        <v>0</v>
      </c>
      <c r="E1710" t="s">
        <v>16561</v>
      </c>
      <c r="F1710" s="126"/>
      <c r="G1710" s="7">
        <v>0</v>
      </c>
      <c r="H1710" s="7">
        <v>0</v>
      </c>
      <c r="I1710" s="7">
        <v>0</v>
      </c>
      <c r="J1710" s="7">
        <v>0</v>
      </c>
      <c r="K1710" s="3">
        <f t="shared" si="62"/>
        <v>0</v>
      </c>
      <c r="L1710" s="3"/>
      <c r="M1710" s="3">
        <f t="shared" si="63"/>
        <v>0</v>
      </c>
      <c r="O1710" s="5"/>
      <c r="S1710" s="6"/>
    </row>
    <row r="1711" spans="1:19" customFormat="1" x14ac:dyDescent="0.45">
      <c r="A1711">
        <v>447764</v>
      </c>
      <c r="B1711" t="s">
        <v>19683</v>
      </c>
      <c r="C1711" t="s">
        <v>16331</v>
      </c>
      <c r="D1711">
        <v>2</v>
      </c>
      <c r="E1711" t="s">
        <v>16331</v>
      </c>
      <c r="F1711" s="126"/>
      <c r="K1711" s="3">
        <f t="shared" si="62"/>
        <v>0</v>
      </c>
      <c r="L1711" s="3"/>
      <c r="M1711" s="3">
        <f t="shared" si="63"/>
        <v>0</v>
      </c>
      <c r="O1711" s="5"/>
      <c r="S1711" s="6"/>
    </row>
    <row r="1712" spans="1:19" customFormat="1" x14ac:dyDescent="0.45">
      <c r="A1712">
        <v>447862</v>
      </c>
      <c r="B1712" t="s">
        <v>19684</v>
      </c>
      <c r="C1712" t="s">
        <v>19685</v>
      </c>
      <c r="D1712">
        <v>5</v>
      </c>
      <c r="F1712" s="126"/>
      <c r="G1712" s="3">
        <v>0</v>
      </c>
      <c r="H1712" s="3">
        <v>0</v>
      </c>
      <c r="I1712" s="3">
        <v>0</v>
      </c>
      <c r="J1712" s="3">
        <v>0</v>
      </c>
      <c r="K1712" s="3">
        <f t="shared" si="62"/>
        <v>0</v>
      </c>
      <c r="L1712" s="3"/>
      <c r="M1712" s="3">
        <f t="shared" si="63"/>
        <v>0</v>
      </c>
      <c r="O1712" s="5"/>
      <c r="S1712" s="6"/>
    </row>
    <row r="1713" spans="1:19" customFormat="1" x14ac:dyDescent="0.45">
      <c r="A1713">
        <v>448150</v>
      </c>
      <c r="B1713" t="s">
        <v>19686</v>
      </c>
      <c r="C1713" t="s">
        <v>19687</v>
      </c>
      <c r="D1713">
        <v>5</v>
      </c>
      <c r="F1713" s="126"/>
      <c r="G1713" s="7">
        <v>0</v>
      </c>
      <c r="H1713" s="7">
        <v>0</v>
      </c>
      <c r="I1713" s="7">
        <v>0</v>
      </c>
      <c r="J1713" s="7">
        <v>0</v>
      </c>
      <c r="K1713" s="3">
        <f t="shared" si="62"/>
        <v>0</v>
      </c>
      <c r="L1713" s="3"/>
      <c r="M1713" s="3">
        <f t="shared" si="63"/>
        <v>0</v>
      </c>
      <c r="O1713" s="5"/>
      <c r="S1713" s="6"/>
    </row>
    <row r="1714" spans="1:19" customFormat="1" x14ac:dyDescent="0.45">
      <c r="A1714">
        <v>448160</v>
      </c>
      <c r="B1714" t="s">
        <v>19688</v>
      </c>
      <c r="C1714" t="s">
        <v>19689</v>
      </c>
      <c r="D1714">
        <v>2</v>
      </c>
      <c r="F1714" s="126"/>
      <c r="G1714" s="3">
        <v>0</v>
      </c>
      <c r="H1714" s="3">
        <v>0</v>
      </c>
      <c r="I1714" s="3">
        <v>0</v>
      </c>
      <c r="J1714" s="3">
        <v>0</v>
      </c>
      <c r="K1714" s="3">
        <f t="shared" si="62"/>
        <v>0</v>
      </c>
      <c r="L1714" s="3"/>
      <c r="M1714" s="3">
        <f t="shared" si="63"/>
        <v>0</v>
      </c>
      <c r="O1714" s="5"/>
      <c r="S1714" s="6"/>
    </row>
    <row r="1715" spans="1:19" customFormat="1" x14ac:dyDescent="0.45">
      <c r="A1715">
        <v>448232</v>
      </c>
      <c r="B1715" t="s">
        <v>19690</v>
      </c>
      <c r="C1715" t="s">
        <v>19691</v>
      </c>
      <c r="D1715">
        <v>2</v>
      </c>
      <c r="F1715" s="126"/>
      <c r="G1715" s="3">
        <v>0</v>
      </c>
      <c r="H1715" s="3">
        <v>0</v>
      </c>
      <c r="I1715" s="3">
        <v>0</v>
      </c>
      <c r="J1715" s="3">
        <v>0</v>
      </c>
      <c r="K1715" s="3">
        <f t="shared" si="62"/>
        <v>0</v>
      </c>
      <c r="L1715" s="3"/>
      <c r="M1715" s="3">
        <f t="shared" si="63"/>
        <v>0</v>
      </c>
      <c r="O1715" s="5"/>
      <c r="S1715" s="6"/>
    </row>
    <row r="1716" spans="1:19" customFormat="1" x14ac:dyDescent="0.45">
      <c r="A1716">
        <v>448379</v>
      </c>
      <c r="B1716" t="s">
        <v>19692</v>
      </c>
      <c r="C1716" t="s">
        <v>19693</v>
      </c>
      <c r="D1716">
        <v>1</v>
      </c>
      <c r="F1716" s="126"/>
      <c r="G1716" s="7">
        <v>0</v>
      </c>
      <c r="H1716" s="7">
        <v>0</v>
      </c>
      <c r="I1716" s="7">
        <v>0</v>
      </c>
      <c r="J1716" s="7">
        <v>0</v>
      </c>
      <c r="K1716" s="3">
        <f t="shared" si="62"/>
        <v>0</v>
      </c>
      <c r="L1716" s="3"/>
      <c r="M1716" s="3">
        <f t="shared" si="63"/>
        <v>0</v>
      </c>
      <c r="O1716" s="5"/>
      <c r="S1716" s="6"/>
    </row>
    <row r="1717" spans="1:19" customFormat="1" x14ac:dyDescent="0.45">
      <c r="A1717">
        <v>448410</v>
      </c>
      <c r="B1717" t="s">
        <v>19694</v>
      </c>
      <c r="C1717" t="s">
        <v>19695</v>
      </c>
      <c r="D1717">
        <v>1</v>
      </c>
      <c r="F1717" s="126"/>
      <c r="G1717" s="3">
        <v>0</v>
      </c>
      <c r="H1717" s="3">
        <v>0</v>
      </c>
      <c r="I1717" s="3">
        <v>0</v>
      </c>
      <c r="J1717" s="3">
        <v>0</v>
      </c>
      <c r="K1717" s="3">
        <f t="shared" si="62"/>
        <v>0</v>
      </c>
      <c r="L1717" s="3"/>
      <c r="M1717" s="3">
        <f t="shared" si="63"/>
        <v>0</v>
      </c>
      <c r="O1717" s="5"/>
      <c r="S1717" s="6"/>
    </row>
    <row r="1718" spans="1:19" customFormat="1" x14ac:dyDescent="0.45">
      <c r="A1718">
        <v>448416</v>
      </c>
      <c r="B1718" t="s">
        <v>19696</v>
      </c>
      <c r="C1718" t="s">
        <v>19697</v>
      </c>
      <c r="D1718">
        <v>1</v>
      </c>
      <c r="F1718" s="126"/>
      <c r="G1718" s="7">
        <v>0</v>
      </c>
      <c r="H1718" s="7">
        <v>0</v>
      </c>
      <c r="I1718" s="7">
        <v>0</v>
      </c>
      <c r="J1718" s="7">
        <v>0</v>
      </c>
      <c r="K1718" s="3">
        <f t="shared" si="62"/>
        <v>0</v>
      </c>
      <c r="L1718" s="3"/>
      <c r="M1718" s="3">
        <f t="shared" si="63"/>
        <v>0</v>
      </c>
      <c r="O1718" s="5"/>
      <c r="S1718" s="6"/>
    </row>
    <row r="1719" spans="1:19" customFormat="1" x14ac:dyDescent="0.45">
      <c r="A1719">
        <v>448716</v>
      </c>
      <c r="B1719" t="s">
        <v>19698</v>
      </c>
      <c r="C1719" t="s">
        <v>19699</v>
      </c>
      <c r="D1719">
        <v>10</v>
      </c>
      <c r="F1719" s="126"/>
      <c r="G1719" s="3">
        <v>0</v>
      </c>
      <c r="H1719" s="3">
        <v>0</v>
      </c>
      <c r="I1719" s="3">
        <v>0</v>
      </c>
      <c r="J1719" s="3">
        <v>0</v>
      </c>
      <c r="K1719" s="3">
        <f t="shared" si="62"/>
        <v>0</v>
      </c>
      <c r="L1719" s="3"/>
      <c r="M1719" s="3">
        <f t="shared" si="63"/>
        <v>0</v>
      </c>
      <c r="O1719" s="5"/>
      <c r="S1719" s="6"/>
    </row>
    <row r="1720" spans="1:19" customFormat="1" x14ac:dyDescent="0.45">
      <c r="A1720">
        <v>448774</v>
      </c>
      <c r="B1720" t="s">
        <v>19700</v>
      </c>
      <c r="C1720" t="s">
        <v>16331</v>
      </c>
      <c r="D1720">
        <v>3</v>
      </c>
      <c r="E1720" t="s">
        <v>16331</v>
      </c>
      <c r="F1720" s="126"/>
      <c r="G1720" s="7">
        <v>0</v>
      </c>
      <c r="H1720" s="7">
        <v>0</v>
      </c>
      <c r="I1720" s="7">
        <v>0</v>
      </c>
      <c r="J1720" s="7">
        <v>0</v>
      </c>
      <c r="K1720" s="3">
        <f t="shared" si="62"/>
        <v>0</v>
      </c>
      <c r="L1720" s="3"/>
      <c r="M1720" s="3">
        <f t="shared" si="63"/>
        <v>0</v>
      </c>
      <c r="O1720" s="5"/>
      <c r="S1720" s="6"/>
    </row>
    <row r="1721" spans="1:19" customFormat="1" x14ac:dyDescent="0.45">
      <c r="A1721">
        <v>448911</v>
      </c>
      <c r="B1721" t="s">
        <v>19701</v>
      </c>
      <c r="C1721" t="s">
        <v>19702</v>
      </c>
      <c r="D1721">
        <v>1</v>
      </c>
      <c r="F1721" s="126"/>
      <c r="G1721" s="7">
        <v>0</v>
      </c>
      <c r="H1721" s="7">
        <v>0</v>
      </c>
      <c r="I1721" s="7">
        <v>0</v>
      </c>
      <c r="J1721" s="7">
        <v>0</v>
      </c>
      <c r="K1721" s="3">
        <f t="shared" si="62"/>
        <v>0</v>
      </c>
      <c r="L1721" s="3"/>
      <c r="M1721" s="3">
        <f t="shared" si="63"/>
        <v>0</v>
      </c>
      <c r="O1721" s="5"/>
      <c r="S1721" s="6"/>
    </row>
    <row r="1722" spans="1:19" customFormat="1" x14ac:dyDescent="0.45">
      <c r="A1722">
        <v>449016</v>
      </c>
      <c r="B1722" t="s">
        <v>19703</v>
      </c>
      <c r="C1722" t="s">
        <v>19704</v>
      </c>
      <c r="D1722">
        <v>23</v>
      </c>
      <c r="F1722" s="126"/>
      <c r="G1722" s="7">
        <v>0</v>
      </c>
      <c r="H1722" s="7">
        <v>0</v>
      </c>
      <c r="I1722" s="7">
        <v>0</v>
      </c>
      <c r="J1722" s="7">
        <v>0</v>
      </c>
      <c r="K1722" s="3">
        <f t="shared" si="62"/>
        <v>0</v>
      </c>
      <c r="L1722" s="3"/>
      <c r="M1722" s="3">
        <f t="shared" si="63"/>
        <v>0</v>
      </c>
      <c r="O1722" s="5"/>
      <c r="S1722" s="6"/>
    </row>
    <row r="1723" spans="1:19" customFormat="1" x14ac:dyDescent="0.45">
      <c r="A1723">
        <v>449128</v>
      </c>
      <c r="B1723" t="s">
        <v>19705</v>
      </c>
      <c r="C1723" t="s">
        <v>19706</v>
      </c>
      <c r="D1723">
        <v>1</v>
      </c>
      <c r="F1723" s="126"/>
      <c r="G1723" s="7">
        <v>0</v>
      </c>
      <c r="H1723" s="7">
        <v>0</v>
      </c>
      <c r="I1723" s="7">
        <v>0</v>
      </c>
      <c r="J1723" s="7">
        <v>0</v>
      </c>
      <c r="K1723" s="3">
        <f t="shared" si="62"/>
        <v>0</v>
      </c>
      <c r="L1723" s="3"/>
      <c r="M1723" s="3">
        <f t="shared" si="63"/>
        <v>0</v>
      </c>
      <c r="O1723" s="5"/>
      <c r="S1723" s="6"/>
    </row>
    <row r="1724" spans="1:19" customFormat="1" x14ac:dyDescent="0.45">
      <c r="A1724">
        <v>449191</v>
      </c>
      <c r="B1724" t="s">
        <v>19707</v>
      </c>
      <c r="C1724" t="s">
        <v>19708</v>
      </c>
      <c r="D1724">
        <v>2</v>
      </c>
      <c r="F1724" s="126"/>
      <c r="G1724" s="7">
        <v>0</v>
      </c>
      <c r="H1724" s="7">
        <v>0</v>
      </c>
      <c r="I1724" s="7">
        <v>0</v>
      </c>
      <c r="J1724" s="7">
        <v>0</v>
      </c>
      <c r="K1724" s="3">
        <f t="shared" si="62"/>
        <v>0</v>
      </c>
      <c r="L1724" s="3"/>
      <c r="M1724" s="3">
        <f t="shared" si="63"/>
        <v>0</v>
      </c>
      <c r="N1724" s="7"/>
      <c r="O1724" s="5"/>
      <c r="S1724" s="6"/>
    </row>
    <row r="1725" spans="1:19" customFormat="1" x14ac:dyDescent="0.45">
      <c r="A1725">
        <v>449195</v>
      </c>
      <c r="B1725" t="s">
        <v>19709</v>
      </c>
      <c r="C1725" t="s">
        <v>19710</v>
      </c>
      <c r="D1725">
        <v>1</v>
      </c>
      <c r="F1725" s="126"/>
      <c r="G1725" s="3">
        <v>0</v>
      </c>
      <c r="H1725" s="3">
        <v>0</v>
      </c>
      <c r="I1725" s="3">
        <v>0</v>
      </c>
      <c r="J1725" s="3">
        <v>0</v>
      </c>
      <c r="K1725" s="3">
        <f t="shared" si="62"/>
        <v>0</v>
      </c>
      <c r="L1725" s="3"/>
      <c r="M1725" s="3">
        <f t="shared" si="63"/>
        <v>0</v>
      </c>
      <c r="O1725" s="5"/>
      <c r="S1725" s="6"/>
    </row>
    <row r="1726" spans="1:19" customFormat="1" x14ac:dyDescent="0.45">
      <c r="A1726">
        <v>449211</v>
      </c>
      <c r="B1726" t="s">
        <v>19711</v>
      </c>
      <c r="C1726" t="s">
        <v>16331</v>
      </c>
      <c r="D1726">
        <v>1</v>
      </c>
      <c r="E1726" t="s">
        <v>16331</v>
      </c>
      <c r="F1726" s="126"/>
      <c r="G1726" s="7">
        <v>0</v>
      </c>
      <c r="H1726" s="7">
        <v>0</v>
      </c>
      <c r="I1726" s="7">
        <v>0</v>
      </c>
      <c r="J1726" s="7">
        <v>0</v>
      </c>
      <c r="K1726" s="3">
        <f t="shared" ref="K1726:K1727" si="64">SUM(G1726:J1726)</f>
        <v>0</v>
      </c>
      <c r="L1726" s="3"/>
      <c r="M1726" s="3">
        <f t="shared" si="63"/>
        <v>0</v>
      </c>
      <c r="O1726" s="5"/>
      <c r="S1726" s="6"/>
    </row>
    <row r="1727" spans="1:19" customFormat="1" x14ac:dyDescent="0.45">
      <c r="A1727">
        <v>449235</v>
      </c>
      <c r="B1727" t="s">
        <v>19712</v>
      </c>
      <c r="C1727" t="s">
        <v>19713</v>
      </c>
      <c r="D1727">
        <v>1</v>
      </c>
      <c r="F1727" s="126"/>
      <c r="G1727" s="3">
        <v>0</v>
      </c>
      <c r="H1727" s="3">
        <v>0</v>
      </c>
      <c r="I1727" s="3">
        <v>0</v>
      </c>
      <c r="J1727" s="3">
        <v>0</v>
      </c>
      <c r="K1727" s="3">
        <f t="shared" si="64"/>
        <v>0</v>
      </c>
      <c r="L1727" s="3"/>
      <c r="M1727" s="3">
        <f t="shared" si="63"/>
        <v>0</v>
      </c>
      <c r="O1727" s="5"/>
      <c r="S1727" s="6"/>
    </row>
    <row r="1728" spans="1:19" customFormat="1" x14ac:dyDescent="0.45">
      <c r="A1728">
        <v>449388</v>
      </c>
      <c r="B1728" t="s">
        <v>19714</v>
      </c>
      <c r="C1728" t="s">
        <v>19715</v>
      </c>
      <c r="D1728">
        <v>1</v>
      </c>
      <c r="E1728" t="s">
        <v>16334</v>
      </c>
      <c r="F1728" s="126">
        <v>0</v>
      </c>
      <c r="G1728" s="3">
        <v>0</v>
      </c>
      <c r="H1728" s="3">
        <v>0</v>
      </c>
      <c r="I1728" s="4">
        <v>0</v>
      </c>
      <c r="J1728" s="4">
        <v>0</v>
      </c>
      <c r="K1728" s="3">
        <v>0</v>
      </c>
      <c r="L1728" s="3"/>
      <c r="M1728" s="3">
        <v>0</v>
      </c>
      <c r="O1728" s="5"/>
      <c r="S1728" s="6"/>
    </row>
    <row r="1729" spans="1:19" customFormat="1" x14ac:dyDescent="0.45">
      <c r="A1729">
        <v>449517</v>
      </c>
      <c r="B1729" t="s">
        <v>19716</v>
      </c>
      <c r="C1729" t="s">
        <v>19717</v>
      </c>
      <c r="D1729">
        <v>1</v>
      </c>
      <c r="F1729" s="126"/>
      <c r="K1729" s="3">
        <f t="shared" ref="K1729:K1785" si="65">SUM(G1729:J1729)</f>
        <v>0</v>
      </c>
      <c r="L1729" s="3"/>
      <c r="M1729" s="3">
        <f t="shared" ref="M1729:M1785" si="66">K1729+F1729</f>
        <v>0</v>
      </c>
      <c r="O1729" s="5"/>
      <c r="S1729" s="6"/>
    </row>
    <row r="1730" spans="1:19" customFormat="1" x14ac:dyDescent="0.45">
      <c r="A1730">
        <v>449592</v>
      </c>
      <c r="B1730" t="s">
        <v>19718</v>
      </c>
      <c r="C1730" t="s">
        <v>16331</v>
      </c>
      <c r="D1730">
        <v>3</v>
      </c>
      <c r="E1730" t="s">
        <v>16331</v>
      </c>
      <c r="F1730" s="126"/>
      <c r="G1730" s="7">
        <v>0</v>
      </c>
      <c r="H1730" s="7">
        <v>0</v>
      </c>
      <c r="I1730" s="7">
        <v>0</v>
      </c>
      <c r="J1730" s="7">
        <v>0</v>
      </c>
      <c r="K1730" s="3">
        <f t="shared" si="65"/>
        <v>0</v>
      </c>
      <c r="L1730" s="3"/>
      <c r="M1730" s="3">
        <f t="shared" si="66"/>
        <v>0</v>
      </c>
      <c r="O1730" s="5"/>
      <c r="S1730" s="6"/>
    </row>
    <row r="1731" spans="1:19" customFormat="1" x14ac:dyDescent="0.45">
      <c r="A1731">
        <v>449614</v>
      </c>
      <c r="B1731" t="s">
        <v>19719</v>
      </c>
      <c r="C1731" t="s">
        <v>16331</v>
      </c>
      <c r="D1731">
        <v>3</v>
      </c>
      <c r="E1731" t="s">
        <v>16331</v>
      </c>
      <c r="F1731" s="126"/>
      <c r="G1731" s="7">
        <v>0</v>
      </c>
      <c r="H1731" s="7">
        <v>0</v>
      </c>
      <c r="I1731" s="7">
        <v>0</v>
      </c>
      <c r="J1731" s="7">
        <v>0</v>
      </c>
      <c r="K1731" s="3">
        <f t="shared" si="65"/>
        <v>0</v>
      </c>
      <c r="L1731" s="3"/>
      <c r="M1731" s="3">
        <f t="shared" si="66"/>
        <v>0</v>
      </c>
      <c r="O1731" s="5"/>
      <c r="S1731" s="6"/>
    </row>
    <row r="1732" spans="1:19" customFormat="1" x14ac:dyDescent="0.45">
      <c r="A1732">
        <v>449720</v>
      </c>
      <c r="B1732" t="s">
        <v>19720</v>
      </c>
      <c r="C1732" t="s">
        <v>16331</v>
      </c>
      <c r="D1732">
        <v>5</v>
      </c>
      <c r="E1732" t="s">
        <v>16331</v>
      </c>
      <c r="F1732" s="126"/>
      <c r="G1732" s="7">
        <v>0</v>
      </c>
      <c r="H1732" s="7">
        <v>0</v>
      </c>
      <c r="I1732" s="7">
        <v>0</v>
      </c>
      <c r="J1732" s="7">
        <v>0</v>
      </c>
      <c r="K1732" s="3">
        <f t="shared" si="65"/>
        <v>0</v>
      </c>
      <c r="L1732" s="3"/>
      <c r="M1732" s="3">
        <f t="shared" si="66"/>
        <v>0</v>
      </c>
      <c r="N1732" s="7" t="s">
        <v>19721</v>
      </c>
      <c r="O1732" s="5"/>
      <c r="S1732" s="6"/>
    </row>
    <row r="1733" spans="1:19" customFormat="1" x14ac:dyDescent="0.45">
      <c r="A1733">
        <v>449948</v>
      </c>
      <c r="B1733" t="s">
        <v>19722</v>
      </c>
      <c r="C1733" t="s">
        <v>19723</v>
      </c>
      <c r="D1733">
        <v>1</v>
      </c>
      <c r="F1733" s="126"/>
      <c r="G1733" s="3">
        <v>0</v>
      </c>
      <c r="H1733" s="3">
        <v>0</v>
      </c>
      <c r="I1733" s="3">
        <v>0</v>
      </c>
      <c r="J1733" s="3">
        <v>0</v>
      </c>
      <c r="K1733" s="3">
        <f t="shared" si="65"/>
        <v>0</v>
      </c>
      <c r="L1733" s="3"/>
      <c r="M1733" s="3">
        <f t="shared" si="66"/>
        <v>0</v>
      </c>
      <c r="O1733" s="5"/>
      <c r="S1733" s="6"/>
    </row>
    <row r="1734" spans="1:19" customFormat="1" x14ac:dyDescent="0.45">
      <c r="A1734">
        <v>450015</v>
      </c>
      <c r="B1734" t="s">
        <v>19724</v>
      </c>
      <c r="C1734" t="s">
        <v>19725</v>
      </c>
      <c r="D1734">
        <v>4</v>
      </c>
      <c r="F1734" s="126"/>
      <c r="G1734" s="3">
        <v>0</v>
      </c>
      <c r="H1734" s="3">
        <v>0</v>
      </c>
      <c r="I1734" s="3">
        <v>0</v>
      </c>
      <c r="J1734" s="3">
        <v>0</v>
      </c>
      <c r="K1734" s="3">
        <f t="shared" si="65"/>
        <v>0</v>
      </c>
      <c r="L1734" s="3"/>
      <c r="M1734" s="3">
        <f t="shared" si="66"/>
        <v>0</v>
      </c>
      <c r="O1734" s="5"/>
      <c r="S1734" s="6"/>
    </row>
    <row r="1735" spans="1:19" customFormat="1" x14ac:dyDescent="0.45">
      <c r="A1735">
        <v>450155</v>
      </c>
      <c r="B1735" t="s">
        <v>19726</v>
      </c>
      <c r="C1735" t="s">
        <v>19727</v>
      </c>
      <c r="D1735">
        <v>3</v>
      </c>
      <c r="F1735" s="126"/>
      <c r="G1735" s="3">
        <v>0</v>
      </c>
      <c r="H1735" s="3">
        <v>0</v>
      </c>
      <c r="I1735" s="3">
        <v>0</v>
      </c>
      <c r="J1735" s="3">
        <v>0</v>
      </c>
      <c r="K1735" s="3">
        <f t="shared" si="65"/>
        <v>0</v>
      </c>
      <c r="L1735" s="3"/>
      <c r="M1735" s="3">
        <f t="shared" si="66"/>
        <v>0</v>
      </c>
      <c r="O1735" s="5"/>
      <c r="S1735" s="6"/>
    </row>
    <row r="1736" spans="1:19" customFormat="1" x14ac:dyDescent="0.45">
      <c r="A1736">
        <v>450163</v>
      </c>
      <c r="B1736" t="s">
        <v>19728</v>
      </c>
      <c r="C1736" t="s">
        <v>19729</v>
      </c>
      <c r="D1736">
        <v>10</v>
      </c>
      <c r="F1736" s="126"/>
      <c r="G1736" s="7">
        <v>0</v>
      </c>
      <c r="H1736" s="7">
        <v>0</v>
      </c>
      <c r="I1736" s="7">
        <v>0</v>
      </c>
      <c r="J1736" s="7">
        <v>0</v>
      </c>
      <c r="K1736" s="3">
        <f t="shared" si="65"/>
        <v>0</v>
      </c>
      <c r="L1736" s="3"/>
      <c r="M1736" s="3">
        <f t="shared" si="66"/>
        <v>0</v>
      </c>
      <c r="O1736" s="5"/>
      <c r="S1736" s="6"/>
    </row>
    <row r="1737" spans="1:19" customFormat="1" x14ac:dyDescent="0.45">
      <c r="A1737">
        <v>450369</v>
      </c>
      <c r="B1737" t="s">
        <v>19730</v>
      </c>
      <c r="C1737" t="s">
        <v>19731</v>
      </c>
      <c r="D1737">
        <v>7</v>
      </c>
      <c r="F1737" s="126"/>
      <c r="G1737" s="19"/>
      <c r="H1737" s="19"/>
      <c r="I1737" s="19"/>
      <c r="J1737" s="19"/>
      <c r="K1737" s="3">
        <f t="shared" si="65"/>
        <v>0</v>
      </c>
      <c r="L1737" s="3"/>
      <c r="M1737" s="3">
        <f t="shared" si="66"/>
        <v>0</v>
      </c>
      <c r="O1737" s="5"/>
      <c r="S1737" s="6"/>
    </row>
    <row r="1738" spans="1:19" customFormat="1" x14ac:dyDescent="0.45">
      <c r="A1738">
        <v>450371</v>
      </c>
      <c r="B1738" t="s">
        <v>19732</v>
      </c>
      <c r="C1738" t="s">
        <v>19733</v>
      </c>
      <c r="D1738">
        <v>1</v>
      </c>
      <c r="F1738" s="126"/>
      <c r="G1738" s="7">
        <v>0</v>
      </c>
      <c r="H1738" s="7">
        <v>0</v>
      </c>
      <c r="I1738" s="7">
        <v>0</v>
      </c>
      <c r="J1738" s="7">
        <v>0</v>
      </c>
      <c r="K1738" s="3">
        <f t="shared" si="65"/>
        <v>0</v>
      </c>
      <c r="L1738" s="3"/>
      <c r="M1738" s="3">
        <f t="shared" si="66"/>
        <v>0</v>
      </c>
      <c r="O1738" s="5"/>
      <c r="S1738" s="6"/>
    </row>
    <row r="1739" spans="1:19" customFormat="1" x14ac:dyDescent="0.45">
      <c r="A1739">
        <v>450395</v>
      </c>
      <c r="B1739" t="s">
        <v>19734</v>
      </c>
      <c r="C1739" t="s">
        <v>19735</v>
      </c>
      <c r="D1739">
        <v>2</v>
      </c>
      <c r="F1739" s="126"/>
      <c r="G1739" s="3">
        <v>0</v>
      </c>
      <c r="H1739" s="3">
        <v>0</v>
      </c>
      <c r="I1739" s="3">
        <v>0</v>
      </c>
      <c r="J1739" s="3">
        <v>0</v>
      </c>
      <c r="K1739" s="3">
        <f t="shared" si="65"/>
        <v>0</v>
      </c>
      <c r="L1739" s="3"/>
      <c r="M1739" s="3">
        <f t="shared" si="66"/>
        <v>0</v>
      </c>
      <c r="O1739" s="5"/>
      <c r="S1739" s="6"/>
    </row>
    <row r="1740" spans="1:19" customFormat="1" x14ac:dyDescent="0.45">
      <c r="A1740">
        <v>450497</v>
      </c>
      <c r="B1740" t="s">
        <v>19736</v>
      </c>
      <c r="C1740" t="s">
        <v>19737</v>
      </c>
      <c r="D1740">
        <v>4</v>
      </c>
      <c r="F1740" s="126"/>
      <c r="G1740" s="7">
        <v>0</v>
      </c>
      <c r="H1740" s="7">
        <v>0</v>
      </c>
      <c r="I1740" s="7">
        <v>0</v>
      </c>
      <c r="J1740" s="7">
        <v>0</v>
      </c>
      <c r="K1740" s="3">
        <f t="shared" si="65"/>
        <v>0</v>
      </c>
      <c r="L1740" s="3"/>
      <c r="M1740" s="3">
        <f t="shared" si="66"/>
        <v>0</v>
      </c>
      <c r="O1740" s="5"/>
      <c r="S1740" s="6"/>
    </row>
    <row r="1741" spans="1:19" customFormat="1" x14ac:dyDescent="0.45">
      <c r="A1741">
        <v>450550</v>
      </c>
      <c r="B1741" t="s">
        <v>19738</v>
      </c>
      <c r="C1741" t="s">
        <v>19739</v>
      </c>
      <c r="D1741">
        <v>3</v>
      </c>
      <c r="F1741" s="126"/>
      <c r="G1741" s="46"/>
      <c r="H1741" s="46" t="s">
        <v>19740</v>
      </c>
      <c r="I1741" s="46"/>
      <c r="J1741" s="46"/>
      <c r="K1741" s="3">
        <f t="shared" si="65"/>
        <v>0</v>
      </c>
      <c r="L1741" s="3"/>
      <c r="M1741" s="3">
        <f t="shared" si="66"/>
        <v>0</v>
      </c>
      <c r="O1741" s="5"/>
      <c r="S1741" s="6"/>
    </row>
    <row r="1742" spans="1:19" customFormat="1" x14ac:dyDescent="0.45">
      <c r="A1742">
        <v>450607</v>
      </c>
      <c r="B1742" t="s">
        <v>19741</v>
      </c>
      <c r="C1742" t="s">
        <v>19742</v>
      </c>
      <c r="D1742">
        <v>1</v>
      </c>
      <c r="F1742" s="126"/>
      <c r="G1742" s="7">
        <v>0</v>
      </c>
      <c r="H1742" s="7">
        <v>0</v>
      </c>
      <c r="I1742" s="7">
        <v>0</v>
      </c>
      <c r="J1742" s="7">
        <v>0</v>
      </c>
      <c r="K1742" s="3">
        <f t="shared" si="65"/>
        <v>0</v>
      </c>
      <c r="L1742" s="3"/>
      <c r="M1742" s="3">
        <f t="shared" si="66"/>
        <v>0</v>
      </c>
      <c r="O1742" s="5"/>
      <c r="S1742" s="6"/>
    </row>
    <row r="1743" spans="1:19" customFormat="1" x14ac:dyDescent="0.45">
      <c r="A1743">
        <v>450643</v>
      </c>
      <c r="B1743" t="s">
        <v>19743</v>
      </c>
      <c r="C1743" t="s">
        <v>19744</v>
      </c>
      <c r="D1743">
        <v>2</v>
      </c>
      <c r="F1743" s="126"/>
      <c r="G1743" s="3">
        <v>0</v>
      </c>
      <c r="H1743" s="3">
        <v>0</v>
      </c>
      <c r="I1743" s="3">
        <v>0</v>
      </c>
      <c r="J1743" s="3">
        <v>0</v>
      </c>
      <c r="K1743" s="3">
        <f t="shared" si="65"/>
        <v>0</v>
      </c>
      <c r="L1743" s="3"/>
      <c r="M1743" s="3">
        <f t="shared" si="66"/>
        <v>0</v>
      </c>
      <c r="O1743" s="5"/>
      <c r="S1743" s="6"/>
    </row>
    <row r="1744" spans="1:19" customFormat="1" x14ac:dyDescent="0.45">
      <c r="A1744">
        <v>450657</v>
      </c>
      <c r="B1744" t="s">
        <v>19745</v>
      </c>
      <c r="C1744" t="s">
        <v>19746</v>
      </c>
      <c r="D1744">
        <v>0</v>
      </c>
      <c r="E1744" t="s">
        <v>16561</v>
      </c>
      <c r="F1744" s="126"/>
      <c r="G1744" s="7">
        <v>0</v>
      </c>
      <c r="H1744" s="7">
        <v>0</v>
      </c>
      <c r="I1744" s="7">
        <v>0</v>
      </c>
      <c r="J1744" s="7">
        <v>0</v>
      </c>
      <c r="K1744" s="3">
        <f t="shared" si="65"/>
        <v>0</v>
      </c>
      <c r="L1744" s="3"/>
      <c r="M1744" s="3">
        <f t="shared" si="66"/>
        <v>0</v>
      </c>
      <c r="N1744" s="7"/>
      <c r="O1744" s="5"/>
      <c r="S1744" s="6"/>
    </row>
    <row r="1745" spans="1:23" customFormat="1" x14ac:dyDescent="0.45">
      <c r="A1745">
        <v>450659</v>
      </c>
      <c r="B1745" t="s">
        <v>19747</v>
      </c>
      <c r="C1745" t="s">
        <v>16331</v>
      </c>
      <c r="D1745">
        <v>1</v>
      </c>
      <c r="E1745" t="s">
        <v>16331</v>
      </c>
      <c r="F1745" s="126"/>
      <c r="G1745" s="7">
        <v>0</v>
      </c>
      <c r="H1745" s="7">
        <v>0</v>
      </c>
      <c r="I1745" s="7">
        <v>0</v>
      </c>
      <c r="J1745" s="7">
        <v>0</v>
      </c>
      <c r="K1745" s="3">
        <f t="shared" si="65"/>
        <v>0</v>
      </c>
      <c r="L1745" s="3"/>
      <c r="M1745" s="3">
        <f t="shared" si="66"/>
        <v>0</v>
      </c>
      <c r="O1745" s="5"/>
      <c r="S1745" s="6"/>
    </row>
    <row r="1746" spans="1:23" customFormat="1" x14ac:dyDescent="0.45">
      <c r="A1746">
        <v>450813</v>
      </c>
      <c r="B1746" t="s">
        <v>19748</v>
      </c>
      <c r="C1746" t="s">
        <v>16331</v>
      </c>
      <c r="D1746">
        <v>3</v>
      </c>
      <c r="E1746" t="s">
        <v>16331</v>
      </c>
      <c r="F1746" s="126"/>
      <c r="G1746" s="7">
        <v>0</v>
      </c>
      <c r="H1746" s="7">
        <v>0</v>
      </c>
      <c r="I1746" s="7">
        <v>0</v>
      </c>
      <c r="J1746" s="7">
        <v>0</v>
      </c>
      <c r="K1746" s="3">
        <f t="shared" si="65"/>
        <v>0</v>
      </c>
      <c r="L1746" s="3"/>
      <c r="M1746" s="3">
        <f t="shared" si="66"/>
        <v>0</v>
      </c>
      <c r="N1746" s="7"/>
      <c r="O1746" s="5"/>
      <c r="S1746" s="6"/>
    </row>
    <row r="1747" spans="1:23" customFormat="1" x14ac:dyDescent="0.45">
      <c r="A1747">
        <v>450927</v>
      </c>
      <c r="B1747" t="s">
        <v>19749</v>
      </c>
      <c r="C1747" t="s">
        <v>16331</v>
      </c>
      <c r="D1747">
        <v>5</v>
      </c>
      <c r="E1747" t="s">
        <v>16331</v>
      </c>
      <c r="F1747" s="126"/>
      <c r="G1747" s="7">
        <v>0</v>
      </c>
      <c r="H1747" s="7">
        <v>0</v>
      </c>
      <c r="I1747" s="7">
        <v>0</v>
      </c>
      <c r="J1747" s="7">
        <v>0</v>
      </c>
      <c r="K1747" s="3">
        <f t="shared" si="65"/>
        <v>0</v>
      </c>
      <c r="L1747" s="3"/>
      <c r="M1747" s="3">
        <f t="shared" si="66"/>
        <v>0</v>
      </c>
      <c r="O1747" s="5"/>
      <c r="S1747" s="6"/>
    </row>
    <row r="1748" spans="1:23" customFormat="1" x14ac:dyDescent="0.45">
      <c r="A1748">
        <v>451060</v>
      </c>
      <c r="B1748" t="s">
        <v>19750</v>
      </c>
      <c r="C1748" t="s">
        <v>16331</v>
      </c>
      <c r="D1748">
        <v>1</v>
      </c>
      <c r="E1748" t="s">
        <v>16331</v>
      </c>
      <c r="F1748" s="126"/>
      <c r="G1748" s="7">
        <v>0</v>
      </c>
      <c r="H1748" s="7">
        <v>0</v>
      </c>
      <c r="I1748" s="7">
        <v>0</v>
      </c>
      <c r="J1748" s="7">
        <v>0</v>
      </c>
      <c r="K1748" s="3">
        <f t="shared" si="65"/>
        <v>0</v>
      </c>
      <c r="L1748" s="3"/>
      <c r="M1748" s="3">
        <f t="shared" si="66"/>
        <v>0</v>
      </c>
      <c r="O1748" s="5"/>
      <c r="S1748" s="6"/>
    </row>
    <row r="1749" spans="1:23" customFormat="1" x14ac:dyDescent="0.45">
      <c r="A1749">
        <v>451166</v>
      </c>
      <c r="B1749" t="s">
        <v>19751</v>
      </c>
      <c r="C1749" t="s">
        <v>19752</v>
      </c>
      <c r="D1749">
        <v>5</v>
      </c>
      <c r="F1749" s="126"/>
      <c r="G1749" s="3">
        <v>0</v>
      </c>
      <c r="H1749" s="3">
        <v>0</v>
      </c>
      <c r="I1749" s="3">
        <v>0</v>
      </c>
      <c r="J1749" s="3">
        <v>0</v>
      </c>
      <c r="K1749" s="3">
        <f t="shared" si="65"/>
        <v>0</v>
      </c>
      <c r="L1749" s="3"/>
      <c r="M1749" s="3">
        <f t="shared" si="66"/>
        <v>0</v>
      </c>
      <c r="O1749" s="5"/>
      <c r="S1749" s="6"/>
    </row>
    <row r="1750" spans="1:23" customFormat="1" x14ac:dyDescent="0.45">
      <c r="A1750">
        <v>451293</v>
      </c>
      <c r="B1750" t="s">
        <v>19753</v>
      </c>
      <c r="C1750" t="s">
        <v>16331</v>
      </c>
      <c r="D1750">
        <v>3</v>
      </c>
      <c r="E1750" t="s">
        <v>16331</v>
      </c>
      <c r="F1750" s="126"/>
      <c r="G1750" s="7">
        <v>0</v>
      </c>
      <c r="H1750" s="7">
        <v>0</v>
      </c>
      <c r="I1750" s="7">
        <v>0</v>
      </c>
      <c r="J1750" s="7">
        <v>0</v>
      </c>
      <c r="K1750" s="3">
        <f t="shared" si="65"/>
        <v>0</v>
      </c>
      <c r="L1750" s="3"/>
      <c r="M1750" s="3">
        <f t="shared" si="66"/>
        <v>0</v>
      </c>
      <c r="O1750" s="5"/>
      <c r="S1750" s="6"/>
    </row>
    <row r="1751" spans="1:23" customFormat="1" x14ac:dyDescent="0.45">
      <c r="A1751">
        <v>451361</v>
      </c>
      <c r="B1751" t="s">
        <v>19754</v>
      </c>
      <c r="C1751" t="s">
        <v>16331</v>
      </c>
      <c r="D1751">
        <v>1</v>
      </c>
      <c r="E1751" t="s">
        <v>16331</v>
      </c>
      <c r="F1751" s="126"/>
      <c r="G1751" s="7">
        <v>0</v>
      </c>
      <c r="H1751" s="7">
        <v>0</v>
      </c>
      <c r="I1751" s="7">
        <v>0</v>
      </c>
      <c r="J1751" s="7">
        <v>0</v>
      </c>
      <c r="K1751" s="3">
        <f t="shared" si="65"/>
        <v>0</v>
      </c>
      <c r="L1751" s="3"/>
      <c r="M1751" s="3">
        <f t="shared" si="66"/>
        <v>0</v>
      </c>
      <c r="N1751" s="7"/>
      <c r="O1751" s="5"/>
      <c r="S1751" s="6"/>
    </row>
    <row r="1752" spans="1:23" customFormat="1" x14ac:dyDescent="0.45">
      <c r="A1752">
        <v>451607</v>
      </c>
      <c r="B1752" t="s">
        <v>19755</v>
      </c>
      <c r="C1752" t="s">
        <v>19756</v>
      </c>
      <c r="D1752">
        <v>0</v>
      </c>
      <c r="E1752" t="s">
        <v>16334</v>
      </c>
      <c r="F1752" s="126"/>
      <c r="G1752" s="7">
        <v>0</v>
      </c>
      <c r="H1752" s="7">
        <v>0</v>
      </c>
      <c r="I1752" s="7">
        <v>0</v>
      </c>
      <c r="J1752" s="7">
        <v>0</v>
      </c>
      <c r="K1752" s="3">
        <f t="shared" si="65"/>
        <v>0</v>
      </c>
      <c r="L1752" s="3"/>
      <c r="M1752" s="3">
        <f t="shared" si="66"/>
        <v>0</v>
      </c>
      <c r="O1752" s="5"/>
      <c r="S1752" s="6"/>
    </row>
    <row r="1753" spans="1:23" customFormat="1" x14ac:dyDescent="0.45">
      <c r="A1753">
        <v>451695</v>
      </c>
      <c r="B1753" t="s">
        <v>19757</v>
      </c>
      <c r="C1753" t="s">
        <v>19758</v>
      </c>
      <c r="D1753">
        <v>4</v>
      </c>
      <c r="F1753" s="126"/>
      <c r="G1753" s="3">
        <v>0</v>
      </c>
      <c r="H1753" s="3">
        <v>0</v>
      </c>
      <c r="I1753" s="3">
        <v>0</v>
      </c>
      <c r="J1753" s="3">
        <v>0</v>
      </c>
      <c r="K1753" s="3">
        <f t="shared" si="65"/>
        <v>0</v>
      </c>
      <c r="L1753" s="3"/>
      <c r="M1753" s="3">
        <f t="shared" si="66"/>
        <v>0</v>
      </c>
      <c r="O1753" s="5"/>
      <c r="S1753" s="6"/>
    </row>
    <row r="1754" spans="1:23" customFormat="1" x14ac:dyDescent="0.45">
      <c r="A1754">
        <v>451720</v>
      </c>
      <c r="B1754" t="s">
        <v>19759</v>
      </c>
      <c r="C1754" t="s">
        <v>19760</v>
      </c>
      <c r="D1754">
        <v>2</v>
      </c>
      <c r="F1754" s="126"/>
      <c r="G1754" s="7">
        <v>0</v>
      </c>
      <c r="H1754" s="7">
        <v>0</v>
      </c>
      <c r="I1754" s="7">
        <v>0</v>
      </c>
      <c r="J1754" s="7">
        <v>0</v>
      </c>
      <c r="K1754" s="3">
        <f t="shared" si="65"/>
        <v>0</v>
      </c>
      <c r="L1754" s="3"/>
      <c r="M1754" s="3">
        <f t="shared" si="66"/>
        <v>0</v>
      </c>
      <c r="N1754" s="7"/>
      <c r="O1754" s="5"/>
      <c r="S1754" s="6"/>
    </row>
    <row r="1755" spans="1:23" customFormat="1" x14ac:dyDescent="0.45">
      <c r="A1755">
        <v>451784</v>
      </c>
      <c r="B1755" t="s">
        <v>19761</v>
      </c>
      <c r="C1755" t="s">
        <v>19762</v>
      </c>
      <c r="D1755">
        <v>2</v>
      </c>
      <c r="F1755" s="126"/>
      <c r="G1755" s="7">
        <v>0</v>
      </c>
      <c r="H1755" s="7">
        <v>0</v>
      </c>
      <c r="I1755" s="7">
        <v>0</v>
      </c>
      <c r="J1755" s="7">
        <v>0</v>
      </c>
      <c r="K1755" s="3">
        <f t="shared" si="65"/>
        <v>0</v>
      </c>
      <c r="L1755" s="3"/>
      <c r="M1755" s="3">
        <f t="shared" si="66"/>
        <v>0</v>
      </c>
      <c r="O1755" s="5"/>
      <c r="S1755" s="6"/>
    </row>
    <row r="1756" spans="1:23" customFormat="1" x14ac:dyDescent="0.45">
      <c r="A1756">
        <v>451955</v>
      </c>
      <c r="B1756" t="s">
        <v>19763</v>
      </c>
      <c r="C1756" t="s">
        <v>19764</v>
      </c>
      <c r="D1756">
        <v>1</v>
      </c>
      <c r="F1756" s="126"/>
      <c r="G1756" s="3">
        <v>0</v>
      </c>
      <c r="H1756" s="3">
        <v>0</v>
      </c>
      <c r="I1756" s="3">
        <v>0</v>
      </c>
      <c r="J1756" s="3">
        <v>0</v>
      </c>
      <c r="K1756" s="3">
        <f t="shared" si="65"/>
        <v>0</v>
      </c>
      <c r="L1756" s="3"/>
      <c r="M1756" s="3">
        <f t="shared" si="66"/>
        <v>0</v>
      </c>
      <c r="O1756" s="5"/>
      <c r="S1756" s="6"/>
    </row>
    <row r="1757" spans="1:23" x14ac:dyDescent="0.45">
      <c r="A1757" s="124">
        <v>409714</v>
      </c>
      <c r="B1757" s="124" t="s">
        <v>19765</v>
      </c>
      <c r="C1757" s="125" t="s">
        <v>19766</v>
      </c>
      <c r="D1757" s="124">
        <v>10</v>
      </c>
      <c r="E1757" s="124" t="s">
        <v>16334</v>
      </c>
      <c r="F1757" s="126">
        <v>1.6999999999999999E-3</v>
      </c>
      <c r="G1757" s="126">
        <v>0.03</v>
      </c>
      <c r="H1757" s="126">
        <v>8.0000000000000002E-3</v>
      </c>
      <c r="I1757" s="127"/>
      <c r="J1757" s="127">
        <v>0</v>
      </c>
      <c r="K1757" s="126">
        <f t="shared" si="65"/>
        <v>3.7999999999999999E-2</v>
      </c>
      <c r="L1757" s="3"/>
      <c r="M1757" s="126">
        <f t="shared" si="66"/>
        <v>3.9699999999999999E-2</v>
      </c>
      <c r="O1757" s="125" t="s">
        <v>19767</v>
      </c>
      <c r="P1757" s="128" t="s">
        <v>26918</v>
      </c>
      <c r="Q1757" s="132">
        <v>127621</v>
      </c>
      <c r="R1757" s="124" t="s">
        <v>16348</v>
      </c>
      <c r="S1757" s="130">
        <v>86141</v>
      </c>
      <c r="T1757" s="129">
        <f>S1757/Q1757</f>
        <v>0.67497512164925833</v>
      </c>
      <c r="V1757" s="125" t="s">
        <v>19768</v>
      </c>
    </row>
    <row r="1758" spans="1:23" customFormat="1" x14ac:dyDescent="0.45">
      <c r="A1758">
        <v>452204</v>
      </c>
      <c r="B1758" t="s">
        <v>19769</v>
      </c>
      <c r="C1758" t="s">
        <v>19770</v>
      </c>
      <c r="D1758">
        <v>1</v>
      </c>
      <c r="F1758" s="126"/>
      <c r="G1758" s="7">
        <v>0</v>
      </c>
      <c r="H1758" s="7">
        <v>0</v>
      </c>
      <c r="I1758" s="7">
        <v>0</v>
      </c>
      <c r="J1758" s="7">
        <v>0</v>
      </c>
      <c r="K1758" s="3">
        <f t="shared" si="65"/>
        <v>0</v>
      </c>
      <c r="L1758" s="3"/>
      <c r="M1758" s="3">
        <f t="shared" si="66"/>
        <v>0</v>
      </c>
      <c r="O1758" s="5"/>
      <c r="S1758" s="6"/>
    </row>
    <row r="1759" spans="1:23" x14ac:dyDescent="0.45">
      <c r="A1759" s="124">
        <v>177814</v>
      </c>
      <c r="B1759" s="124" t="s">
        <v>19771</v>
      </c>
      <c r="C1759" s="125" t="s">
        <v>19772</v>
      </c>
      <c r="D1759" s="124">
        <v>1</v>
      </c>
      <c r="E1759" s="124" t="s">
        <v>16334</v>
      </c>
      <c r="F1759" s="126">
        <v>1.6999999999999999E-3</v>
      </c>
      <c r="G1759" s="126">
        <v>2.75E-2</v>
      </c>
      <c r="H1759" s="126">
        <v>7.4999999999999997E-3</v>
      </c>
      <c r="I1759" s="126">
        <v>0</v>
      </c>
      <c r="J1759" s="126">
        <v>0</v>
      </c>
      <c r="K1759" s="126">
        <f t="shared" si="65"/>
        <v>3.5000000000000003E-2</v>
      </c>
      <c r="L1759" s="3"/>
      <c r="M1759" s="126">
        <f t="shared" si="66"/>
        <v>3.6700000000000003E-2</v>
      </c>
      <c r="O1759" s="125" t="s">
        <v>19773</v>
      </c>
      <c r="P1759" s="128" t="s">
        <v>26918</v>
      </c>
      <c r="Q1759" s="130">
        <f>67061+19127</f>
        <v>86188</v>
      </c>
      <c r="R1759" s="124" t="s">
        <v>16348</v>
      </c>
      <c r="S1759" s="130">
        <v>42442</v>
      </c>
      <c r="T1759" s="129">
        <f>S1759/Q1759</f>
        <v>0.49243514178307884</v>
      </c>
      <c r="V1759" s="125" t="s">
        <v>19774</v>
      </c>
      <c r="W1759" s="124" t="s">
        <v>17021</v>
      </c>
    </row>
    <row r="1760" spans="1:23" x14ac:dyDescent="0.45">
      <c r="A1760" s="124">
        <v>223112</v>
      </c>
      <c r="B1760" s="124" t="s">
        <v>19775</v>
      </c>
      <c r="C1760" s="125" t="s">
        <v>19776</v>
      </c>
      <c r="D1760" s="124">
        <v>352</v>
      </c>
      <c r="E1760" s="124" t="s">
        <v>16334</v>
      </c>
      <c r="F1760" s="126">
        <v>1.6999999999999999E-3</v>
      </c>
      <c r="G1760" s="135">
        <v>0.01</v>
      </c>
      <c r="H1760" s="126">
        <v>8.5000000000000006E-3</v>
      </c>
      <c r="I1760" s="127"/>
      <c r="J1760" s="127"/>
      <c r="K1760" s="126">
        <f t="shared" si="65"/>
        <v>1.8500000000000003E-2</v>
      </c>
      <c r="L1760" s="3"/>
      <c r="M1760" s="126">
        <f t="shared" si="66"/>
        <v>2.0200000000000003E-2</v>
      </c>
      <c r="N1760" s="124" t="s">
        <v>19777</v>
      </c>
      <c r="O1760" s="125" t="s">
        <v>19778</v>
      </c>
      <c r="P1760" s="128" t="s">
        <v>26918</v>
      </c>
      <c r="Q1760" s="130">
        <v>139289</v>
      </c>
      <c r="R1760" s="124" t="s">
        <v>16348</v>
      </c>
      <c r="S1760" s="130">
        <v>8381</v>
      </c>
      <c r="T1760" s="129">
        <f>S1760/Q1760</f>
        <v>6.0169862659650082E-2</v>
      </c>
      <c r="V1760" s="125" t="s">
        <v>19779</v>
      </c>
    </row>
    <row r="1761" spans="1:22" customFormat="1" x14ac:dyDescent="0.45">
      <c r="A1761">
        <v>452312</v>
      </c>
      <c r="B1761" t="s">
        <v>19780</v>
      </c>
      <c r="C1761" t="s">
        <v>19781</v>
      </c>
      <c r="D1761">
        <v>4</v>
      </c>
      <c r="F1761" s="126"/>
      <c r="G1761" s="7">
        <v>0</v>
      </c>
      <c r="H1761" s="7">
        <v>0</v>
      </c>
      <c r="I1761" s="7">
        <v>0</v>
      </c>
      <c r="J1761" s="7">
        <v>0</v>
      </c>
      <c r="K1761" s="3">
        <f t="shared" si="65"/>
        <v>0</v>
      </c>
      <c r="L1761" s="3"/>
      <c r="M1761" s="3">
        <f t="shared" si="66"/>
        <v>0</v>
      </c>
      <c r="O1761" s="5"/>
      <c r="S1761" s="6"/>
    </row>
    <row r="1762" spans="1:22" customFormat="1" x14ac:dyDescent="0.45">
      <c r="A1762">
        <v>452494</v>
      </c>
      <c r="B1762" t="s">
        <v>19782</v>
      </c>
      <c r="C1762" t="s">
        <v>16331</v>
      </c>
      <c r="D1762">
        <v>2</v>
      </c>
      <c r="E1762" t="s">
        <v>16331</v>
      </c>
      <c r="F1762" s="126"/>
      <c r="G1762" s="7">
        <v>0</v>
      </c>
      <c r="H1762" s="7">
        <v>0</v>
      </c>
      <c r="I1762" s="7">
        <v>0</v>
      </c>
      <c r="J1762" s="7">
        <v>0</v>
      </c>
      <c r="K1762" s="3">
        <f t="shared" si="65"/>
        <v>0</v>
      </c>
      <c r="L1762" s="3"/>
      <c r="M1762" s="3">
        <f t="shared" si="66"/>
        <v>0</v>
      </c>
      <c r="O1762" s="5"/>
      <c r="S1762" s="6"/>
    </row>
    <row r="1763" spans="1:22" customFormat="1" x14ac:dyDescent="0.45">
      <c r="A1763">
        <v>452685</v>
      </c>
      <c r="B1763" t="s">
        <v>19783</v>
      </c>
      <c r="C1763" t="s">
        <v>19784</v>
      </c>
      <c r="D1763">
        <v>2</v>
      </c>
      <c r="F1763" s="126"/>
      <c r="K1763" s="3">
        <f t="shared" si="65"/>
        <v>0</v>
      </c>
      <c r="L1763" s="3"/>
      <c r="M1763" s="3">
        <f t="shared" si="66"/>
        <v>0</v>
      </c>
      <c r="O1763" s="5"/>
      <c r="S1763" s="6"/>
    </row>
    <row r="1764" spans="1:22" customFormat="1" x14ac:dyDescent="0.45">
      <c r="A1764">
        <v>452784</v>
      </c>
      <c r="B1764" t="s">
        <v>19785</v>
      </c>
      <c r="C1764" t="s">
        <v>19786</v>
      </c>
      <c r="D1764">
        <v>2</v>
      </c>
      <c r="F1764" s="126"/>
      <c r="G1764" s="3">
        <v>0</v>
      </c>
      <c r="H1764" s="3">
        <v>0</v>
      </c>
      <c r="I1764" s="3">
        <v>0</v>
      </c>
      <c r="J1764" s="3">
        <v>0</v>
      </c>
      <c r="K1764" s="3">
        <f t="shared" si="65"/>
        <v>0</v>
      </c>
      <c r="L1764" s="3"/>
      <c r="M1764" s="3">
        <f t="shared" si="66"/>
        <v>0</v>
      </c>
      <c r="O1764" s="5"/>
      <c r="S1764" s="6"/>
    </row>
    <row r="1765" spans="1:22" customFormat="1" x14ac:dyDescent="0.45">
      <c r="A1765">
        <v>452930</v>
      </c>
      <c r="B1765" t="s">
        <v>19787</v>
      </c>
      <c r="C1765" t="s">
        <v>19788</v>
      </c>
      <c r="D1765">
        <v>2</v>
      </c>
      <c r="F1765" s="126"/>
      <c r="G1765" s="3">
        <v>0</v>
      </c>
      <c r="H1765" s="3">
        <v>0</v>
      </c>
      <c r="I1765" s="3">
        <v>0</v>
      </c>
      <c r="J1765" s="3">
        <v>0</v>
      </c>
      <c r="K1765" s="3">
        <f t="shared" si="65"/>
        <v>0</v>
      </c>
      <c r="L1765" s="3"/>
      <c r="M1765" s="3">
        <f t="shared" si="66"/>
        <v>0</v>
      </c>
      <c r="O1765" s="5"/>
      <c r="S1765" s="6"/>
    </row>
    <row r="1766" spans="1:22" customFormat="1" x14ac:dyDescent="0.45">
      <c r="A1766">
        <v>453007</v>
      </c>
      <c r="B1766" t="s">
        <v>19789</v>
      </c>
      <c r="C1766" t="s">
        <v>19790</v>
      </c>
      <c r="D1766">
        <v>0</v>
      </c>
      <c r="E1766" t="s">
        <v>16561</v>
      </c>
      <c r="F1766" s="126"/>
      <c r="G1766" s="7">
        <v>0</v>
      </c>
      <c r="H1766" s="7">
        <v>0</v>
      </c>
      <c r="I1766" s="7">
        <v>0</v>
      </c>
      <c r="J1766" s="7">
        <v>0</v>
      </c>
      <c r="K1766" s="3">
        <f t="shared" si="65"/>
        <v>0</v>
      </c>
      <c r="L1766" s="3"/>
      <c r="M1766" s="3">
        <f t="shared" si="66"/>
        <v>0</v>
      </c>
      <c r="O1766" s="5"/>
      <c r="S1766" s="6"/>
    </row>
    <row r="1767" spans="1:22" customFormat="1" x14ac:dyDescent="0.45">
      <c r="A1767">
        <v>453131</v>
      </c>
      <c r="B1767" t="s">
        <v>19791</v>
      </c>
      <c r="C1767" t="s">
        <v>19792</v>
      </c>
      <c r="D1767">
        <v>3</v>
      </c>
      <c r="F1767" s="126"/>
      <c r="G1767" s="7">
        <v>0</v>
      </c>
      <c r="H1767" s="7">
        <v>0</v>
      </c>
      <c r="I1767" s="7">
        <v>0</v>
      </c>
      <c r="J1767" s="7">
        <v>0</v>
      </c>
      <c r="K1767" s="3">
        <f t="shared" si="65"/>
        <v>0</v>
      </c>
      <c r="L1767" s="3"/>
      <c r="M1767" s="3">
        <f t="shared" si="66"/>
        <v>0</v>
      </c>
      <c r="O1767" s="5"/>
      <c r="S1767" s="6"/>
    </row>
    <row r="1768" spans="1:22" customFormat="1" x14ac:dyDescent="0.45">
      <c r="A1768">
        <v>453134</v>
      </c>
      <c r="B1768" t="s">
        <v>19793</v>
      </c>
      <c r="C1768" t="s">
        <v>19794</v>
      </c>
      <c r="D1768">
        <v>2</v>
      </c>
      <c r="F1768" s="126"/>
      <c r="G1768" s="7">
        <v>0</v>
      </c>
      <c r="H1768" s="7">
        <v>0</v>
      </c>
      <c r="I1768" s="7">
        <v>0</v>
      </c>
      <c r="J1768" s="7">
        <v>0</v>
      </c>
      <c r="K1768" s="3">
        <f t="shared" si="65"/>
        <v>0</v>
      </c>
      <c r="L1768" s="3"/>
      <c r="M1768" s="3">
        <f t="shared" si="66"/>
        <v>0</v>
      </c>
      <c r="O1768" s="5"/>
      <c r="S1768" s="6"/>
    </row>
    <row r="1769" spans="1:22" customFormat="1" x14ac:dyDescent="0.45">
      <c r="A1769">
        <v>453151</v>
      </c>
      <c r="B1769" t="s">
        <v>19795</v>
      </c>
      <c r="C1769" t="s">
        <v>19796</v>
      </c>
      <c r="D1769">
        <v>1</v>
      </c>
      <c r="F1769" s="126"/>
      <c r="G1769" s="7">
        <v>0</v>
      </c>
      <c r="H1769" s="7">
        <v>0</v>
      </c>
      <c r="I1769" s="7">
        <v>0</v>
      </c>
      <c r="J1769" s="7">
        <v>0</v>
      </c>
      <c r="K1769" s="3">
        <f t="shared" si="65"/>
        <v>0</v>
      </c>
      <c r="L1769" s="3"/>
      <c r="M1769" s="3">
        <f t="shared" si="66"/>
        <v>0</v>
      </c>
      <c r="N1769" s="7"/>
      <c r="O1769" s="5"/>
      <c r="S1769" s="6"/>
    </row>
    <row r="1770" spans="1:22" x14ac:dyDescent="0.45">
      <c r="A1770" s="124">
        <v>591218</v>
      </c>
      <c r="B1770" s="124" t="s">
        <v>19797</v>
      </c>
      <c r="C1770" s="125" t="s">
        <v>19798</v>
      </c>
      <c r="D1770" s="124">
        <v>15</v>
      </c>
      <c r="E1770" s="124" t="s">
        <v>16334</v>
      </c>
      <c r="F1770" s="126">
        <v>1.6999999999999999E-3</v>
      </c>
      <c r="G1770" s="135">
        <v>0.01</v>
      </c>
      <c r="H1770" s="126">
        <v>8.5000000000000006E-3</v>
      </c>
      <c r="I1770" s="127">
        <v>0</v>
      </c>
      <c r="J1770" s="127">
        <v>0</v>
      </c>
      <c r="K1770" s="126">
        <f t="shared" si="65"/>
        <v>1.8500000000000003E-2</v>
      </c>
      <c r="L1770" s="3"/>
      <c r="M1770" s="126">
        <f t="shared" si="66"/>
        <v>2.0200000000000003E-2</v>
      </c>
      <c r="N1770" s="124" t="s">
        <v>19799</v>
      </c>
      <c r="O1770" s="131" t="s">
        <v>19778</v>
      </c>
      <c r="P1770" s="128" t="s">
        <v>26918</v>
      </c>
      <c r="Q1770" s="130">
        <f>2485397+521479</f>
        <v>3006876</v>
      </c>
      <c r="R1770" s="124" t="s">
        <v>16348</v>
      </c>
      <c r="S1770" s="133">
        <v>2335397</v>
      </c>
      <c r="T1770" s="129">
        <f>S1770/Q1770</f>
        <v>0.77668550349266152</v>
      </c>
      <c r="V1770" s="125" t="s">
        <v>19800</v>
      </c>
    </row>
    <row r="1771" spans="1:22" customFormat="1" x14ac:dyDescent="0.45">
      <c r="A1771">
        <v>453676</v>
      </c>
      <c r="B1771" t="s">
        <v>19801</v>
      </c>
      <c r="C1771" t="s">
        <v>19802</v>
      </c>
      <c r="D1771">
        <v>0</v>
      </c>
      <c r="E1771" t="s">
        <v>16561</v>
      </c>
      <c r="F1771" s="126"/>
      <c r="G1771" s="7">
        <v>0</v>
      </c>
      <c r="H1771" s="3">
        <v>0</v>
      </c>
      <c r="I1771" s="3">
        <v>0</v>
      </c>
      <c r="J1771">
        <v>0</v>
      </c>
      <c r="K1771" s="3">
        <f t="shared" si="65"/>
        <v>0</v>
      </c>
      <c r="L1771" s="3"/>
      <c r="M1771" s="3">
        <f t="shared" si="66"/>
        <v>0</v>
      </c>
      <c r="O1771" s="5"/>
      <c r="S1771" s="6"/>
    </row>
    <row r="1772" spans="1:22" customFormat="1" x14ac:dyDescent="0.45">
      <c r="A1772">
        <v>453682</v>
      </c>
      <c r="B1772" t="s">
        <v>19803</v>
      </c>
      <c r="C1772" t="s">
        <v>19804</v>
      </c>
      <c r="D1772">
        <v>4</v>
      </c>
      <c r="F1772" s="126"/>
      <c r="G1772" s="7">
        <v>0</v>
      </c>
      <c r="H1772" s="7">
        <v>0</v>
      </c>
      <c r="I1772" s="7">
        <v>0</v>
      </c>
      <c r="J1772" s="7">
        <v>0</v>
      </c>
      <c r="K1772" s="3">
        <f t="shared" si="65"/>
        <v>0</v>
      </c>
      <c r="L1772" s="3"/>
      <c r="M1772" s="3">
        <f t="shared" si="66"/>
        <v>0</v>
      </c>
      <c r="N1772" s="7"/>
      <c r="O1772" s="5"/>
      <c r="S1772" s="6"/>
    </row>
    <row r="1773" spans="1:22" customFormat="1" x14ac:dyDescent="0.45">
      <c r="A1773">
        <v>453733</v>
      </c>
      <c r="B1773" t="s">
        <v>19805</v>
      </c>
      <c r="C1773" t="s">
        <v>16331</v>
      </c>
      <c r="D1773">
        <v>2</v>
      </c>
      <c r="E1773" t="s">
        <v>16331</v>
      </c>
      <c r="F1773" s="126"/>
      <c r="G1773" s="7">
        <v>0</v>
      </c>
      <c r="H1773" s="7">
        <v>0</v>
      </c>
      <c r="I1773" s="7">
        <v>0</v>
      </c>
      <c r="J1773" s="7">
        <v>0</v>
      </c>
      <c r="K1773" s="3">
        <f t="shared" si="65"/>
        <v>0</v>
      </c>
      <c r="L1773" s="3"/>
      <c r="M1773" s="3">
        <f t="shared" si="66"/>
        <v>0</v>
      </c>
      <c r="O1773" s="5"/>
      <c r="S1773" s="6"/>
    </row>
    <row r="1774" spans="1:22" customFormat="1" x14ac:dyDescent="0.45">
      <c r="A1774">
        <v>453773</v>
      </c>
      <c r="B1774" t="s">
        <v>19806</v>
      </c>
      <c r="C1774" t="s">
        <v>19807</v>
      </c>
      <c r="D1774">
        <v>4</v>
      </c>
      <c r="F1774" s="126"/>
      <c r="K1774" s="3">
        <f t="shared" si="65"/>
        <v>0</v>
      </c>
      <c r="L1774" s="3"/>
      <c r="M1774" s="3">
        <f t="shared" si="66"/>
        <v>0</v>
      </c>
      <c r="O1774" s="5"/>
      <c r="S1774" s="6"/>
    </row>
    <row r="1775" spans="1:22" customFormat="1" x14ac:dyDescent="0.45">
      <c r="A1775">
        <v>453778</v>
      </c>
      <c r="B1775" t="s">
        <v>19808</v>
      </c>
      <c r="C1775" t="s">
        <v>19809</v>
      </c>
      <c r="D1775">
        <v>6</v>
      </c>
      <c r="F1775" s="126"/>
      <c r="K1775" s="3">
        <f t="shared" si="65"/>
        <v>0</v>
      </c>
      <c r="L1775" s="3"/>
      <c r="M1775" s="3">
        <f t="shared" si="66"/>
        <v>0</v>
      </c>
      <c r="O1775" s="5"/>
      <c r="S1775" s="6"/>
    </row>
    <row r="1776" spans="1:22" customFormat="1" x14ac:dyDescent="0.45">
      <c r="A1776">
        <v>453813</v>
      </c>
      <c r="B1776" t="s">
        <v>19810</v>
      </c>
      <c r="C1776" t="s">
        <v>16331</v>
      </c>
      <c r="D1776">
        <v>3</v>
      </c>
      <c r="E1776" t="s">
        <v>16331</v>
      </c>
      <c r="F1776" s="126"/>
      <c r="G1776" s="7">
        <v>0</v>
      </c>
      <c r="H1776" s="7">
        <v>0</v>
      </c>
      <c r="I1776" s="7">
        <v>0</v>
      </c>
      <c r="J1776" s="7">
        <v>0</v>
      </c>
      <c r="K1776" s="3">
        <f t="shared" si="65"/>
        <v>0</v>
      </c>
      <c r="L1776" s="3"/>
      <c r="M1776" s="3">
        <f t="shared" si="66"/>
        <v>0</v>
      </c>
      <c r="O1776" s="5"/>
      <c r="S1776" s="6"/>
    </row>
    <row r="1777" spans="1:22" customFormat="1" x14ac:dyDescent="0.45">
      <c r="A1777">
        <v>453814</v>
      </c>
      <c r="B1777" t="s">
        <v>19811</v>
      </c>
      <c r="C1777" t="s">
        <v>19812</v>
      </c>
      <c r="D1777">
        <v>1</v>
      </c>
      <c r="F1777" s="126"/>
      <c r="K1777" s="3">
        <f t="shared" si="65"/>
        <v>0</v>
      </c>
      <c r="L1777" s="3"/>
      <c r="M1777" s="3">
        <f t="shared" si="66"/>
        <v>0</v>
      </c>
      <c r="O1777" s="5"/>
      <c r="S1777" s="6"/>
    </row>
    <row r="1778" spans="1:22" customFormat="1" x14ac:dyDescent="0.45">
      <c r="A1778">
        <v>453943</v>
      </c>
      <c r="B1778" t="s">
        <v>19813</v>
      </c>
      <c r="C1778" t="s">
        <v>19814</v>
      </c>
      <c r="D1778">
        <v>1</v>
      </c>
      <c r="F1778" s="126"/>
      <c r="G1778" s="3">
        <v>0</v>
      </c>
      <c r="H1778" s="3">
        <v>0</v>
      </c>
      <c r="I1778" s="3">
        <v>0</v>
      </c>
      <c r="J1778" s="3">
        <v>0</v>
      </c>
      <c r="K1778" s="3">
        <f t="shared" si="65"/>
        <v>0</v>
      </c>
      <c r="L1778" s="3"/>
      <c r="M1778" s="3">
        <f t="shared" si="66"/>
        <v>0</v>
      </c>
      <c r="O1778" s="5"/>
      <c r="S1778" s="6"/>
    </row>
    <row r="1779" spans="1:22" customFormat="1" x14ac:dyDescent="0.45">
      <c r="A1779">
        <v>453956</v>
      </c>
      <c r="B1779" t="s">
        <v>19815</v>
      </c>
      <c r="C1779" t="s">
        <v>16331</v>
      </c>
      <c r="D1779">
        <v>2</v>
      </c>
      <c r="E1779" t="s">
        <v>16331</v>
      </c>
      <c r="F1779" s="126"/>
      <c r="G1779" s="7">
        <v>0</v>
      </c>
      <c r="H1779" s="7">
        <v>0</v>
      </c>
      <c r="I1779" s="7">
        <v>0</v>
      </c>
      <c r="J1779" s="7">
        <v>0</v>
      </c>
      <c r="K1779" s="3">
        <f t="shared" si="65"/>
        <v>0</v>
      </c>
      <c r="L1779" s="3"/>
      <c r="M1779" s="3">
        <f t="shared" si="66"/>
        <v>0</v>
      </c>
      <c r="O1779" s="5"/>
      <c r="S1779" s="6"/>
    </row>
    <row r="1780" spans="1:22" customFormat="1" x14ac:dyDescent="0.45">
      <c r="A1780">
        <v>454044</v>
      </c>
      <c r="B1780" t="s">
        <v>19816</v>
      </c>
      <c r="C1780" t="s">
        <v>16331</v>
      </c>
      <c r="D1780">
        <v>2</v>
      </c>
      <c r="E1780" t="s">
        <v>16331</v>
      </c>
      <c r="F1780" s="126"/>
      <c r="G1780" s="7">
        <v>0</v>
      </c>
      <c r="H1780" s="7">
        <v>0</v>
      </c>
      <c r="I1780" s="7">
        <v>0</v>
      </c>
      <c r="J1780" s="7">
        <v>0</v>
      </c>
      <c r="K1780" s="3">
        <f t="shared" si="65"/>
        <v>0</v>
      </c>
      <c r="L1780" s="3"/>
      <c r="M1780" s="3">
        <f t="shared" si="66"/>
        <v>0</v>
      </c>
      <c r="O1780" s="5"/>
      <c r="S1780" s="6"/>
    </row>
    <row r="1781" spans="1:22" customFormat="1" x14ac:dyDescent="0.45">
      <c r="A1781">
        <v>454052</v>
      </c>
      <c r="B1781" t="s">
        <v>19817</v>
      </c>
      <c r="C1781" t="s">
        <v>19818</v>
      </c>
      <c r="D1781">
        <v>1</v>
      </c>
      <c r="F1781" s="126"/>
      <c r="G1781" s="7">
        <v>0</v>
      </c>
      <c r="H1781" s="7">
        <v>0</v>
      </c>
      <c r="I1781" s="7">
        <v>0</v>
      </c>
      <c r="J1781" s="7">
        <v>0</v>
      </c>
      <c r="K1781" s="3">
        <f t="shared" si="65"/>
        <v>0</v>
      </c>
      <c r="L1781" s="3"/>
      <c r="M1781" s="3">
        <f t="shared" si="66"/>
        <v>0</v>
      </c>
      <c r="O1781" s="5"/>
      <c r="S1781" s="6"/>
    </row>
    <row r="1782" spans="1:22" customFormat="1" x14ac:dyDescent="0.45">
      <c r="A1782">
        <v>454273</v>
      </c>
      <c r="B1782" t="s">
        <v>19819</v>
      </c>
      <c r="C1782" t="s">
        <v>19820</v>
      </c>
      <c r="D1782">
        <v>2</v>
      </c>
      <c r="F1782" s="126"/>
      <c r="G1782" s="7">
        <v>0</v>
      </c>
      <c r="H1782" s="7">
        <v>0</v>
      </c>
      <c r="I1782" s="7">
        <v>0</v>
      </c>
      <c r="J1782" s="7">
        <v>0</v>
      </c>
      <c r="K1782" s="3">
        <f t="shared" si="65"/>
        <v>0</v>
      </c>
      <c r="L1782" s="3"/>
      <c r="M1782" s="3">
        <f t="shared" si="66"/>
        <v>0</v>
      </c>
      <c r="O1782" s="5"/>
      <c r="S1782" s="6"/>
    </row>
    <row r="1783" spans="1:22" customFormat="1" x14ac:dyDescent="0.45">
      <c r="A1783">
        <v>454297</v>
      </c>
      <c r="B1783" t="s">
        <v>19821</v>
      </c>
      <c r="C1783" t="s">
        <v>16331</v>
      </c>
      <c r="D1783">
        <v>1</v>
      </c>
      <c r="E1783" t="s">
        <v>16331</v>
      </c>
      <c r="F1783" s="126"/>
      <c r="G1783" s="7">
        <v>0</v>
      </c>
      <c r="H1783" s="7">
        <v>0</v>
      </c>
      <c r="I1783" s="7">
        <v>0</v>
      </c>
      <c r="J1783" s="7">
        <v>0</v>
      </c>
      <c r="K1783" s="3">
        <f t="shared" si="65"/>
        <v>0</v>
      </c>
      <c r="L1783" s="3"/>
      <c r="M1783" s="3">
        <f t="shared" si="66"/>
        <v>0</v>
      </c>
      <c r="O1783" s="5"/>
      <c r="S1783" s="6"/>
    </row>
    <row r="1784" spans="1:22" customFormat="1" x14ac:dyDescent="0.45">
      <c r="A1784">
        <v>454361</v>
      </c>
      <c r="B1784" t="s">
        <v>19822</v>
      </c>
      <c r="C1784" t="s">
        <v>19823</v>
      </c>
      <c r="D1784">
        <v>2</v>
      </c>
      <c r="F1784" s="126"/>
      <c r="G1784" s="7">
        <v>0</v>
      </c>
      <c r="H1784" s="7">
        <v>0</v>
      </c>
      <c r="I1784" s="7">
        <v>0</v>
      </c>
      <c r="J1784" s="7">
        <v>0</v>
      </c>
      <c r="K1784" s="3">
        <f t="shared" si="65"/>
        <v>0</v>
      </c>
      <c r="L1784" s="3"/>
      <c r="M1784" s="3">
        <f t="shared" si="66"/>
        <v>0</v>
      </c>
      <c r="O1784" s="5"/>
      <c r="S1784" s="6"/>
    </row>
    <row r="1785" spans="1:22" customFormat="1" x14ac:dyDescent="0.45">
      <c r="A1785">
        <v>454386</v>
      </c>
      <c r="B1785" t="s">
        <v>19824</v>
      </c>
      <c r="C1785" t="s">
        <v>19825</v>
      </c>
      <c r="D1785">
        <v>3</v>
      </c>
      <c r="F1785" s="126"/>
      <c r="G1785" s="3">
        <v>0</v>
      </c>
      <c r="H1785" s="3">
        <v>0</v>
      </c>
      <c r="I1785" s="3">
        <v>0</v>
      </c>
      <c r="J1785" s="3">
        <v>0</v>
      </c>
      <c r="K1785" s="3">
        <f t="shared" si="65"/>
        <v>0</v>
      </c>
      <c r="L1785" s="3"/>
      <c r="M1785" s="3">
        <f t="shared" si="66"/>
        <v>0</v>
      </c>
      <c r="O1785" s="5"/>
      <c r="S1785" s="6"/>
    </row>
    <row r="1786" spans="1:22" customFormat="1" x14ac:dyDescent="0.45">
      <c r="A1786">
        <v>454529</v>
      </c>
      <c r="B1786" t="s">
        <v>19826</v>
      </c>
      <c r="C1786" t="s">
        <v>19827</v>
      </c>
      <c r="D1786">
        <v>3</v>
      </c>
      <c r="E1786" t="s">
        <v>16334</v>
      </c>
      <c r="F1786" s="126">
        <v>0</v>
      </c>
      <c r="G1786" s="3">
        <v>0</v>
      </c>
      <c r="H1786" s="3">
        <v>0</v>
      </c>
      <c r="I1786" s="4">
        <v>0</v>
      </c>
      <c r="J1786" s="4">
        <v>0</v>
      </c>
      <c r="K1786" s="3">
        <v>0</v>
      </c>
      <c r="L1786" s="3"/>
      <c r="M1786" s="3">
        <v>0</v>
      </c>
      <c r="O1786" s="5"/>
      <c r="S1786" s="6"/>
    </row>
    <row r="1787" spans="1:22" customFormat="1" x14ac:dyDescent="0.45">
      <c r="A1787">
        <v>454676</v>
      </c>
      <c r="B1787" t="s">
        <v>19828</v>
      </c>
      <c r="C1787" t="s">
        <v>19829</v>
      </c>
      <c r="D1787">
        <v>3</v>
      </c>
      <c r="F1787" s="126"/>
      <c r="G1787" s="3">
        <v>0</v>
      </c>
      <c r="H1787" s="3">
        <v>0</v>
      </c>
      <c r="I1787" s="3">
        <v>0</v>
      </c>
      <c r="J1787" s="3">
        <v>0</v>
      </c>
      <c r="K1787" s="3">
        <f t="shared" ref="K1787:K1839" si="67">SUM(G1787:J1787)</f>
        <v>0</v>
      </c>
      <c r="L1787" s="3"/>
      <c r="M1787" s="3">
        <f t="shared" ref="M1787:M1839" si="68">K1787+F1787</f>
        <v>0</v>
      </c>
      <c r="O1787" s="5"/>
      <c r="S1787" s="6"/>
    </row>
    <row r="1788" spans="1:22" customFormat="1" x14ac:dyDescent="0.45">
      <c r="A1788">
        <v>454705</v>
      </c>
      <c r="B1788" t="s">
        <v>19830</v>
      </c>
      <c r="C1788" t="s">
        <v>19831</v>
      </c>
      <c r="D1788">
        <v>14</v>
      </c>
      <c r="E1788" t="s">
        <v>17621</v>
      </c>
      <c r="F1788" s="126"/>
      <c r="K1788" s="3">
        <f t="shared" si="67"/>
        <v>0</v>
      </c>
      <c r="L1788" s="3"/>
      <c r="M1788" s="3">
        <f t="shared" si="68"/>
        <v>0</v>
      </c>
      <c r="O1788" s="5"/>
      <c r="S1788" s="6"/>
    </row>
    <row r="1789" spans="1:22" customFormat="1" x14ac:dyDescent="0.45">
      <c r="A1789">
        <v>454719</v>
      </c>
      <c r="B1789" t="s">
        <v>19832</v>
      </c>
      <c r="C1789" t="s">
        <v>19833</v>
      </c>
      <c r="D1789">
        <v>2</v>
      </c>
      <c r="F1789" s="126"/>
      <c r="K1789" s="3">
        <f t="shared" si="67"/>
        <v>0</v>
      </c>
      <c r="L1789" s="3"/>
      <c r="M1789" s="3">
        <f t="shared" si="68"/>
        <v>0</v>
      </c>
      <c r="O1789" s="5"/>
      <c r="S1789" s="6"/>
    </row>
    <row r="1790" spans="1:22" customFormat="1" x14ac:dyDescent="0.45">
      <c r="A1790">
        <v>454764</v>
      </c>
      <c r="B1790" t="s">
        <v>19834</v>
      </c>
      <c r="C1790" t="s">
        <v>19835</v>
      </c>
      <c r="D1790">
        <v>1</v>
      </c>
      <c r="F1790" s="126"/>
      <c r="G1790" s="7">
        <v>0</v>
      </c>
      <c r="H1790" s="7">
        <v>0</v>
      </c>
      <c r="I1790" s="7">
        <v>0</v>
      </c>
      <c r="J1790" s="7">
        <v>0</v>
      </c>
      <c r="K1790" s="3">
        <f t="shared" si="67"/>
        <v>0</v>
      </c>
      <c r="L1790" s="3"/>
      <c r="M1790" s="3">
        <f t="shared" si="68"/>
        <v>0</v>
      </c>
      <c r="O1790" s="5"/>
      <c r="S1790" s="6"/>
    </row>
    <row r="1791" spans="1:22" x14ac:dyDescent="0.45">
      <c r="A1791" s="124">
        <v>561959</v>
      </c>
      <c r="B1791" s="124" t="s">
        <v>19836</v>
      </c>
      <c r="C1791" s="125" t="s">
        <v>19837</v>
      </c>
      <c r="D1791" s="124">
        <v>3</v>
      </c>
      <c r="E1791" s="124" t="s">
        <v>16334</v>
      </c>
      <c r="F1791" s="126">
        <v>1.6999999999999999E-3</v>
      </c>
      <c r="G1791" s="126"/>
      <c r="H1791" s="126"/>
      <c r="I1791" s="127">
        <v>1.4999999999999999E-2</v>
      </c>
      <c r="J1791" s="127">
        <v>5.0000000000000001E-3</v>
      </c>
      <c r="K1791" s="126">
        <f t="shared" si="67"/>
        <v>0.02</v>
      </c>
      <c r="L1791" s="3"/>
      <c r="M1791" s="126">
        <f t="shared" si="68"/>
        <v>2.1700000000000001E-2</v>
      </c>
      <c r="N1791" s="124" t="str">
        <f>O1791</f>
        <v>https://www.blgwealth.com/wp-content/uploads/2023/07/Glossary-of-Terms-for-Consumers-2.pdf</v>
      </c>
      <c r="O1791" s="131" t="s">
        <v>19838</v>
      </c>
      <c r="P1791" s="128" t="s">
        <v>26918</v>
      </c>
      <c r="Q1791" s="130">
        <v>545446</v>
      </c>
      <c r="R1791" s="124" t="s">
        <v>16348</v>
      </c>
      <c r="S1791" s="132">
        <v>501879</v>
      </c>
      <c r="T1791" s="129">
        <f>S1791/Q1791</f>
        <v>0.92012591530600651</v>
      </c>
      <c r="V1791" s="125" t="s">
        <v>19839</v>
      </c>
    </row>
    <row r="1792" spans="1:22" customFormat="1" x14ac:dyDescent="0.45">
      <c r="A1792">
        <v>454859</v>
      </c>
      <c r="B1792" t="s">
        <v>19840</v>
      </c>
      <c r="C1792" t="s">
        <v>16331</v>
      </c>
      <c r="D1792">
        <v>2</v>
      </c>
      <c r="E1792" t="s">
        <v>16331</v>
      </c>
      <c r="F1792" s="126"/>
      <c r="G1792" s="7">
        <v>0</v>
      </c>
      <c r="H1792" s="7">
        <v>0</v>
      </c>
      <c r="I1792" s="7">
        <v>0</v>
      </c>
      <c r="J1792" s="7">
        <v>0</v>
      </c>
      <c r="K1792" s="3">
        <f t="shared" si="67"/>
        <v>0</v>
      </c>
      <c r="L1792" s="3"/>
      <c r="M1792" s="3">
        <f t="shared" si="68"/>
        <v>0</v>
      </c>
      <c r="O1792" s="5"/>
      <c r="S1792" s="6"/>
    </row>
    <row r="1793" spans="1:22" customFormat="1" x14ac:dyDescent="0.45">
      <c r="A1793">
        <v>454893</v>
      </c>
      <c r="B1793" t="s">
        <v>19841</v>
      </c>
      <c r="C1793" t="s">
        <v>18196</v>
      </c>
      <c r="D1793">
        <v>0</v>
      </c>
      <c r="E1793" t="s">
        <v>16334</v>
      </c>
      <c r="F1793" s="126"/>
      <c r="K1793" s="3">
        <f t="shared" si="67"/>
        <v>0</v>
      </c>
      <c r="L1793" s="3"/>
      <c r="M1793" s="3">
        <f t="shared" si="68"/>
        <v>0</v>
      </c>
      <c r="O1793" s="5"/>
      <c r="S1793" s="6"/>
    </row>
    <row r="1794" spans="1:22" customFormat="1" x14ac:dyDescent="0.45">
      <c r="A1794">
        <v>455048</v>
      </c>
      <c r="B1794" t="s">
        <v>19842</v>
      </c>
      <c r="C1794" t="s">
        <v>19843</v>
      </c>
      <c r="D1794">
        <v>2</v>
      </c>
      <c r="F1794" s="126"/>
      <c r="G1794" s="7">
        <v>0</v>
      </c>
      <c r="H1794" s="7">
        <v>0</v>
      </c>
      <c r="I1794" s="7">
        <v>0</v>
      </c>
      <c r="J1794" s="7">
        <v>0</v>
      </c>
      <c r="K1794" s="3">
        <f t="shared" si="67"/>
        <v>0</v>
      </c>
      <c r="L1794" s="3"/>
      <c r="M1794" s="3">
        <f t="shared" si="68"/>
        <v>0</v>
      </c>
      <c r="N1794" s="7"/>
      <c r="O1794" s="5"/>
      <c r="S1794" s="6"/>
    </row>
    <row r="1795" spans="1:22" customFormat="1" x14ac:dyDescent="0.45">
      <c r="A1795">
        <v>455083</v>
      </c>
      <c r="B1795" t="s">
        <v>19844</v>
      </c>
      <c r="C1795" t="s">
        <v>19845</v>
      </c>
      <c r="D1795">
        <v>23</v>
      </c>
      <c r="E1795" t="s">
        <v>16334</v>
      </c>
      <c r="F1795" s="126"/>
      <c r="G1795" s="3">
        <v>0</v>
      </c>
      <c r="H1795" s="3">
        <v>0</v>
      </c>
      <c r="I1795" s="3">
        <v>0</v>
      </c>
      <c r="J1795" s="3">
        <v>0</v>
      </c>
      <c r="K1795" s="3">
        <f t="shared" si="67"/>
        <v>0</v>
      </c>
      <c r="L1795" s="3"/>
      <c r="M1795" s="3">
        <f t="shared" si="68"/>
        <v>0</v>
      </c>
      <c r="O1795" s="5"/>
      <c r="S1795" s="6"/>
    </row>
    <row r="1796" spans="1:22" customFormat="1" x14ac:dyDescent="0.45">
      <c r="A1796">
        <v>455100</v>
      </c>
      <c r="B1796" t="s">
        <v>19846</v>
      </c>
      <c r="C1796" t="s">
        <v>16331</v>
      </c>
      <c r="D1796">
        <v>1</v>
      </c>
      <c r="E1796" t="s">
        <v>16331</v>
      </c>
      <c r="F1796" s="126"/>
      <c r="G1796" s="7">
        <v>0</v>
      </c>
      <c r="H1796" s="7">
        <v>0</v>
      </c>
      <c r="I1796" s="7">
        <v>0</v>
      </c>
      <c r="J1796" s="7">
        <v>0</v>
      </c>
      <c r="K1796" s="3">
        <f t="shared" si="67"/>
        <v>0</v>
      </c>
      <c r="L1796" s="3"/>
      <c r="M1796" s="3">
        <f t="shared" si="68"/>
        <v>0</v>
      </c>
      <c r="O1796" s="5"/>
      <c r="S1796" s="6"/>
    </row>
    <row r="1797" spans="1:22" customFormat="1" x14ac:dyDescent="0.45">
      <c r="A1797">
        <v>455108</v>
      </c>
      <c r="B1797" t="s">
        <v>19847</v>
      </c>
      <c r="C1797" s="2" t="s">
        <v>19848</v>
      </c>
      <c r="D1797">
        <v>1</v>
      </c>
      <c r="F1797" s="126"/>
      <c r="G1797" s="3">
        <v>0</v>
      </c>
      <c r="H1797" s="3">
        <v>0</v>
      </c>
      <c r="I1797" s="3">
        <v>0</v>
      </c>
      <c r="J1797" s="3">
        <v>0</v>
      </c>
      <c r="K1797" s="3">
        <f t="shared" si="67"/>
        <v>0</v>
      </c>
      <c r="L1797" s="3"/>
      <c r="M1797" s="3">
        <f t="shared" si="68"/>
        <v>0</v>
      </c>
      <c r="O1797" s="5"/>
      <c r="S1797" s="6"/>
    </row>
    <row r="1798" spans="1:22" customFormat="1" x14ac:dyDescent="0.45">
      <c r="A1798">
        <v>455121</v>
      </c>
      <c r="B1798" t="s">
        <v>19849</v>
      </c>
      <c r="C1798" t="s">
        <v>16331</v>
      </c>
      <c r="D1798">
        <v>1</v>
      </c>
      <c r="E1798" t="s">
        <v>16331</v>
      </c>
      <c r="F1798" s="126"/>
      <c r="G1798" s="7">
        <v>0</v>
      </c>
      <c r="H1798" s="7">
        <v>0</v>
      </c>
      <c r="I1798" s="7">
        <v>0</v>
      </c>
      <c r="J1798" s="7">
        <v>0</v>
      </c>
      <c r="K1798" s="3">
        <f t="shared" si="67"/>
        <v>0</v>
      </c>
      <c r="L1798" s="3"/>
      <c r="M1798" s="3">
        <f t="shared" si="68"/>
        <v>0</v>
      </c>
      <c r="O1798" s="5"/>
      <c r="S1798" s="6"/>
    </row>
    <row r="1799" spans="1:22" customFormat="1" x14ac:dyDescent="0.45">
      <c r="A1799">
        <v>455338</v>
      </c>
      <c r="B1799" t="s">
        <v>19850</v>
      </c>
      <c r="C1799" t="s">
        <v>16331</v>
      </c>
      <c r="D1799">
        <v>1</v>
      </c>
      <c r="E1799" t="s">
        <v>16331</v>
      </c>
      <c r="F1799" s="126"/>
      <c r="G1799" s="7">
        <v>0</v>
      </c>
      <c r="H1799" s="7">
        <v>0</v>
      </c>
      <c r="I1799" s="7">
        <v>0</v>
      </c>
      <c r="J1799" s="7">
        <v>0</v>
      </c>
      <c r="K1799" s="3">
        <f t="shared" si="67"/>
        <v>0</v>
      </c>
      <c r="L1799" s="3"/>
      <c r="M1799" s="3">
        <f t="shared" si="68"/>
        <v>0</v>
      </c>
      <c r="O1799" s="5"/>
      <c r="S1799" s="6"/>
    </row>
    <row r="1800" spans="1:22" customFormat="1" x14ac:dyDescent="0.45">
      <c r="A1800">
        <v>455415</v>
      </c>
      <c r="B1800" t="s">
        <v>19851</v>
      </c>
      <c r="C1800" t="s">
        <v>19852</v>
      </c>
      <c r="D1800">
        <v>3</v>
      </c>
      <c r="F1800" s="126"/>
      <c r="G1800" s="7">
        <v>0</v>
      </c>
      <c r="H1800" s="7">
        <v>0</v>
      </c>
      <c r="I1800" s="7">
        <v>0</v>
      </c>
      <c r="J1800" s="7">
        <v>0</v>
      </c>
      <c r="K1800" s="3">
        <f t="shared" si="67"/>
        <v>0</v>
      </c>
      <c r="L1800" s="3"/>
      <c r="M1800" s="3">
        <f t="shared" si="68"/>
        <v>0</v>
      </c>
      <c r="O1800" s="5"/>
      <c r="S1800" s="6"/>
    </row>
    <row r="1801" spans="1:22" customFormat="1" x14ac:dyDescent="0.45">
      <c r="A1801">
        <v>455443</v>
      </c>
      <c r="B1801" t="s">
        <v>19853</v>
      </c>
      <c r="C1801" t="s">
        <v>16331</v>
      </c>
      <c r="D1801">
        <v>1</v>
      </c>
      <c r="E1801" t="s">
        <v>16331</v>
      </c>
      <c r="F1801" s="126"/>
      <c r="K1801" s="3">
        <f t="shared" si="67"/>
        <v>0</v>
      </c>
      <c r="L1801" s="3"/>
      <c r="M1801" s="3">
        <f t="shared" si="68"/>
        <v>0</v>
      </c>
      <c r="O1801" s="5"/>
      <c r="S1801" s="6"/>
    </row>
    <row r="1802" spans="1:22" customFormat="1" x14ac:dyDescent="0.45">
      <c r="A1802">
        <v>455444</v>
      </c>
      <c r="B1802" t="s">
        <v>19854</v>
      </c>
      <c r="C1802" t="s">
        <v>19855</v>
      </c>
      <c r="D1802">
        <v>2</v>
      </c>
      <c r="F1802" s="126"/>
      <c r="G1802" s="3">
        <v>0</v>
      </c>
      <c r="H1802" s="3">
        <v>0</v>
      </c>
      <c r="I1802" s="3">
        <v>0</v>
      </c>
      <c r="J1802" s="3">
        <v>0</v>
      </c>
      <c r="K1802" s="3">
        <f t="shared" si="67"/>
        <v>0</v>
      </c>
      <c r="L1802" s="3"/>
      <c r="M1802" s="3">
        <f t="shared" si="68"/>
        <v>0</v>
      </c>
      <c r="O1802" s="5"/>
      <c r="S1802" s="6"/>
    </row>
    <row r="1803" spans="1:22" customFormat="1" x14ac:dyDescent="0.45">
      <c r="A1803">
        <v>455480</v>
      </c>
      <c r="B1803" t="s">
        <v>19856</v>
      </c>
      <c r="C1803" t="s">
        <v>19857</v>
      </c>
      <c r="D1803">
        <v>12</v>
      </c>
      <c r="E1803" t="s">
        <v>16334</v>
      </c>
      <c r="F1803" s="126"/>
      <c r="G1803" s="7">
        <v>0</v>
      </c>
      <c r="H1803" s="7">
        <v>0</v>
      </c>
      <c r="I1803" s="7">
        <v>0</v>
      </c>
      <c r="J1803" s="7">
        <v>0</v>
      </c>
      <c r="K1803" s="3">
        <f t="shared" si="67"/>
        <v>0</v>
      </c>
      <c r="L1803" s="3"/>
      <c r="M1803" s="3">
        <f t="shared" si="68"/>
        <v>0</v>
      </c>
      <c r="O1803" s="5"/>
      <c r="S1803" s="6"/>
    </row>
    <row r="1804" spans="1:22" x14ac:dyDescent="0.45">
      <c r="A1804" s="124">
        <v>120822</v>
      </c>
      <c r="B1804" s="124" t="s">
        <v>19858</v>
      </c>
      <c r="C1804" s="125" t="s">
        <v>19859</v>
      </c>
      <c r="D1804" s="124">
        <v>1</v>
      </c>
      <c r="E1804" s="124" t="s">
        <v>16334</v>
      </c>
      <c r="F1804" s="126">
        <v>1.6999999999999999E-3</v>
      </c>
      <c r="G1804" s="126">
        <v>0.03</v>
      </c>
      <c r="H1804" s="126">
        <v>0.01</v>
      </c>
      <c r="I1804" s="127">
        <v>0</v>
      </c>
      <c r="J1804" s="127">
        <v>0</v>
      </c>
      <c r="K1804" s="126">
        <f t="shared" si="67"/>
        <v>0.04</v>
      </c>
      <c r="L1804" s="3"/>
      <c r="M1804" s="126">
        <f t="shared" si="68"/>
        <v>4.1700000000000001E-2</v>
      </c>
      <c r="O1804" s="125" t="s">
        <v>19860</v>
      </c>
      <c r="P1804" s="128" t="s">
        <v>26918</v>
      </c>
      <c r="Q1804" s="124">
        <v>22148</v>
      </c>
      <c r="R1804" s="124" t="s">
        <v>16348</v>
      </c>
      <c r="S1804" s="130">
        <v>24805</v>
      </c>
      <c r="T1804" s="129">
        <f>S1804/Q1804</f>
        <v>1.1199656853891999</v>
      </c>
      <c r="V1804" s="125" t="s">
        <v>19861</v>
      </c>
    </row>
    <row r="1805" spans="1:22" customFormat="1" x14ac:dyDescent="0.45">
      <c r="A1805">
        <v>455713</v>
      </c>
      <c r="B1805" t="s">
        <v>19862</v>
      </c>
      <c r="C1805" t="s">
        <v>19863</v>
      </c>
      <c r="D1805">
        <v>7</v>
      </c>
      <c r="F1805" s="126"/>
      <c r="K1805" s="3">
        <f t="shared" si="67"/>
        <v>0</v>
      </c>
      <c r="L1805" s="3"/>
      <c r="M1805" s="3">
        <f t="shared" si="68"/>
        <v>0</v>
      </c>
      <c r="O1805" s="5"/>
      <c r="S1805" s="6"/>
    </row>
    <row r="1806" spans="1:22" customFormat="1" x14ac:dyDescent="0.45">
      <c r="A1806">
        <v>455848</v>
      </c>
      <c r="B1806" t="s">
        <v>19864</v>
      </c>
      <c r="C1806" t="s">
        <v>19865</v>
      </c>
      <c r="D1806">
        <v>7</v>
      </c>
      <c r="F1806" s="126"/>
      <c r="G1806" s="7">
        <v>0</v>
      </c>
      <c r="H1806" s="7">
        <v>0</v>
      </c>
      <c r="I1806" s="7">
        <v>0</v>
      </c>
      <c r="J1806" s="7">
        <v>0</v>
      </c>
      <c r="K1806" s="3">
        <f t="shared" si="67"/>
        <v>0</v>
      </c>
      <c r="L1806" s="3"/>
      <c r="M1806" s="3">
        <f t="shared" si="68"/>
        <v>0</v>
      </c>
      <c r="O1806" s="5"/>
      <c r="S1806" s="6"/>
    </row>
    <row r="1807" spans="1:22" customFormat="1" x14ac:dyDescent="0.45">
      <c r="A1807">
        <v>455859</v>
      </c>
      <c r="B1807" t="s">
        <v>19866</v>
      </c>
      <c r="C1807" t="s">
        <v>16331</v>
      </c>
      <c r="D1807">
        <v>1</v>
      </c>
      <c r="E1807" t="s">
        <v>16331</v>
      </c>
      <c r="F1807" s="126"/>
      <c r="G1807" s="7">
        <v>0</v>
      </c>
      <c r="H1807" s="7">
        <v>0</v>
      </c>
      <c r="I1807" s="7">
        <v>0</v>
      </c>
      <c r="J1807" s="7">
        <v>0</v>
      </c>
      <c r="K1807" s="3">
        <f t="shared" si="67"/>
        <v>0</v>
      </c>
      <c r="L1807" s="3"/>
      <c r="M1807" s="3">
        <f t="shared" si="68"/>
        <v>0</v>
      </c>
      <c r="O1807" s="5"/>
      <c r="S1807" s="6"/>
    </row>
    <row r="1808" spans="1:22" customFormat="1" x14ac:dyDescent="0.45">
      <c r="A1808">
        <v>455883</v>
      </c>
      <c r="B1808" t="s">
        <v>19867</v>
      </c>
      <c r="C1808" t="s">
        <v>16331</v>
      </c>
      <c r="D1808">
        <v>2</v>
      </c>
      <c r="E1808" t="s">
        <v>16331</v>
      </c>
      <c r="F1808" s="126"/>
      <c r="G1808" s="7">
        <v>0</v>
      </c>
      <c r="H1808" s="7">
        <v>0</v>
      </c>
      <c r="I1808" s="7">
        <v>0</v>
      </c>
      <c r="J1808" s="7">
        <v>0</v>
      </c>
      <c r="K1808" s="3">
        <f t="shared" si="67"/>
        <v>0</v>
      </c>
      <c r="L1808" s="3"/>
      <c r="M1808" s="3">
        <f t="shared" si="68"/>
        <v>0</v>
      </c>
      <c r="O1808" s="5"/>
      <c r="S1808" s="6"/>
    </row>
    <row r="1809" spans="1:22" customFormat="1" x14ac:dyDescent="0.45">
      <c r="A1809">
        <v>455895</v>
      </c>
      <c r="B1809" t="s">
        <v>19868</v>
      </c>
      <c r="C1809" t="s">
        <v>19869</v>
      </c>
      <c r="D1809">
        <v>0</v>
      </c>
      <c r="E1809" t="s">
        <v>16561</v>
      </c>
      <c r="F1809" s="126"/>
      <c r="G1809" s="7">
        <v>0</v>
      </c>
      <c r="H1809" s="7">
        <v>0</v>
      </c>
      <c r="I1809" s="7">
        <v>0</v>
      </c>
      <c r="J1809" s="7">
        <v>0</v>
      </c>
      <c r="K1809" s="3">
        <f t="shared" si="67"/>
        <v>0</v>
      </c>
      <c r="L1809" s="3"/>
      <c r="M1809" s="3">
        <f t="shared" si="68"/>
        <v>0</v>
      </c>
      <c r="O1809" s="5"/>
      <c r="S1809" s="6"/>
    </row>
    <row r="1810" spans="1:22" customFormat="1" x14ac:dyDescent="0.45">
      <c r="A1810">
        <v>455935</v>
      </c>
      <c r="B1810" t="s">
        <v>19870</v>
      </c>
      <c r="C1810" t="s">
        <v>19871</v>
      </c>
      <c r="D1810">
        <v>4</v>
      </c>
      <c r="F1810" s="126"/>
      <c r="K1810" s="3">
        <f t="shared" si="67"/>
        <v>0</v>
      </c>
      <c r="L1810" s="3"/>
      <c r="M1810" s="3">
        <f t="shared" si="68"/>
        <v>0</v>
      </c>
      <c r="O1810" s="5"/>
      <c r="S1810" s="6"/>
    </row>
    <row r="1811" spans="1:22" customFormat="1" x14ac:dyDescent="0.45">
      <c r="A1811">
        <v>456034</v>
      </c>
      <c r="B1811" t="s">
        <v>19872</v>
      </c>
      <c r="C1811" t="s">
        <v>19873</v>
      </c>
      <c r="D1811">
        <v>1</v>
      </c>
      <c r="F1811" s="126"/>
      <c r="G1811" s="7">
        <v>0</v>
      </c>
      <c r="H1811" s="7">
        <v>0</v>
      </c>
      <c r="I1811" s="7">
        <v>0</v>
      </c>
      <c r="J1811" s="7">
        <v>0</v>
      </c>
      <c r="K1811" s="3">
        <f t="shared" si="67"/>
        <v>0</v>
      </c>
      <c r="L1811" s="3"/>
      <c r="M1811" s="3">
        <f t="shared" si="68"/>
        <v>0</v>
      </c>
      <c r="O1811" s="5"/>
      <c r="S1811" s="6"/>
    </row>
    <row r="1812" spans="1:22" customFormat="1" x14ac:dyDescent="0.45">
      <c r="A1812">
        <v>456138</v>
      </c>
      <c r="B1812" t="s">
        <v>19874</v>
      </c>
      <c r="C1812" t="s">
        <v>19875</v>
      </c>
      <c r="D1812">
        <v>4</v>
      </c>
      <c r="F1812" s="126"/>
      <c r="G1812" s="3">
        <v>0</v>
      </c>
      <c r="H1812" s="3">
        <v>0</v>
      </c>
      <c r="I1812" s="3">
        <v>0</v>
      </c>
      <c r="J1812" s="3">
        <v>0</v>
      </c>
      <c r="K1812" s="3">
        <f t="shared" si="67"/>
        <v>0</v>
      </c>
      <c r="L1812" s="3"/>
      <c r="M1812" s="3">
        <f t="shared" si="68"/>
        <v>0</v>
      </c>
      <c r="O1812" s="5"/>
      <c r="S1812" s="6"/>
    </row>
    <row r="1813" spans="1:22" customFormat="1" x14ac:dyDescent="0.45">
      <c r="A1813">
        <v>456198</v>
      </c>
      <c r="B1813" t="s">
        <v>19876</v>
      </c>
      <c r="C1813" t="s">
        <v>19877</v>
      </c>
      <c r="D1813">
        <v>8</v>
      </c>
      <c r="F1813" s="126"/>
      <c r="G1813" s="7">
        <v>0</v>
      </c>
      <c r="H1813" s="7">
        <v>0</v>
      </c>
      <c r="I1813" s="7">
        <v>0</v>
      </c>
      <c r="J1813" s="7">
        <v>0</v>
      </c>
      <c r="K1813" s="3">
        <f t="shared" si="67"/>
        <v>0</v>
      </c>
      <c r="L1813" s="3"/>
      <c r="M1813" s="3">
        <f t="shared" si="68"/>
        <v>0</v>
      </c>
      <c r="N1813" s="7"/>
      <c r="O1813" s="5"/>
      <c r="S1813" s="6"/>
    </row>
    <row r="1814" spans="1:22" customFormat="1" x14ac:dyDescent="0.45">
      <c r="A1814">
        <v>456262</v>
      </c>
      <c r="B1814" t="s">
        <v>19878</v>
      </c>
      <c r="C1814" t="s">
        <v>19879</v>
      </c>
      <c r="D1814">
        <v>1</v>
      </c>
      <c r="F1814" s="126"/>
      <c r="G1814" s="7">
        <v>0</v>
      </c>
      <c r="H1814" s="7">
        <v>0</v>
      </c>
      <c r="I1814" s="7">
        <v>0</v>
      </c>
      <c r="J1814" s="7">
        <v>0</v>
      </c>
      <c r="K1814" s="3">
        <f t="shared" si="67"/>
        <v>0</v>
      </c>
      <c r="L1814" s="3"/>
      <c r="M1814" s="3">
        <f t="shared" si="68"/>
        <v>0</v>
      </c>
      <c r="O1814" s="5"/>
      <c r="S1814" s="6"/>
    </row>
    <row r="1815" spans="1:22" customFormat="1" x14ac:dyDescent="0.45">
      <c r="A1815">
        <v>456286</v>
      </c>
      <c r="B1815" t="s">
        <v>19880</v>
      </c>
      <c r="C1815" t="s">
        <v>19881</v>
      </c>
      <c r="D1815">
        <v>4</v>
      </c>
      <c r="F1815" s="126"/>
      <c r="G1815" s="7">
        <v>0</v>
      </c>
      <c r="H1815" s="7">
        <v>0</v>
      </c>
      <c r="I1815" s="7">
        <v>0</v>
      </c>
      <c r="J1815" s="7">
        <v>0</v>
      </c>
      <c r="K1815" s="3">
        <f t="shared" si="67"/>
        <v>0</v>
      </c>
      <c r="L1815" s="3"/>
      <c r="M1815" s="3">
        <f t="shared" si="68"/>
        <v>0</v>
      </c>
      <c r="O1815" s="5"/>
      <c r="S1815" s="6"/>
    </row>
    <row r="1816" spans="1:22" customFormat="1" x14ac:dyDescent="0.45">
      <c r="A1816">
        <v>456358</v>
      </c>
      <c r="B1816" t="s">
        <v>19882</v>
      </c>
      <c r="C1816" s="2" t="s">
        <v>19883</v>
      </c>
      <c r="D1816">
        <v>10</v>
      </c>
      <c r="E1816" t="s">
        <v>16334</v>
      </c>
      <c r="F1816" s="126"/>
      <c r="G1816" s="3">
        <v>0</v>
      </c>
      <c r="H1816" s="3">
        <v>0</v>
      </c>
      <c r="I1816" s="3">
        <v>0</v>
      </c>
      <c r="J1816" s="3">
        <v>0</v>
      </c>
      <c r="K1816" s="3">
        <f t="shared" si="67"/>
        <v>0</v>
      </c>
      <c r="L1816" s="3"/>
      <c r="M1816" s="3">
        <f t="shared" si="68"/>
        <v>0</v>
      </c>
      <c r="O1816" s="5"/>
      <c r="S1816" s="6"/>
    </row>
    <row r="1817" spans="1:22" customFormat="1" x14ac:dyDescent="0.45">
      <c r="A1817">
        <v>456458</v>
      </c>
      <c r="B1817" t="s">
        <v>19884</v>
      </c>
      <c r="C1817" t="s">
        <v>19885</v>
      </c>
      <c r="D1817">
        <v>2</v>
      </c>
      <c r="F1817" s="126"/>
      <c r="K1817" s="3">
        <f t="shared" si="67"/>
        <v>0</v>
      </c>
      <c r="L1817" s="3"/>
      <c r="M1817" s="3">
        <f t="shared" si="68"/>
        <v>0</v>
      </c>
      <c r="O1817" s="5"/>
      <c r="S1817" s="6"/>
    </row>
    <row r="1818" spans="1:22" customFormat="1" x14ac:dyDescent="0.45">
      <c r="A1818">
        <v>456481</v>
      </c>
      <c r="B1818" t="s">
        <v>19886</v>
      </c>
      <c r="C1818" t="s">
        <v>19887</v>
      </c>
      <c r="D1818">
        <v>2</v>
      </c>
      <c r="F1818" s="126"/>
      <c r="G1818" s="3">
        <v>0</v>
      </c>
      <c r="H1818" s="3">
        <v>0</v>
      </c>
      <c r="I1818" s="3">
        <v>0</v>
      </c>
      <c r="J1818" s="3">
        <v>0</v>
      </c>
      <c r="K1818" s="3">
        <f t="shared" si="67"/>
        <v>0</v>
      </c>
      <c r="L1818" s="3"/>
      <c r="M1818" s="3">
        <f t="shared" si="68"/>
        <v>0</v>
      </c>
      <c r="O1818" s="5"/>
      <c r="S1818" s="6"/>
    </row>
    <row r="1819" spans="1:22" customFormat="1" x14ac:dyDescent="0.45">
      <c r="A1819">
        <v>456568</v>
      </c>
      <c r="B1819" t="s">
        <v>19888</v>
      </c>
      <c r="C1819" t="s">
        <v>19889</v>
      </c>
      <c r="D1819">
        <v>1</v>
      </c>
      <c r="F1819" s="126"/>
      <c r="G1819" s="7">
        <v>0</v>
      </c>
      <c r="H1819" s="7">
        <v>0</v>
      </c>
      <c r="I1819" s="7">
        <v>0</v>
      </c>
      <c r="J1819" s="7">
        <v>0</v>
      </c>
      <c r="K1819" s="3">
        <f t="shared" si="67"/>
        <v>0</v>
      </c>
      <c r="L1819" s="3"/>
      <c r="M1819" s="3">
        <f t="shared" si="68"/>
        <v>0</v>
      </c>
      <c r="O1819" s="5"/>
      <c r="S1819" s="6"/>
    </row>
    <row r="1820" spans="1:22" customFormat="1" x14ac:dyDescent="0.45">
      <c r="A1820">
        <v>456629</v>
      </c>
      <c r="B1820" t="s">
        <v>19890</v>
      </c>
      <c r="C1820" t="s">
        <v>19891</v>
      </c>
      <c r="D1820">
        <v>8</v>
      </c>
      <c r="F1820" s="126"/>
      <c r="G1820" s="7">
        <v>0</v>
      </c>
      <c r="H1820" s="7">
        <v>0</v>
      </c>
      <c r="I1820" s="7">
        <v>0</v>
      </c>
      <c r="J1820" s="7">
        <v>0</v>
      </c>
      <c r="K1820" s="3">
        <f t="shared" si="67"/>
        <v>0</v>
      </c>
      <c r="L1820" s="3"/>
      <c r="M1820" s="3">
        <f t="shared" si="68"/>
        <v>0</v>
      </c>
      <c r="O1820" s="5"/>
      <c r="S1820" s="6"/>
    </row>
    <row r="1821" spans="1:22" x14ac:dyDescent="0.45">
      <c r="A1821" s="124">
        <v>184275</v>
      </c>
      <c r="B1821" s="124" t="s">
        <v>19892</v>
      </c>
      <c r="C1821" s="125" t="s">
        <v>19893</v>
      </c>
      <c r="D1821" s="124">
        <v>7</v>
      </c>
      <c r="E1821" s="124" t="s">
        <v>16334</v>
      </c>
      <c r="F1821" s="126">
        <v>1.6999999999999999E-3</v>
      </c>
      <c r="G1821" s="126">
        <v>0.03</v>
      </c>
      <c r="H1821" s="126">
        <v>0.01</v>
      </c>
      <c r="I1821" s="127">
        <v>0</v>
      </c>
      <c r="J1821" s="127">
        <v>0</v>
      </c>
      <c r="K1821" s="126">
        <f t="shared" si="67"/>
        <v>0.04</v>
      </c>
      <c r="L1821" s="3"/>
      <c r="M1821" s="126">
        <f t="shared" si="68"/>
        <v>4.1700000000000001E-2</v>
      </c>
      <c r="O1821" s="125" t="s">
        <v>19894</v>
      </c>
      <c r="P1821" s="128" t="s">
        <v>26918</v>
      </c>
      <c r="Q1821" s="130">
        <f>245419+204834</f>
        <v>450253</v>
      </c>
      <c r="R1821" s="124" t="s">
        <v>16348</v>
      </c>
      <c r="S1821" s="130">
        <v>222769</v>
      </c>
      <c r="T1821" s="129">
        <f>S1821/Q1821</f>
        <v>0.49476405487581426</v>
      </c>
      <c r="V1821" s="125" t="s">
        <v>19895</v>
      </c>
    </row>
    <row r="1822" spans="1:22" customFormat="1" x14ac:dyDescent="0.45">
      <c r="A1822">
        <v>456729</v>
      </c>
      <c r="B1822" t="s">
        <v>19896</v>
      </c>
      <c r="C1822" t="s">
        <v>16331</v>
      </c>
      <c r="D1822">
        <v>1</v>
      </c>
      <c r="E1822" t="s">
        <v>16331</v>
      </c>
      <c r="F1822" s="126"/>
      <c r="G1822" s="7">
        <v>0</v>
      </c>
      <c r="H1822" s="7">
        <v>0</v>
      </c>
      <c r="I1822" s="7">
        <v>0</v>
      </c>
      <c r="J1822" s="7">
        <v>0</v>
      </c>
      <c r="K1822" s="3">
        <f t="shared" si="67"/>
        <v>0</v>
      </c>
      <c r="L1822" s="3"/>
      <c r="M1822" s="3">
        <f t="shared" si="68"/>
        <v>0</v>
      </c>
      <c r="O1822" s="5"/>
      <c r="S1822" s="6"/>
    </row>
    <row r="1823" spans="1:22" customFormat="1" x14ac:dyDescent="0.45">
      <c r="A1823">
        <v>456753</v>
      </c>
      <c r="B1823" t="s">
        <v>19897</v>
      </c>
      <c r="C1823" t="s">
        <v>19898</v>
      </c>
      <c r="D1823">
        <v>4</v>
      </c>
      <c r="F1823" s="126"/>
      <c r="G1823" s="19"/>
      <c r="H1823" s="19"/>
      <c r="I1823" s="19"/>
      <c r="J1823" s="19"/>
      <c r="K1823" s="3">
        <f t="shared" si="67"/>
        <v>0</v>
      </c>
      <c r="L1823" s="3"/>
      <c r="M1823" s="3">
        <f t="shared" si="68"/>
        <v>0</v>
      </c>
      <c r="O1823" s="5"/>
      <c r="S1823" s="6"/>
    </row>
    <row r="1824" spans="1:22" customFormat="1" x14ac:dyDescent="0.45">
      <c r="A1824">
        <v>456804</v>
      </c>
      <c r="B1824" t="s">
        <v>19899</v>
      </c>
      <c r="C1824" t="s">
        <v>19900</v>
      </c>
      <c r="D1824">
        <v>0</v>
      </c>
      <c r="E1824" t="s">
        <v>16561</v>
      </c>
      <c r="F1824" s="126"/>
      <c r="G1824" s="7">
        <v>0</v>
      </c>
      <c r="H1824" s="7">
        <v>0</v>
      </c>
      <c r="I1824" s="7">
        <v>0</v>
      </c>
      <c r="J1824" s="7">
        <v>0</v>
      </c>
      <c r="K1824" s="3">
        <f t="shared" si="67"/>
        <v>0</v>
      </c>
      <c r="L1824" s="3"/>
      <c r="M1824" s="3">
        <f t="shared" si="68"/>
        <v>0</v>
      </c>
      <c r="N1824" s="7"/>
      <c r="O1824" s="5"/>
      <c r="S1824" s="6"/>
    </row>
    <row r="1825" spans="1:22" customFormat="1" x14ac:dyDescent="0.45">
      <c r="A1825">
        <v>456836</v>
      </c>
      <c r="B1825" t="s">
        <v>19901</v>
      </c>
      <c r="C1825" t="s">
        <v>19902</v>
      </c>
      <c r="D1825">
        <v>6</v>
      </c>
      <c r="F1825" s="126"/>
      <c r="K1825" s="3">
        <f t="shared" si="67"/>
        <v>0</v>
      </c>
      <c r="L1825" s="3"/>
      <c r="M1825" s="3">
        <f t="shared" si="68"/>
        <v>0</v>
      </c>
      <c r="O1825" s="5"/>
      <c r="S1825" s="6"/>
    </row>
    <row r="1826" spans="1:22" x14ac:dyDescent="0.45">
      <c r="A1826" s="124">
        <v>790065</v>
      </c>
      <c r="B1826" s="124" t="s">
        <v>19903</v>
      </c>
      <c r="C1826" s="125" t="s">
        <v>19904</v>
      </c>
      <c r="D1826" s="124">
        <v>1</v>
      </c>
      <c r="E1826" s="124" t="s">
        <v>16334</v>
      </c>
      <c r="F1826" s="126">
        <v>1.6999999999999999E-3</v>
      </c>
      <c r="G1826" s="126">
        <v>1.6299999999999999E-2</v>
      </c>
      <c r="H1826" s="126">
        <v>5.4999999999999997E-3</v>
      </c>
      <c r="I1826" s="127"/>
      <c r="J1826" s="127"/>
      <c r="K1826" s="126">
        <f t="shared" si="67"/>
        <v>2.18E-2</v>
      </c>
      <c r="L1826" s="3"/>
      <c r="M1826" s="126">
        <f t="shared" si="68"/>
        <v>2.35E-2</v>
      </c>
      <c r="O1826" s="141" t="s">
        <v>19905</v>
      </c>
      <c r="P1826" s="128" t="s">
        <v>26918</v>
      </c>
      <c r="Q1826" s="132">
        <v>135528</v>
      </c>
      <c r="R1826" s="124" t="s">
        <v>16348</v>
      </c>
      <c r="S1826" s="132">
        <v>50006</v>
      </c>
      <c r="T1826" s="129">
        <f>S1826/Q1826</f>
        <v>0.36897172539991735</v>
      </c>
      <c r="V1826" s="125" t="s">
        <v>19906</v>
      </c>
    </row>
    <row r="1827" spans="1:22" customFormat="1" x14ac:dyDescent="0.45">
      <c r="A1827">
        <v>456868</v>
      </c>
      <c r="B1827" t="s">
        <v>19907</v>
      </c>
      <c r="C1827" t="s">
        <v>16331</v>
      </c>
      <c r="D1827">
        <v>1</v>
      </c>
      <c r="E1827" t="s">
        <v>16331</v>
      </c>
      <c r="F1827" s="126"/>
      <c r="K1827" s="3">
        <f t="shared" si="67"/>
        <v>0</v>
      </c>
      <c r="L1827" s="3"/>
      <c r="M1827" s="3">
        <f t="shared" si="68"/>
        <v>0</v>
      </c>
      <c r="O1827" s="5"/>
      <c r="S1827" s="6"/>
    </row>
    <row r="1828" spans="1:22" x14ac:dyDescent="0.45">
      <c r="A1828" s="124">
        <v>230155</v>
      </c>
      <c r="B1828" s="124" t="s">
        <v>19908</v>
      </c>
      <c r="C1828" s="125" t="s">
        <v>19909</v>
      </c>
      <c r="D1828" s="124">
        <v>1</v>
      </c>
      <c r="E1828" s="124" t="s">
        <v>16334</v>
      </c>
      <c r="F1828" s="126">
        <v>1.6999999999999999E-3</v>
      </c>
      <c r="G1828" s="126">
        <v>0.02</v>
      </c>
      <c r="H1828" s="126">
        <v>0.01</v>
      </c>
      <c r="I1828" s="126">
        <v>0</v>
      </c>
      <c r="J1828" s="126">
        <v>0</v>
      </c>
      <c r="K1828" s="126">
        <f t="shared" si="67"/>
        <v>0.03</v>
      </c>
      <c r="L1828" s="3"/>
      <c r="M1828" s="126">
        <f t="shared" si="68"/>
        <v>3.1699999999999999E-2</v>
      </c>
      <c r="O1828" s="125" t="s">
        <v>19910</v>
      </c>
      <c r="P1828" s="128" t="s">
        <v>26918</v>
      </c>
      <c r="Q1828" s="124">
        <v>90920</v>
      </c>
      <c r="R1828" s="124" t="s">
        <v>16348</v>
      </c>
      <c r="S1828" s="130">
        <v>81531</v>
      </c>
      <c r="T1828" s="129">
        <f>S1828/Q1828</f>
        <v>0.89673339199296087</v>
      </c>
      <c r="V1828" s="125" t="s">
        <v>19911</v>
      </c>
    </row>
    <row r="1829" spans="1:22" customFormat="1" x14ac:dyDescent="0.45">
      <c r="A1829">
        <v>457006</v>
      </c>
      <c r="B1829" t="s">
        <v>19912</v>
      </c>
      <c r="C1829" t="s">
        <v>19913</v>
      </c>
      <c r="D1829">
        <v>18</v>
      </c>
      <c r="E1829" t="s">
        <v>16334</v>
      </c>
      <c r="F1829" s="126"/>
      <c r="G1829" s="7">
        <v>0</v>
      </c>
      <c r="H1829" s="7">
        <v>0</v>
      </c>
      <c r="I1829" s="7">
        <v>0</v>
      </c>
      <c r="J1829" s="7">
        <v>0</v>
      </c>
      <c r="K1829" s="3">
        <f t="shared" si="67"/>
        <v>0</v>
      </c>
      <c r="L1829" s="3"/>
      <c r="M1829" s="3">
        <f t="shared" si="68"/>
        <v>0</v>
      </c>
      <c r="O1829" s="5"/>
      <c r="S1829" s="6"/>
    </row>
    <row r="1830" spans="1:22" customFormat="1" x14ac:dyDescent="0.45">
      <c r="A1830">
        <v>457010</v>
      </c>
      <c r="B1830" t="s">
        <v>19914</v>
      </c>
      <c r="C1830" t="s">
        <v>19915</v>
      </c>
      <c r="D1830">
        <v>1</v>
      </c>
      <c r="F1830" s="126"/>
      <c r="G1830" s="7">
        <v>0</v>
      </c>
      <c r="H1830" s="7">
        <v>0</v>
      </c>
      <c r="I1830" s="7">
        <v>0</v>
      </c>
      <c r="J1830" s="7">
        <v>0</v>
      </c>
      <c r="K1830" s="3">
        <f t="shared" si="67"/>
        <v>0</v>
      </c>
      <c r="L1830" s="3"/>
      <c r="M1830" s="3">
        <f t="shared" si="68"/>
        <v>0</v>
      </c>
      <c r="O1830" s="5"/>
      <c r="S1830" s="6"/>
    </row>
    <row r="1831" spans="1:22" customFormat="1" x14ac:dyDescent="0.45">
      <c r="A1831">
        <v>457112</v>
      </c>
      <c r="B1831" t="s">
        <v>19916</v>
      </c>
      <c r="C1831" t="s">
        <v>16331</v>
      </c>
      <c r="D1831">
        <v>3</v>
      </c>
      <c r="E1831" t="s">
        <v>16331</v>
      </c>
      <c r="F1831" s="126"/>
      <c r="G1831" s="7">
        <v>0</v>
      </c>
      <c r="H1831" s="7">
        <v>0</v>
      </c>
      <c r="I1831" s="7">
        <v>0</v>
      </c>
      <c r="J1831" s="7">
        <v>0</v>
      </c>
      <c r="K1831" s="3">
        <f t="shared" si="67"/>
        <v>0</v>
      </c>
      <c r="L1831" s="3"/>
      <c r="M1831" s="3">
        <f t="shared" si="68"/>
        <v>0</v>
      </c>
      <c r="O1831" s="5"/>
      <c r="S1831" s="6"/>
    </row>
    <row r="1832" spans="1:22" customFormat="1" x14ac:dyDescent="0.45">
      <c r="A1832">
        <v>457227</v>
      </c>
      <c r="B1832" t="s">
        <v>19917</v>
      </c>
      <c r="C1832" t="s">
        <v>19918</v>
      </c>
      <c r="D1832">
        <v>1</v>
      </c>
      <c r="F1832" s="126"/>
      <c r="G1832" s="7">
        <v>0</v>
      </c>
      <c r="H1832" s="7">
        <v>0</v>
      </c>
      <c r="I1832" s="7">
        <v>0</v>
      </c>
      <c r="J1832" s="7">
        <v>0</v>
      </c>
      <c r="K1832" s="3">
        <f t="shared" si="67"/>
        <v>0</v>
      </c>
      <c r="L1832" s="3"/>
      <c r="M1832" s="3">
        <f t="shared" si="68"/>
        <v>0</v>
      </c>
      <c r="O1832" s="5"/>
      <c r="S1832" s="6"/>
    </row>
    <row r="1833" spans="1:22" customFormat="1" x14ac:dyDescent="0.45">
      <c r="A1833">
        <v>457234</v>
      </c>
      <c r="B1833" t="s">
        <v>19919</v>
      </c>
      <c r="C1833" t="s">
        <v>19920</v>
      </c>
      <c r="D1833">
        <v>11</v>
      </c>
      <c r="E1833" t="s">
        <v>16334</v>
      </c>
      <c r="F1833" s="126"/>
      <c r="K1833" s="3">
        <f t="shared" si="67"/>
        <v>0</v>
      </c>
      <c r="L1833" s="3"/>
      <c r="M1833" s="3">
        <f t="shared" si="68"/>
        <v>0</v>
      </c>
      <c r="O1833" s="5"/>
      <c r="S1833" s="6"/>
    </row>
    <row r="1834" spans="1:22" customFormat="1" x14ac:dyDescent="0.45">
      <c r="A1834">
        <v>457305</v>
      </c>
      <c r="B1834" t="s">
        <v>19921</v>
      </c>
      <c r="C1834" t="s">
        <v>19922</v>
      </c>
      <c r="D1834">
        <v>3</v>
      </c>
      <c r="F1834" s="126"/>
      <c r="G1834" s="7">
        <v>0</v>
      </c>
      <c r="H1834" s="7">
        <v>0</v>
      </c>
      <c r="I1834" s="7">
        <v>0</v>
      </c>
      <c r="J1834" s="7">
        <v>0</v>
      </c>
      <c r="K1834" s="3">
        <f t="shared" si="67"/>
        <v>0</v>
      </c>
      <c r="L1834" s="3"/>
      <c r="M1834" s="3">
        <f t="shared" si="68"/>
        <v>0</v>
      </c>
      <c r="O1834" s="5"/>
      <c r="S1834" s="6"/>
    </row>
    <row r="1835" spans="1:22" customFormat="1" x14ac:dyDescent="0.45">
      <c r="A1835">
        <v>457373</v>
      </c>
      <c r="B1835" t="s">
        <v>19923</v>
      </c>
      <c r="C1835" t="s">
        <v>16331</v>
      </c>
      <c r="D1835">
        <v>1</v>
      </c>
      <c r="E1835" t="s">
        <v>16331</v>
      </c>
      <c r="F1835" s="126"/>
      <c r="K1835" s="3">
        <f t="shared" si="67"/>
        <v>0</v>
      </c>
      <c r="L1835" s="3"/>
      <c r="M1835" s="3">
        <f t="shared" si="68"/>
        <v>0</v>
      </c>
      <c r="O1835" s="5"/>
      <c r="S1835" s="6"/>
    </row>
    <row r="1836" spans="1:22" customFormat="1" x14ac:dyDescent="0.45">
      <c r="A1836">
        <v>457377</v>
      </c>
      <c r="B1836" t="s">
        <v>19924</v>
      </c>
      <c r="C1836" t="s">
        <v>16331</v>
      </c>
      <c r="D1836">
        <v>1</v>
      </c>
      <c r="E1836" t="s">
        <v>16331</v>
      </c>
      <c r="F1836" s="126"/>
      <c r="G1836" s="7">
        <v>0</v>
      </c>
      <c r="H1836" s="7">
        <v>0</v>
      </c>
      <c r="I1836" s="7">
        <v>0</v>
      </c>
      <c r="J1836" s="7">
        <v>0</v>
      </c>
      <c r="K1836" s="3">
        <f t="shared" si="67"/>
        <v>0</v>
      </c>
      <c r="L1836" s="3"/>
      <c r="M1836" s="3">
        <f t="shared" si="68"/>
        <v>0</v>
      </c>
      <c r="O1836" s="5"/>
      <c r="S1836" s="6"/>
    </row>
    <row r="1837" spans="1:22" customFormat="1" x14ac:dyDescent="0.45">
      <c r="A1837">
        <v>457386</v>
      </c>
      <c r="B1837" t="s">
        <v>19925</v>
      </c>
      <c r="C1837" t="s">
        <v>16331</v>
      </c>
      <c r="D1837">
        <v>1</v>
      </c>
      <c r="E1837" t="s">
        <v>16331</v>
      </c>
      <c r="F1837" s="126"/>
      <c r="G1837" s="7">
        <v>0</v>
      </c>
      <c r="H1837" s="7">
        <v>0</v>
      </c>
      <c r="I1837" s="7">
        <v>0</v>
      </c>
      <c r="J1837" s="7">
        <v>0</v>
      </c>
      <c r="K1837" s="3">
        <f t="shared" si="67"/>
        <v>0</v>
      </c>
      <c r="L1837" s="3"/>
      <c r="M1837" s="3">
        <f t="shared" si="68"/>
        <v>0</v>
      </c>
      <c r="O1837" s="5"/>
      <c r="S1837" s="6"/>
    </row>
    <row r="1838" spans="1:22" customFormat="1" x14ac:dyDescent="0.45">
      <c r="A1838">
        <v>457412</v>
      </c>
      <c r="B1838" t="s">
        <v>19926</v>
      </c>
      <c r="C1838" t="s">
        <v>16331</v>
      </c>
      <c r="D1838">
        <v>1</v>
      </c>
      <c r="E1838" t="s">
        <v>16331</v>
      </c>
      <c r="F1838" s="126"/>
      <c r="K1838" s="3">
        <f t="shared" si="67"/>
        <v>0</v>
      </c>
      <c r="L1838" s="3"/>
      <c r="M1838" s="3">
        <f t="shared" si="68"/>
        <v>0</v>
      </c>
      <c r="O1838" s="5"/>
      <c r="S1838" s="6"/>
    </row>
    <row r="1839" spans="1:22" customFormat="1" x14ac:dyDescent="0.45">
      <c r="A1839">
        <v>457491</v>
      </c>
      <c r="B1839" t="s">
        <v>19927</v>
      </c>
      <c r="C1839" t="s">
        <v>19928</v>
      </c>
      <c r="D1839">
        <v>2</v>
      </c>
      <c r="F1839" s="126"/>
      <c r="G1839" s="7">
        <v>0</v>
      </c>
      <c r="H1839" s="7">
        <v>0</v>
      </c>
      <c r="I1839" s="7">
        <v>0</v>
      </c>
      <c r="J1839" s="7">
        <v>0</v>
      </c>
      <c r="K1839" s="3">
        <f t="shared" si="67"/>
        <v>0</v>
      </c>
      <c r="L1839" s="3"/>
      <c r="M1839" s="3">
        <f t="shared" si="68"/>
        <v>0</v>
      </c>
      <c r="N1839" s="7"/>
      <c r="O1839" s="5"/>
      <c r="S1839" s="6"/>
    </row>
    <row r="1840" spans="1:22" customFormat="1" x14ac:dyDescent="0.45">
      <c r="A1840">
        <v>457558</v>
      </c>
      <c r="B1840" t="s">
        <v>19929</v>
      </c>
      <c r="C1840" t="s">
        <v>19930</v>
      </c>
      <c r="D1840">
        <v>11</v>
      </c>
      <c r="E1840" t="s">
        <v>16334</v>
      </c>
      <c r="F1840" s="126">
        <v>2.2000000000000001E-3</v>
      </c>
      <c r="G1840" s="7">
        <v>0</v>
      </c>
      <c r="H1840" s="33">
        <v>0</v>
      </c>
      <c r="I1840" s="4">
        <v>0</v>
      </c>
      <c r="J1840" s="4">
        <v>0</v>
      </c>
      <c r="K1840" s="3">
        <v>0</v>
      </c>
      <c r="L1840" s="3"/>
      <c r="M1840" s="3">
        <v>0</v>
      </c>
      <c r="O1840" s="2" t="s">
        <v>19931</v>
      </c>
      <c r="S1840" s="6"/>
    </row>
    <row r="1841" spans="1:23" customFormat="1" x14ac:dyDescent="0.45">
      <c r="A1841">
        <v>457607</v>
      </c>
      <c r="B1841" t="s">
        <v>19932</v>
      </c>
      <c r="C1841" t="s">
        <v>16331</v>
      </c>
      <c r="D1841">
        <v>1</v>
      </c>
      <c r="E1841" t="s">
        <v>16331</v>
      </c>
      <c r="F1841" s="126"/>
      <c r="G1841" s="7">
        <v>0</v>
      </c>
      <c r="H1841" s="7">
        <v>0</v>
      </c>
      <c r="I1841" s="7">
        <v>0</v>
      </c>
      <c r="J1841" s="7">
        <v>0</v>
      </c>
      <c r="K1841" s="3">
        <f t="shared" ref="K1841:K1904" si="69">SUM(G1841:J1841)</f>
        <v>0</v>
      </c>
      <c r="L1841" s="3"/>
      <c r="M1841" s="3">
        <f t="shared" ref="M1841:M1904" si="70">K1841+F1841</f>
        <v>0</v>
      </c>
      <c r="O1841" s="5"/>
      <c r="S1841" s="6"/>
    </row>
    <row r="1842" spans="1:23" customFormat="1" x14ac:dyDescent="0.45">
      <c r="A1842">
        <v>457637</v>
      </c>
      <c r="B1842" t="s">
        <v>19933</v>
      </c>
      <c r="C1842" t="s">
        <v>19934</v>
      </c>
      <c r="D1842">
        <v>1</v>
      </c>
      <c r="F1842" s="126"/>
      <c r="G1842" s="7">
        <v>0</v>
      </c>
      <c r="H1842" s="3">
        <v>0</v>
      </c>
      <c r="I1842" s="3">
        <v>0</v>
      </c>
      <c r="J1842">
        <v>0</v>
      </c>
      <c r="K1842" s="3">
        <f t="shared" si="69"/>
        <v>0</v>
      </c>
      <c r="L1842" s="3"/>
      <c r="M1842" s="3">
        <f t="shared" si="70"/>
        <v>0</v>
      </c>
      <c r="O1842" s="5"/>
      <c r="S1842" s="6"/>
    </row>
    <row r="1843" spans="1:23" customFormat="1" x14ac:dyDescent="0.45">
      <c r="A1843">
        <v>457658</v>
      </c>
      <c r="B1843" t="s">
        <v>19935</v>
      </c>
      <c r="C1843" t="s">
        <v>19936</v>
      </c>
      <c r="D1843">
        <v>1</v>
      </c>
      <c r="F1843" s="126"/>
      <c r="K1843" s="3">
        <f t="shared" si="69"/>
        <v>0</v>
      </c>
      <c r="L1843" s="3"/>
      <c r="M1843" s="3">
        <f t="shared" si="70"/>
        <v>0</v>
      </c>
      <c r="O1843" s="5"/>
      <c r="S1843" s="6"/>
    </row>
    <row r="1844" spans="1:23" customFormat="1" x14ac:dyDescent="0.45">
      <c r="A1844">
        <v>457661</v>
      </c>
      <c r="B1844" t="s">
        <v>19937</v>
      </c>
      <c r="C1844" t="s">
        <v>16331</v>
      </c>
      <c r="D1844">
        <v>2</v>
      </c>
      <c r="E1844" t="s">
        <v>16331</v>
      </c>
      <c r="F1844" s="126"/>
      <c r="G1844" s="7">
        <v>0</v>
      </c>
      <c r="H1844" s="7">
        <v>0</v>
      </c>
      <c r="I1844" s="7">
        <v>0</v>
      </c>
      <c r="J1844" s="7">
        <v>0</v>
      </c>
      <c r="K1844" s="3">
        <f t="shared" si="69"/>
        <v>0</v>
      </c>
      <c r="L1844" s="3"/>
      <c r="M1844" s="3">
        <f t="shared" si="70"/>
        <v>0</v>
      </c>
      <c r="O1844" s="5"/>
      <c r="S1844" s="6"/>
    </row>
    <row r="1845" spans="1:23" customFormat="1" x14ac:dyDescent="0.45">
      <c r="A1845">
        <v>457670</v>
      </c>
      <c r="B1845" t="s">
        <v>19938</v>
      </c>
      <c r="C1845" t="s">
        <v>19939</v>
      </c>
      <c r="D1845">
        <v>2</v>
      </c>
      <c r="F1845" s="126"/>
      <c r="G1845" s="7">
        <v>0</v>
      </c>
      <c r="H1845" s="7">
        <v>0</v>
      </c>
      <c r="I1845" s="7">
        <v>0</v>
      </c>
      <c r="J1845" s="7">
        <v>0</v>
      </c>
      <c r="K1845" s="3">
        <f t="shared" si="69"/>
        <v>0</v>
      </c>
      <c r="L1845" s="3"/>
      <c r="M1845" s="3">
        <f t="shared" si="70"/>
        <v>0</v>
      </c>
      <c r="O1845" s="5"/>
      <c r="S1845" s="6"/>
    </row>
    <row r="1846" spans="1:23" customFormat="1" x14ac:dyDescent="0.45">
      <c r="A1846">
        <v>457721</v>
      </c>
      <c r="B1846" t="s">
        <v>19940</v>
      </c>
      <c r="C1846" t="s">
        <v>19941</v>
      </c>
      <c r="D1846">
        <v>2</v>
      </c>
      <c r="F1846" s="126"/>
      <c r="G1846" s="3">
        <v>0</v>
      </c>
      <c r="H1846" s="3">
        <v>0</v>
      </c>
      <c r="I1846" s="3">
        <v>0</v>
      </c>
      <c r="J1846" s="3">
        <v>0</v>
      </c>
      <c r="K1846" s="3">
        <f t="shared" si="69"/>
        <v>0</v>
      </c>
      <c r="L1846" s="3"/>
      <c r="M1846" s="3">
        <f t="shared" si="70"/>
        <v>0</v>
      </c>
      <c r="O1846" s="5"/>
      <c r="S1846" s="6"/>
    </row>
    <row r="1847" spans="1:23" customFormat="1" x14ac:dyDescent="0.45">
      <c r="A1847">
        <v>457901</v>
      </c>
      <c r="B1847" t="s">
        <v>19942</v>
      </c>
      <c r="C1847" t="s">
        <v>19943</v>
      </c>
      <c r="D1847">
        <v>1</v>
      </c>
      <c r="F1847" s="126"/>
      <c r="G1847" s="3">
        <v>0</v>
      </c>
      <c r="H1847" s="3">
        <v>0</v>
      </c>
      <c r="I1847" s="3">
        <v>0</v>
      </c>
      <c r="J1847" s="3">
        <v>0</v>
      </c>
      <c r="K1847" s="3">
        <f t="shared" si="69"/>
        <v>0</v>
      </c>
      <c r="L1847" s="3"/>
      <c r="M1847" s="3">
        <f t="shared" si="70"/>
        <v>0</v>
      </c>
      <c r="O1847" s="5"/>
      <c r="S1847" s="6"/>
    </row>
    <row r="1848" spans="1:23" customFormat="1" x14ac:dyDescent="0.45">
      <c r="A1848">
        <v>457902</v>
      </c>
      <c r="B1848" t="s">
        <v>19944</v>
      </c>
      <c r="C1848" t="s">
        <v>19945</v>
      </c>
      <c r="D1848">
        <v>10</v>
      </c>
      <c r="E1848" t="s">
        <v>16334</v>
      </c>
      <c r="F1848" s="126"/>
      <c r="G1848" s="3">
        <v>0</v>
      </c>
      <c r="H1848" s="3">
        <v>0</v>
      </c>
      <c r="I1848" s="3">
        <v>0</v>
      </c>
      <c r="J1848" s="3">
        <v>0</v>
      </c>
      <c r="K1848" s="3">
        <f t="shared" si="69"/>
        <v>0</v>
      </c>
      <c r="L1848" s="3"/>
      <c r="M1848" s="3">
        <f t="shared" si="70"/>
        <v>0</v>
      </c>
      <c r="O1848" s="5"/>
      <c r="S1848" s="6"/>
    </row>
    <row r="1849" spans="1:23" customFormat="1" x14ac:dyDescent="0.45">
      <c r="A1849">
        <v>457930</v>
      </c>
      <c r="B1849" t="s">
        <v>19946</v>
      </c>
      <c r="C1849" t="s">
        <v>19947</v>
      </c>
      <c r="D1849">
        <v>5</v>
      </c>
      <c r="F1849" s="126"/>
      <c r="G1849" s="7">
        <v>0</v>
      </c>
      <c r="H1849" s="7">
        <v>0</v>
      </c>
      <c r="I1849" s="7">
        <v>0</v>
      </c>
      <c r="J1849" s="7">
        <v>0</v>
      </c>
      <c r="K1849" s="3">
        <f t="shared" si="69"/>
        <v>0</v>
      </c>
      <c r="L1849" s="3"/>
      <c r="M1849" s="3">
        <f t="shared" si="70"/>
        <v>0</v>
      </c>
      <c r="O1849" s="5"/>
      <c r="S1849" s="6"/>
    </row>
    <row r="1850" spans="1:23" customFormat="1" x14ac:dyDescent="0.45">
      <c r="A1850">
        <v>457945</v>
      </c>
      <c r="B1850" t="s">
        <v>19948</v>
      </c>
      <c r="C1850" t="s">
        <v>19949</v>
      </c>
      <c r="D1850">
        <v>5</v>
      </c>
      <c r="F1850" s="126"/>
      <c r="G1850" s="7">
        <v>0</v>
      </c>
      <c r="H1850" s="7">
        <v>0</v>
      </c>
      <c r="I1850" s="7">
        <v>0</v>
      </c>
      <c r="J1850" s="7">
        <v>0</v>
      </c>
      <c r="K1850" s="3">
        <f t="shared" si="69"/>
        <v>0</v>
      </c>
      <c r="L1850" s="3"/>
      <c r="M1850" s="3">
        <f t="shared" si="70"/>
        <v>0</v>
      </c>
      <c r="O1850" s="5"/>
      <c r="S1850" s="6"/>
    </row>
    <row r="1851" spans="1:23" x14ac:dyDescent="0.45">
      <c r="A1851" s="124">
        <v>425738</v>
      </c>
      <c r="B1851" s="124" t="s">
        <v>19950</v>
      </c>
      <c r="C1851" s="125" t="s">
        <v>19951</v>
      </c>
      <c r="D1851" s="124">
        <v>2</v>
      </c>
      <c r="E1851" s="124" t="s">
        <v>16334</v>
      </c>
      <c r="F1851" s="126">
        <v>1.6999999999999999E-3</v>
      </c>
      <c r="G1851" s="126">
        <f>1500/100000</f>
        <v>1.4999999999999999E-2</v>
      </c>
      <c r="H1851" s="126">
        <v>8.8000000000000005E-3</v>
      </c>
      <c r="I1851" s="127"/>
      <c r="J1851" s="127"/>
      <c r="K1851" s="126">
        <f t="shared" si="69"/>
        <v>2.3800000000000002E-2</v>
      </c>
      <c r="L1851" s="3"/>
      <c r="M1851" s="126">
        <f t="shared" si="70"/>
        <v>2.5500000000000002E-2</v>
      </c>
      <c r="O1851" s="125" t="s">
        <v>19952</v>
      </c>
      <c r="P1851" s="128" t="s">
        <v>26918</v>
      </c>
      <c r="Q1851" s="130">
        <f>555806+3968</f>
        <v>559774</v>
      </c>
      <c r="R1851" s="124" t="s">
        <v>16348</v>
      </c>
      <c r="S1851" s="130">
        <v>462465</v>
      </c>
      <c r="T1851" s="129">
        <f>S1851/Q1851</f>
        <v>0.82616377323705636</v>
      </c>
      <c r="V1851" s="125" t="s">
        <v>19953</v>
      </c>
    </row>
    <row r="1852" spans="1:23" x14ac:dyDescent="0.45">
      <c r="A1852" s="124">
        <v>221354</v>
      </c>
      <c r="B1852" s="124" t="s">
        <v>19954</v>
      </c>
      <c r="C1852" s="125" t="s">
        <v>19955</v>
      </c>
      <c r="D1852" s="124">
        <v>4</v>
      </c>
      <c r="E1852" s="124" t="s">
        <v>16334</v>
      </c>
      <c r="F1852" s="126">
        <v>1.6999999999999999E-3</v>
      </c>
      <c r="G1852" s="126">
        <v>0.05</v>
      </c>
      <c r="H1852" s="126">
        <v>3.5000000000000003E-2</v>
      </c>
      <c r="I1852" s="127"/>
      <c r="J1852" s="127"/>
      <c r="K1852" s="126">
        <f t="shared" si="69"/>
        <v>8.5000000000000006E-2</v>
      </c>
      <c r="L1852" s="3"/>
      <c r="M1852" s="126">
        <f t="shared" si="70"/>
        <v>8.6699999999999999E-2</v>
      </c>
      <c r="O1852" s="125" t="s">
        <v>19956</v>
      </c>
      <c r="P1852" s="128" t="s">
        <v>26918</v>
      </c>
      <c r="Q1852" s="130">
        <f>305095+840142</f>
        <v>1145237</v>
      </c>
      <c r="R1852" s="124" t="s">
        <v>16348</v>
      </c>
      <c r="S1852" s="130">
        <v>836069</v>
      </c>
      <c r="T1852" s="129">
        <f>S1852/Q1852</f>
        <v>0.730040157626762</v>
      </c>
      <c r="V1852" s="125" t="s">
        <v>19957</v>
      </c>
      <c r="W1852" s="124" t="s">
        <v>17021</v>
      </c>
    </row>
    <row r="1853" spans="1:23" customFormat="1" x14ac:dyDescent="0.45">
      <c r="A1853">
        <v>458009</v>
      </c>
      <c r="B1853" t="s">
        <v>19958</v>
      </c>
      <c r="C1853" t="s">
        <v>19959</v>
      </c>
      <c r="D1853">
        <v>6</v>
      </c>
      <c r="F1853" s="126"/>
      <c r="G1853" s="19"/>
      <c r="H1853" s="19"/>
      <c r="I1853" s="19"/>
      <c r="J1853" s="19"/>
      <c r="K1853" s="3">
        <f t="shared" si="69"/>
        <v>0</v>
      </c>
      <c r="L1853" s="3"/>
      <c r="M1853" s="3">
        <f t="shared" si="70"/>
        <v>0</v>
      </c>
      <c r="O1853" s="5"/>
      <c r="S1853" s="6"/>
    </row>
    <row r="1854" spans="1:23" customFormat="1" x14ac:dyDescent="0.45">
      <c r="A1854">
        <v>458042</v>
      </c>
      <c r="B1854" t="s">
        <v>19960</v>
      </c>
      <c r="C1854" t="s">
        <v>16331</v>
      </c>
      <c r="D1854">
        <v>1</v>
      </c>
      <c r="E1854" t="s">
        <v>16331</v>
      </c>
      <c r="F1854" s="126"/>
      <c r="G1854" s="7">
        <v>0</v>
      </c>
      <c r="H1854" s="7">
        <v>0</v>
      </c>
      <c r="I1854" s="7">
        <v>0</v>
      </c>
      <c r="J1854" s="7">
        <v>0</v>
      </c>
      <c r="K1854" s="3">
        <f t="shared" si="69"/>
        <v>0</v>
      </c>
      <c r="L1854" s="3"/>
      <c r="M1854" s="3">
        <f t="shared" si="70"/>
        <v>0</v>
      </c>
      <c r="O1854" s="5"/>
      <c r="S1854" s="6"/>
    </row>
    <row r="1855" spans="1:23" customFormat="1" x14ac:dyDescent="0.45">
      <c r="A1855">
        <v>458146</v>
      </c>
      <c r="B1855" t="s">
        <v>19961</v>
      </c>
      <c r="C1855" t="s">
        <v>16331</v>
      </c>
      <c r="D1855">
        <v>3</v>
      </c>
      <c r="E1855" t="s">
        <v>16331</v>
      </c>
      <c r="F1855" s="126"/>
      <c r="G1855" s="7">
        <v>0</v>
      </c>
      <c r="H1855" s="7">
        <v>0</v>
      </c>
      <c r="I1855" s="7">
        <v>0</v>
      </c>
      <c r="J1855" s="7">
        <v>0</v>
      </c>
      <c r="K1855" s="3">
        <f t="shared" si="69"/>
        <v>0</v>
      </c>
      <c r="L1855" s="3"/>
      <c r="M1855" s="3">
        <f t="shared" si="70"/>
        <v>0</v>
      </c>
      <c r="O1855" s="5"/>
      <c r="S1855" s="6"/>
    </row>
    <row r="1856" spans="1:23" customFormat="1" x14ac:dyDescent="0.45">
      <c r="A1856">
        <v>458200</v>
      </c>
      <c r="B1856" t="s">
        <v>19962</v>
      </c>
      <c r="C1856" t="s">
        <v>19963</v>
      </c>
      <c r="D1856">
        <v>5</v>
      </c>
      <c r="F1856" s="126"/>
      <c r="G1856" s="3">
        <v>0</v>
      </c>
      <c r="H1856" s="3">
        <v>0</v>
      </c>
      <c r="I1856" s="3">
        <v>0</v>
      </c>
      <c r="J1856" s="3">
        <v>0</v>
      </c>
      <c r="K1856" s="3">
        <f t="shared" si="69"/>
        <v>0</v>
      </c>
      <c r="L1856" s="3"/>
      <c r="M1856" s="3">
        <f t="shared" si="70"/>
        <v>0</v>
      </c>
      <c r="O1856" s="5"/>
      <c r="S1856" s="6"/>
    </row>
    <row r="1857" spans="1:19" customFormat="1" x14ac:dyDescent="0.45">
      <c r="A1857">
        <v>458204</v>
      </c>
      <c r="B1857" t="s">
        <v>19964</v>
      </c>
      <c r="C1857" t="s">
        <v>16331</v>
      </c>
      <c r="D1857">
        <v>7</v>
      </c>
      <c r="E1857" t="s">
        <v>16331</v>
      </c>
      <c r="F1857" s="126"/>
      <c r="G1857" s="7">
        <v>0</v>
      </c>
      <c r="H1857" s="7">
        <v>0</v>
      </c>
      <c r="I1857" s="7">
        <v>0</v>
      </c>
      <c r="J1857" s="7">
        <v>0</v>
      </c>
      <c r="K1857" s="3">
        <f t="shared" si="69"/>
        <v>0</v>
      </c>
      <c r="L1857" s="3"/>
      <c r="M1857" s="3">
        <f t="shared" si="70"/>
        <v>0</v>
      </c>
      <c r="O1857" s="5"/>
      <c r="S1857" s="6"/>
    </row>
    <row r="1858" spans="1:19" customFormat="1" x14ac:dyDescent="0.45">
      <c r="A1858">
        <v>458219</v>
      </c>
      <c r="B1858" t="s">
        <v>19965</v>
      </c>
      <c r="C1858" t="s">
        <v>19966</v>
      </c>
      <c r="D1858">
        <v>1</v>
      </c>
      <c r="F1858" s="126"/>
      <c r="G1858" s="7">
        <v>0</v>
      </c>
      <c r="H1858" s="7">
        <v>0</v>
      </c>
      <c r="I1858" s="7">
        <v>0</v>
      </c>
      <c r="J1858" s="7">
        <v>0</v>
      </c>
      <c r="K1858" s="3">
        <f t="shared" si="69"/>
        <v>0</v>
      </c>
      <c r="L1858" s="3"/>
      <c r="M1858" s="3">
        <f t="shared" si="70"/>
        <v>0</v>
      </c>
      <c r="N1858" s="7"/>
      <c r="O1858" s="5"/>
      <c r="S1858" s="6"/>
    </row>
    <row r="1859" spans="1:19" customFormat="1" x14ac:dyDescent="0.45">
      <c r="A1859">
        <v>458250</v>
      </c>
      <c r="B1859" t="s">
        <v>19967</v>
      </c>
      <c r="C1859" t="s">
        <v>19968</v>
      </c>
      <c r="D1859">
        <v>0</v>
      </c>
      <c r="E1859" t="s">
        <v>16561</v>
      </c>
      <c r="F1859" s="126"/>
      <c r="G1859" s="7">
        <v>0</v>
      </c>
      <c r="H1859" s="7">
        <v>0</v>
      </c>
      <c r="I1859" s="7">
        <v>0</v>
      </c>
      <c r="J1859" s="7">
        <v>0</v>
      </c>
      <c r="K1859" s="3">
        <f t="shared" si="69"/>
        <v>0</v>
      </c>
      <c r="L1859" s="3"/>
      <c r="M1859" s="3">
        <f t="shared" si="70"/>
        <v>0</v>
      </c>
      <c r="N1859" s="7"/>
      <c r="O1859" s="5"/>
      <c r="S1859" s="6"/>
    </row>
    <row r="1860" spans="1:19" customFormat="1" x14ac:dyDescent="0.45">
      <c r="A1860">
        <v>458258</v>
      </c>
      <c r="B1860" t="s">
        <v>19969</v>
      </c>
      <c r="C1860" t="s">
        <v>19970</v>
      </c>
      <c r="D1860">
        <v>1</v>
      </c>
      <c r="F1860" s="126"/>
      <c r="G1860" s="7">
        <v>0</v>
      </c>
      <c r="H1860" s="7">
        <v>0</v>
      </c>
      <c r="I1860" s="7">
        <v>0</v>
      </c>
      <c r="J1860" s="7">
        <v>0</v>
      </c>
      <c r="K1860" s="3">
        <f t="shared" si="69"/>
        <v>0</v>
      </c>
      <c r="L1860" s="3"/>
      <c r="M1860" s="3">
        <f t="shared" si="70"/>
        <v>0</v>
      </c>
      <c r="O1860" s="5"/>
      <c r="S1860" s="6"/>
    </row>
    <row r="1861" spans="1:19" customFormat="1" x14ac:dyDescent="0.45">
      <c r="A1861">
        <v>458272</v>
      </c>
      <c r="B1861" t="s">
        <v>19971</v>
      </c>
      <c r="C1861" t="s">
        <v>19972</v>
      </c>
      <c r="D1861">
        <v>1</v>
      </c>
      <c r="F1861" s="126"/>
      <c r="G1861" s="7">
        <v>0</v>
      </c>
      <c r="H1861" s="7">
        <v>0</v>
      </c>
      <c r="I1861" s="7">
        <v>0</v>
      </c>
      <c r="J1861" s="7">
        <v>0</v>
      </c>
      <c r="K1861" s="3">
        <f t="shared" si="69"/>
        <v>0</v>
      </c>
      <c r="L1861" s="3"/>
      <c r="M1861" s="3">
        <f t="shared" si="70"/>
        <v>0</v>
      </c>
      <c r="O1861" s="5"/>
      <c r="S1861" s="6"/>
    </row>
    <row r="1862" spans="1:19" customFormat="1" x14ac:dyDescent="0.45">
      <c r="A1862">
        <v>458283</v>
      </c>
      <c r="B1862" t="s">
        <v>19973</v>
      </c>
      <c r="C1862" t="s">
        <v>16331</v>
      </c>
      <c r="D1862">
        <v>4</v>
      </c>
      <c r="E1862" t="s">
        <v>16331</v>
      </c>
      <c r="F1862" s="126"/>
      <c r="G1862" s="7">
        <v>0</v>
      </c>
      <c r="H1862" s="7">
        <v>0</v>
      </c>
      <c r="I1862" s="7">
        <v>0</v>
      </c>
      <c r="J1862" s="7">
        <v>0</v>
      </c>
      <c r="K1862" s="3">
        <f t="shared" si="69"/>
        <v>0</v>
      </c>
      <c r="L1862" s="3"/>
      <c r="M1862" s="3">
        <f t="shared" si="70"/>
        <v>0</v>
      </c>
      <c r="N1862" s="7"/>
      <c r="O1862" s="5"/>
      <c r="S1862" s="6"/>
    </row>
    <row r="1863" spans="1:19" customFormat="1" x14ac:dyDescent="0.45">
      <c r="A1863">
        <v>458349</v>
      </c>
      <c r="B1863" t="s">
        <v>19974</v>
      </c>
      <c r="C1863" t="s">
        <v>19975</v>
      </c>
      <c r="D1863">
        <v>6</v>
      </c>
      <c r="F1863" s="126"/>
      <c r="G1863" s="7">
        <v>0</v>
      </c>
      <c r="H1863" s="7">
        <v>0</v>
      </c>
      <c r="I1863" s="7">
        <v>0</v>
      </c>
      <c r="J1863" s="7">
        <v>0</v>
      </c>
      <c r="K1863" s="3">
        <f t="shared" si="69"/>
        <v>0</v>
      </c>
      <c r="L1863" s="3"/>
      <c r="M1863" s="3">
        <f t="shared" si="70"/>
        <v>0</v>
      </c>
      <c r="O1863" s="5"/>
      <c r="S1863" s="6"/>
    </row>
    <row r="1864" spans="1:19" customFormat="1" x14ac:dyDescent="0.45">
      <c r="A1864">
        <v>458357</v>
      </c>
      <c r="B1864" t="s">
        <v>19976</v>
      </c>
      <c r="C1864" t="s">
        <v>16331</v>
      </c>
      <c r="D1864">
        <v>1</v>
      </c>
      <c r="E1864" t="s">
        <v>16331</v>
      </c>
      <c r="F1864" s="126"/>
      <c r="G1864" s="7">
        <v>0</v>
      </c>
      <c r="H1864" s="7">
        <v>0</v>
      </c>
      <c r="I1864" s="7">
        <v>0</v>
      </c>
      <c r="J1864" s="7">
        <v>0</v>
      </c>
      <c r="K1864" s="3">
        <f t="shared" si="69"/>
        <v>0</v>
      </c>
      <c r="L1864" s="3"/>
      <c r="M1864" s="3">
        <f t="shared" si="70"/>
        <v>0</v>
      </c>
      <c r="O1864" s="5"/>
      <c r="S1864" s="6"/>
    </row>
    <row r="1865" spans="1:19" customFormat="1" x14ac:dyDescent="0.45">
      <c r="A1865">
        <v>458361</v>
      </c>
      <c r="B1865" t="s">
        <v>19977</v>
      </c>
      <c r="C1865" t="s">
        <v>19978</v>
      </c>
      <c r="D1865">
        <v>10</v>
      </c>
      <c r="F1865" s="126"/>
      <c r="K1865" s="3">
        <f t="shared" si="69"/>
        <v>0</v>
      </c>
      <c r="L1865" s="3"/>
      <c r="M1865" s="3">
        <f t="shared" si="70"/>
        <v>0</v>
      </c>
      <c r="O1865" s="5"/>
      <c r="S1865" s="6"/>
    </row>
    <row r="1866" spans="1:19" customFormat="1" x14ac:dyDescent="0.45">
      <c r="A1866">
        <v>458363</v>
      </c>
      <c r="B1866" t="s">
        <v>19979</v>
      </c>
      <c r="C1866" t="s">
        <v>19980</v>
      </c>
      <c r="D1866">
        <v>3</v>
      </c>
      <c r="F1866" s="126"/>
      <c r="G1866" s="7">
        <v>0</v>
      </c>
      <c r="H1866" s="7">
        <v>0</v>
      </c>
      <c r="I1866" s="7">
        <v>0</v>
      </c>
      <c r="J1866" s="7">
        <v>0</v>
      </c>
      <c r="K1866" s="3">
        <f t="shared" si="69"/>
        <v>0</v>
      </c>
      <c r="L1866" s="3"/>
      <c r="M1866" s="3">
        <f t="shared" si="70"/>
        <v>0</v>
      </c>
      <c r="O1866" s="5"/>
      <c r="S1866" s="6"/>
    </row>
    <row r="1867" spans="1:19" customFormat="1" x14ac:dyDescent="0.45">
      <c r="A1867">
        <v>458414</v>
      </c>
      <c r="B1867" t="s">
        <v>19981</v>
      </c>
      <c r="C1867" t="s">
        <v>19982</v>
      </c>
      <c r="D1867">
        <v>3</v>
      </c>
      <c r="F1867" s="126"/>
      <c r="K1867" s="3">
        <f t="shared" si="69"/>
        <v>0</v>
      </c>
      <c r="L1867" s="3"/>
      <c r="M1867" s="3">
        <f t="shared" si="70"/>
        <v>0</v>
      </c>
      <c r="O1867" s="5"/>
      <c r="S1867" s="6"/>
    </row>
    <row r="1868" spans="1:19" customFormat="1" x14ac:dyDescent="0.45">
      <c r="A1868">
        <v>458421</v>
      </c>
      <c r="B1868" t="s">
        <v>19983</v>
      </c>
      <c r="C1868" s="2" t="s">
        <v>19984</v>
      </c>
      <c r="D1868">
        <v>50</v>
      </c>
      <c r="E1868" t="s">
        <v>16334</v>
      </c>
      <c r="F1868" s="126"/>
      <c r="G1868" s="3">
        <v>0</v>
      </c>
      <c r="H1868" s="3">
        <v>0</v>
      </c>
      <c r="I1868" s="3">
        <v>0</v>
      </c>
      <c r="J1868" s="3">
        <v>0</v>
      </c>
      <c r="K1868" s="3">
        <f t="shared" si="69"/>
        <v>0</v>
      </c>
      <c r="L1868" s="3"/>
      <c r="M1868" s="3">
        <f t="shared" si="70"/>
        <v>0</v>
      </c>
      <c r="O1868" s="5"/>
      <c r="S1868" s="6"/>
    </row>
    <row r="1869" spans="1:19" customFormat="1" x14ac:dyDescent="0.45">
      <c r="A1869">
        <v>458559</v>
      </c>
      <c r="B1869" t="s">
        <v>19985</v>
      </c>
      <c r="C1869" t="s">
        <v>19986</v>
      </c>
      <c r="D1869">
        <v>1</v>
      </c>
      <c r="F1869" s="126"/>
      <c r="G1869" s="7">
        <v>0</v>
      </c>
      <c r="H1869" s="7">
        <v>0</v>
      </c>
      <c r="I1869" s="7">
        <v>0</v>
      </c>
      <c r="J1869" s="7">
        <v>0</v>
      </c>
      <c r="K1869" s="3">
        <f t="shared" si="69"/>
        <v>0</v>
      </c>
      <c r="L1869" s="3"/>
      <c r="M1869" s="3">
        <f t="shared" si="70"/>
        <v>0</v>
      </c>
      <c r="O1869" s="5"/>
      <c r="S1869" s="6"/>
    </row>
    <row r="1870" spans="1:19" customFormat="1" x14ac:dyDescent="0.45">
      <c r="A1870">
        <v>458593</v>
      </c>
      <c r="B1870" t="s">
        <v>19987</v>
      </c>
      <c r="C1870" s="2" t="s">
        <v>19988</v>
      </c>
      <c r="D1870">
        <v>1</v>
      </c>
      <c r="F1870" s="126"/>
      <c r="G1870" s="3">
        <v>0</v>
      </c>
      <c r="H1870" s="3">
        <v>0</v>
      </c>
      <c r="I1870" s="3">
        <v>0</v>
      </c>
      <c r="J1870" s="3">
        <v>0</v>
      </c>
      <c r="K1870" s="3">
        <f t="shared" si="69"/>
        <v>0</v>
      </c>
      <c r="L1870" s="3"/>
      <c r="M1870" s="3">
        <f t="shared" si="70"/>
        <v>0</v>
      </c>
      <c r="O1870" s="5"/>
      <c r="S1870" s="6"/>
    </row>
    <row r="1871" spans="1:19" customFormat="1" x14ac:dyDescent="0.45">
      <c r="A1871">
        <v>458602</v>
      </c>
      <c r="B1871" t="s">
        <v>19989</v>
      </c>
      <c r="C1871" t="s">
        <v>19990</v>
      </c>
      <c r="D1871">
        <v>1</v>
      </c>
      <c r="F1871" s="126"/>
      <c r="G1871" s="7">
        <v>0</v>
      </c>
      <c r="H1871" s="7">
        <v>0</v>
      </c>
      <c r="I1871" s="7">
        <v>0</v>
      </c>
      <c r="J1871" s="7">
        <v>0</v>
      </c>
      <c r="K1871" s="3">
        <f t="shared" si="69"/>
        <v>0</v>
      </c>
      <c r="L1871" s="3"/>
      <c r="M1871" s="3">
        <f t="shared" si="70"/>
        <v>0</v>
      </c>
      <c r="O1871" s="5"/>
      <c r="S1871" s="6"/>
    </row>
    <row r="1872" spans="1:19" customFormat="1" x14ac:dyDescent="0.45">
      <c r="A1872">
        <v>458612</v>
      </c>
      <c r="B1872" t="s">
        <v>19991</v>
      </c>
      <c r="C1872" t="s">
        <v>19992</v>
      </c>
      <c r="D1872">
        <v>3</v>
      </c>
      <c r="F1872" s="126"/>
      <c r="G1872" s="7">
        <v>0</v>
      </c>
      <c r="H1872" s="7">
        <v>0</v>
      </c>
      <c r="I1872" s="7">
        <v>0</v>
      </c>
      <c r="J1872" s="7">
        <v>0</v>
      </c>
      <c r="K1872" s="3">
        <f t="shared" si="69"/>
        <v>0</v>
      </c>
      <c r="L1872" s="3"/>
      <c r="M1872" s="3">
        <f t="shared" si="70"/>
        <v>0</v>
      </c>
      <c r="O1872" s="5"/>
      <c r="S1872" s="6"/>
    </row>
    <row r="1873" spans="1:19" customFormat="1" x14ac:dyDescent="0.45">
      <c r="A1873">
        <v>458630</v>
      </c>
      <c r="B1873" t="s">
        <v>19993</v>
      </c>
      <c r="C1873" t="s">
        <v>19994</v>
      </c>
      <c r="D1873">
        <v>1</v>
      </c>
      <c r="F1873" s="126"/>
      <c r="G1873" s="7">
        <v>0</v>
      </c>
      <c r="H1873" s="7">
        <v>0</v>
      </c>
      <c r="I1873" s="7">
        <v>0</v>
      </c>
      <c r="J1873" s="7">
        <v>0</v>
      </c>
      <c r="K1873" s="3">
        <f t="shared" si="69"/>
        <v>0</v>
      </c>
      <c r="L1873" s="3"/>
      <c r="M1873" s="3">
        <f t="shared" si="70"/>
        <v>0</v>
      </c>
      <c r="O1873" s="5"/>
      <c r="S1873" s="6"/>
    </row>
    <row r="1874" spans="1:19" customFormat="1" x14ac:dyDescent="0.45">
      <c r="A1874">
        <v>458676</v>
      </c>
      <c r="B1874" t="s">
        <v>19995</v>
      </c>
      <c r="C1874" t="s">
        <v>19996</v>
      </c>
      <c r="D1874">
        <v>4</v>
      </c>
      <c r="F1874" s="126"/>
      <c r="G1874" s="3">
        <v>0</v>
      </c>
      <c r="H1874" s="3">
        <v>0</v>
      </c>
      <c r="I1874" s="3">
        <v>0</v>
      </c>
      <c r="J1874" s="3">
        <v>0</v>
      </c>
      <c r="K1874" s="3">
        <f t="shared" si="69"/>
        <v>0</v>
      </c>
      <c r="L1874" s="3"/>
      <c r="M1874" s="3">
        <f t="shared" si="70"/>
        <v>0</v>
      </c>
      <c r="O1874" s="5"/>
      <c r="S1874" s="6"/>
    </row>
    <row r="1875" spans="1:19" customFormat="1" x14ac:dyDescent="0.45">
      <c r="A1875">
        <v>458870</v>
      </c>
      <c r="B1875" t="s">
        <v>19997</v>
      </c>
      <c r="C1875" t="s">
        <v>19998</v>
      </c>
      <c r="D1875">
        <v>1</v>
      </c>
      <c r="F1875" s="126"/>
      <c r="G1875" s="7">
        <v>0</v>
      </c>
      <c r="H1875" s="7">
        <v>0</v>
      </c>
      <c r="I1875" s="7">
        <v>0</v>
      </c>
      <c r="J1875" s="7">
        <v>0</v>
      </c>
      <c r="K1875" s="3">
        <f t="shared" si="69"/>
        <v>0</v>
      </c>
      <c r="L1875" s="3"/>
      <c r="M1875" s="3">
        <f t="shared" si="70"/>
        <v>0</v>
      </c>
      <c r="O1875" s="5"/>
      <c r="S1875" s="6"/>
    </row>
    <row r="1876" spans="1:19" customFormat="1" x14ac:dyDescent="0.45">
      <c r="A1876">
        <v>458879</v>
      </c>
      <c r="B1876" t="s">
        <v>19999</v>
      </c>
      <c r="C1876" t="s">
        <v>20000</v>
      </c>
      <c r="D1876">
        <v>3</v>
      </c>
      <c r="F1876" s="126"/>
      <c r="G1876" s="3">
        <v>0</v>
      </c>
      <c r="H1876" s="3">
        <v>0</v>
      </c>
      <c r="I1876" s="3">
        <v>0</v>
      </c>
      <c r="J1876" s="3">
        <v>0</v>
      </c>
      <c r="K1876" s="3">
        <f t="shared" si="69"/>
        <v>0</v>
      </c>
      <c r="L1876" s="3"/>
      <c r="M1876" s="3">
        <f t="shared" si="70"/>
        <v>0</v>
      </c>
      <c r="O1876" s="5"/>
      <c r="S1876" s="6"/>
    </row>
    <row r="1877" spans="1:19" customFormat="1" x14ac:dyDescent="0.45">
      <c r="A1877">
        <v>458880</v>
      </c>
      <c r="B1877" t="s">
        <v>20001</v>
      </c>
      <c r="C1877" t="s">
        <v>20002</v>
      </c>
      <c r="D1877">
        <v>11</v>
      </c>
      <c r="E1877" t="s">
        <v>16334</v>
      </c>
      <c r="F1877" s="126"/>
      <c r="G1877" s="3">
        <v>0</v>
      </c>
      <c r="H1877" s="3">
        <v>0</v>
      </c>
      <c r="I1877" s="3">
        <v>0</v>
      </c>
      <c r="J1877" s="3">
        <v>0</v>
      </c>
      <c r="K1877" s="3">
        <f t="shared" si="69"/>
        <v>0</v>
      </c>
      <c r="L1877" s="3"/>
      <c r="M1877" s="3">
        <f t="shared" si="70"/>
        <v>0</v>
      </c>
      <c r="O1877" s="5"/>
      <c r="S1877" s="6"/>
    </row>
    <row r="1878" spans="1:19" customFormat="1" x14ac:dyDescent="0.45">
      <c r="A1878">
        <v>458913</v>
      </c>
      <c r="B1878" t="s">
        <v>20003</v>
      </c>
      <c r="C1878" t="s">
        <v>16331</v>
      </c>
      <c r="D1878">
        <v>1</v>
      </c>
      <c r="E1878" t="s">
        <v>16331</v>
      </c>
      <c r="F1878" s="126"/>
      <c r="G1878" s="7">
        <v>0</v>
      </c>
      <c r="H1878" s="7">
        <v>0</v>
      </c>
      <c r="I1878" s="7">
        <v>0</v>
      </c>
      <c r="J1878" s="7">
        <v>0</v>
      </c>
      <c r="K1878" s="3">
        <f t="shared" si="69"/>
        <v>0</v>
      </c>
      <c r="L1878" s="3"/>
      <c r="M1878" s="3">
        <f t="shared" si="70"/>
        <v>0</v>
      </c>
      <c r="O1878" s="5"/>
      <c r="S1878" s="6"/>
    </row>
    <row r="1879" spans="1:19" customFormat="1" x14ac:dyDescent="0.45">
      <c r="A1879">
        <v>458919</v>
      </c>
      <c r="B1879" t="s">
        <v>20004</v>
      </c>
      <c r="C1879" t="s">
        <v>16331</v>
      </c>
      <c r="D1879">
        <v>2</v>
      </c>
      <c r="E1879" t="s">
        <v>16331</v>
      </c>
      <c r="F1879" s="126"/>
      <c r="G1879" s="7">
        <v>0</v>
      </c>
      <c r="H1879" s="7">
        <v>0</v>
      </c>
      <c r="I1879" s="7">
        <v>0</v>
      </c>
      <c r="J1879" s="7">
        <v>0</v>
      </c>
      <c r="K1879" s="3">
        <f t="shared" si="69"/>
        <v>0</v>
      </c>
      <c r="L1879" s="3"/>
      <c r="M1879" s="3">
        <f t="shared" si="70"/>
        <v>0</v>
      </c>
      <c r="N1879" s="7"/>
      <c r="O1879" s="5"/>
      <c r="S1879" s="6"/>
    </row>
    <row r="1880" spans="1:19" customFormat="1" x14ac:dyDescent="0.45">
      <c r="A1880">
        <v>458953</v>
      </c>
      <c r="B1880" t="s">
        <v>20005</v>
      </c>
      <c r="C1880" t="s">
        <v>20006</v>
      </c>
      <c r="D1880">
        <v>2</v>
      </c>
      <c r="F1880" s="126"/>
      <c r="G1880" s="3">
        <v>0</v>
      </c>
      <c r="H1880" s="3">
        <v>0</v>
      </c>
      <c r="I1880" s="3">
        <v>0</v>
      </c>
      <c r="J1880" s="3">
        <v>0</v>
      </c>
      <c r="K1880" s="3">
        <f t="shared" si="69"/>
        <v>0</v>
      </c>
      <c r="L1880" s="3"/>
      <c r="M1880" s="3">
        <f t="shared" si="70"/>
        <v>0</v>
      </c>
      <c r="O1880" s="5"/>
      <c r="S1880" s="6"/>
    </row>
    <row r="1881" spans="1:19" customFormat="1" x14ac:dyDescent="0.45">
      <c r="A1881">
        <v>458970</v>
      </c>
      <c r="B1881" t="s">
        <v>20007</v>
      </c>
      <c r="C1881" t="s">
        <v>20008</v>
      </c>
      <c r="D1881">
        <v>2</v>
      </c>
      <c r="F1881" s="126"/>
      <c r="K1881" s="3">
        <f t="shared" si="69"/>
        <v>0</v>
      </c>
      <c r="L1881" s="3"/>
      <c r="M1881" s="3">
        <f t="shared" si="70"/>
        <v>0</v>
      </c>
      <c r="O1881" s="5"/>
      <c r="S1881" s="6"/>
    </row>
    <row r="1882" spans="1:19" customFormat="1" x14ac:dyDescent="0.45">
      <c r="A1882">
        <v>458979</v>
      </c>
      <c r="B1882" t="s">
        <v>20009</v>
      </c>
      <c r="C1882" t="s">
        <v>20010</v>
      </c>
      <c r="D1882">
        <v>2</v>
      </c>
      <c r="F1882" s="126"/>
      <c r="G1882" s="3">
        <v>0</v>
      </c>
      <c r="H1882" s="3">
        <v>0</v>
      </c>
      <c r="I1882" s="3">
        <v>0</v>
      </c>
      <c r="J1882" s="3">
        <v>0</v>
      </c>
      <c r="K1882" s="3">
        <f t="shared" si="69"/>
        <v>0</v>
      </c>
      <c r="L1882" s="3"/>
      <c r="M1882" s="3">
        <f t="shared" si="70"/>
        <v>0</v>
      </c>
      <c r="O1882" s="5"/>
      <c r="S1882" s="6"/>
    </row>
    <row r="1883" spans="1:19" customFormat="1" x14ac:dyDescent="0.45">
      <c r="A1883">
        <v>459004</v>
      </c>
      <c r="B1883" t="s">
        <v>20011</v>
      </c>
      <c r="C1883" t="s">
        <v>16331</v>
      </c>
      <c r="D1883">
        <v>1</v>
      </c>
      <c r="E1883" t="s">
        <v>16331</v>
      </c>
      <c r="F1883" s="126"/>
      <c r="G1883" s="7">
        <v>0</v>
      </c>
      <c r="H1883" s="7">
        <v>0</v>
      </c>
      <c r="I1883" s="7">
        <v>0</v>
      </c>
      <c r="J1883" s="7">
        <v>0</v>
      </c>
      <c r="K1883" s="3">
        <f t="shared" si="69"/>
        <v>0</v>
      </c>
      <c r="L1883" s="3"/>
      <c r="M1883" s="3">
        <f t="shared" si="70"/>
        <v>0</v>
      </c>
      <c r="O1883" s="5"/>
      <c r="S1883" s="6"/>
    </row>
    <row r="1884" spans="1:19" customFormat="1" x14ac:dyDescent="0.45">
      <c r="A1884">
        <v>459051</v>
      </c>
      <c r="B1884" t="s">
        <v>20012</v>
      </c>
      <c r="C1884" t="s">
        <v>20013</v>
      </c>
      <c r="D1884">
        <v>8</v>
      </c>
      <c r="F1884" s="126"/>
      <c r="G1884" s="7">
        <v>0</v>
      </c>
      <c r="H1884" s="7">
        <v>0</v>
      </c>
      <c r="I1884" s="7">
        <v>0</v>
      </c>
      <c r="J1884" s="7">
        <v>0</v>
      </c>
      <c r="K1884" s="3">
        <f t="shared" si="69"/>
        <v>0</v>
      </c>
      <c r="L1884" s="3"/>
      <c r="M1884" s="3">
        <f t="shared" si="70"/>
        <v>0</v>
      </c>
      <c r="N1884" s="7"/>
      <c r="O1884" s="5"/>
      <c r="S1884" s="6"/>
    </row>
    <row r="1885" spans="1:19" customFormat="1" x14ac:dyDescent="0.45">
      <c r="A1885">
        <v>459178</v>
      </c>
      <c r="B1885" t="s">
        <v>20014</v>
      </c>
      <c r="C1885" t="s">
        <v>16331</v>
      </c>
      <c r="D1885">
        <v>1</v>
      </c>
      <c r="E1885" t="s">
        <v>16331</v>
      </c>
      <c r="F1885" s="126"/>
      <c r="G1885" s="7">
        <v>0</v>
      </c>
      <c r="H1885" s="7">
        <v>0</v>
      </c>
      <c r="I1885" s="7">
        <v>0</v>
      </c>
      <c r="J1885" s="7">
        <v>0</v>
      </c>
      <c r="K1885" s="3">
        <f t="shared" si="69"/>
        <v>0</v>
      </c>
      <c r="L1885" s="3"/>
      <c r="M1885" s="3">
        <f t="shared" si="70"/>
        <v>0</v>
      </c>
      <c r="O1885" s="5"/>
      <c r="S1885" s="6"/>
    </row>
    <row r="1886" spans="1:19" customFormat="1" x14ac:dyDescent="0.45">
      <c r="A1886">
        <v>459255</v>
      </c>
      <c r="B1886" t="s">
        <v>20015</v>
      </c>
      <c r="C1886" t="s">
        <v>20016</v>
      </c>
      <c r="D1886">
        <v>4</v>
      </c>
      <c r="F1886" s="126"/>
      <c r="G1886" s="7">
        <v>0</v>
      </c>
      <c r="H1886" s="7">
        <v>0</v>
      </c>
      <c r="I1886" s="7">
        <v>0</v>
      </c>
      <c r="J1886" s="7">
        <v>0</v>
      </c>
      <c r="K1886" s="3">
        <f t="shared" si="69"/>
        <v>0</v>
      </c>
      <c r="L1886" s="3"/>
      <c r="M1886" s="3">
        <f t="shared" si="70"/>
        <v>0</v>
      </c>
      <c r="N1886" s="7"/>
      <c r="O1886" s="5"/>
      <c r="S1886" s="6"/>
    </row>
    <row r="1887" spans="1:19" customFormat="1" x14ac:dyDescent="0.45">
      <c r="A1887">
        <v>459256</v>
      </c>
      <c r="B1887" t="s">
        <v>20017</v>
      </c>
      <c r="C1887" t="s">
        <v>20018</v>
      </c>
      <c r="D1887">
        <v>5</v>
      </c>
      <c r="F1887" s="126"/>
      <c r="G1887" s="3">
        <v>0</v>
      </c>
      <c r="H1887" s="3">
        <v>0</v>
      </c>
      <c r="I1887" s="3">
        <v>0</v>
      </c>
      <c r="J1887" s="3">
        <v>0</v>
      </c>
      <c r="K1887" s="3">
        <f t="shared" si="69"/>
        <v>0</v>
      </c>
      <c r="L1887" s="3"/>
      <c r="M1887" s="3">
        <f t="shared" si="70"/>
        <v>0</v>
      </c>
      <c r="O1887" s="5"/>
      <c r="S1887" s="6"/>
    </row>
    <row r="1888" spans="1:19" customFormat="1" x14ac:dyDescent="0.45">
      <c r="A1888">
        <v>459324</v>
      </c>
      <c r="B1888" t="s">
        <v>20019</v>
      </c>
      <c r="C1888" t="s">
        <v>20020</v>
      </c>
      <c r="D1888">
        <v>7</v>
      </c>
      <c r="F1888" s="126"/>
      <c r="G1888" s="7">
        <v>0</v>
      </c>
      <c r="H1888" s="7">
        <v>0</v>
      </c>
      <c r="I1888" s="7">
        <v>0</v>
      </c>
      <c r="J1888" s="7">
        <v>0</v>
      </c>
      <c r="K1888" s="3">
        <f t="shared" si="69"/>
        <v>0</v>
      </c>
      <c r="L1888" s="3"/>
      <c r="M1888" s="3">
        <f t="shared" si="70"/>
        <v>0</v>
      </c>
      <c r="O1888" s="5"/>
      <c r="S1888" s="6"/>
    </row>
    <row r="1889" spans="1:22" customFormat="1" x14ac:dyDescent="0.45">
      <c r="A1889">
        <v>459336</v>
      </c>
      <c r="B1889" t="s">
        <v>20021</v>
      </c>
      <c r="C1889" t="s">
        <v>20022</v>
      </c>
      <c r="D1889">
        <v>2</v>
      </c>
      <c r="F1889" s="126"/>
      <c r="G1889" s="7"/>
      <c r="H1889" s="3"/>
      <c r="I1889" s="3"/>
      <c r="K1889" s="3">
        <f t="shared" si="69"/>
        <v>0</v>
      </c>
      <c r="L1889" s="3"/>
      <c r="M1889" s="3">
        <f t="shared" si="70"/>
        <v>0</v>
      </c>
      <c r="O1889" s="5"/>
      <c r="S1889" s="6"/>
    </row>
    <row r="1890" spans="1:22" customFormat="1" x14ac:dyDescent="0.45">
      <c r="A1890">
        <v>459445</v>
      </c>
      <c r="B1890" t="s">
        <v>20023</v>
      </c>
      <c r="C1890" t="s">
        <v>20024</v>
      </c>
      <c r="D1890">
        <v>1</v>
      </c>
      <c r="F1890" s="126"/>
      <c r="G1890" s="7">
        <v>0</v>
      </c>
      <c r="H1890" s="7">
        <v>0</v>
      </c>
      <c r="I1890" s="7">
        <v>0</v>
      </c>
      <c r="J1890" s="7">
        <v>0</v>
      </c>
      <c r="K1890" s="3">
        <f t="shared" si="69"/>
        <v>0</v>
      </c>
      <c r="L1890" s="3"/>
      <c r="M1890" s="3">
        <f t="shared" si="70"/>
        <v>0</v>
      </c>
      <c r="N1890" s="7"/>
      <c r="O1890" s="5"/>
      <c r="S1890" s="6"/>
    </row>
    <row r="1891" spans="1:22" x14ac:dyDescent="0.45">
      <c r="A1891" s="124">
        <v>402217</v>
      </c>
      <c r="B1891" s="124" t="s">
        <v>20025</v>
      </c>
      <c r="C1891" s="125" t="s">
        <v>20026</v>
      </c>
      <c r="D1891" s="124">
        <v>4</v>
      </c>
      <c r="E1891" s="124" t="s">
        <v>16334</v>
      </c>
      <c r="F1891" s="126">
        <v>1.6999999999999999E-3</v>
      </c>
      <c r="G1891" s="126">
        <v>0.02</v>
      </c>
      <c r="H1891" s="126">
        <v>7.4999999999999997E-3</v>
      </c>
      <c r="I1891" s="127">
        <v>0</v>
      </c>
      <c r="J1891" s="127">
        <v>0</v>
      </c>
      <c r="K1891" s="126">
        <f t="shared" si="69"/>
        <v>2.75E-2</v>
      </c>
      <c r="L1891" s="3"/>
      <c r="M1891" s="126">
        <f t="shared" si="70"/>
        <v>2.92E-2</v>
      </c>
      <c r="O1891" s="125" t="s">
        <v>20027</v>
      </c>
      <c r="P1891" s="128" t="s">
        <v>26918</v>
      </c>
      <c r="Q1891" s="130">
        <f>44801+1912114</f>
        <v>1956915</v>
      </c>
      <c r="R1891" s="124" t="s">
        <v>16348</v>
      </c>
      <c r="S1891" s="130">
        <v>1629526</v>
      </c>
      <c r="T1891" s="129">
        <f>S1891/Q1891</f>
        <v>0.83270147144868323</v>
      </c>
      <c r="V1891" s="125" t="s">
        <v>20028</v>
      </c>
    </row>
    <row r="1892" spans="1:22" customFormat="1" x14ac:dyDescent="0.45">
      <c r="A1892">
        <v>459533</v>
      </c>
      <c r="B1892" t="s">
        <v>20029</v>
      </c>
      <c r="C1892" t="s">
        <v>20030</v>
      </c>
      <c r="D1892">
        <v>2</v>
      </c>
      <c r="F1892" s="126"/>
      <c r="G1892" s="3">
        <v>0</v>
      </c>
      <c r="H1892" s="3">
        <v>0</v>
      </c>
      <c r="I1892" s="3">
        <v>0</v>
      </c>
      <c r="J1892" s="3">
        <v>0</v>
      </c>
      <c r="K1892" s="3">
        <f t="shared" si="69"/>
        <v>0</v>
      </c>
      <c r="L1892" s="3"/>
      <c r="M1892" s="3">
        <f t="shared" si="70"/>
        <v>0</v>
      </c>
      <c r="O1892" s="5"/>
      <c r="S1892" s="6"/>
    </row>
    <row r="1893" spans="1:22" customFormat="1" x14ac:dyDescent="0.45">
      <c r="A1893">
        <v>459583</v>
      </c>
      <c r="B1893" t="s">
        <v>20031</v>
      </c>
      <c r="C1893" t="s">
        <v>20032</v>
      </c>
      <c r="D1893">
        <v>1</v>
      </c>
      <c r="F1893" s="126"/>
      <c r="G1893" s="7">
        <v>0</v>
      </c>
      <c r="H1893" s="7">
        <v>0</v>
      </c>
      <c r="I1893" s="7">
        <v>0</v>
      </c>
      <c r="J1893" s="7">
        <v>0</v>
      </c>
      <c r="K1893" s="3">
        <f t="shared" si="69"/>
        <v>0</v>
      </c>
      <c r="L1893" s="3"/>
      <c r="M1893" s="3">
        <f t="shared" si="70"/>
        <v>0</v>
      </c>
      <c r="O1893" s="5"/>
      <c r="S1893" s="6"/>
    </row>
    <row r="1894" spans="1:22" customFormat="1" x14ac:dyDescent="0.45">
      <c r="A1894">
        <v>459612</v>
      </c>
      <c r="B1894" t="s">
        <v>20033</v>
      </c>
      <c r="C1894" t="s">
        <v>20034</v>
      </c>
      <c r="D1894">
        <v>1</v>
      </c>
      <c r="F1894" s="126"/>
      <c r="G1894" s="7">
        <v>0</v>
      </c>
      <c r="H1894" s="7">
        <v>0</v>
      </c>
      <c r="I1894" s="7">
        <v>0</v>
      </c>
      <c r="J1894" s="7">
        <v>0</v>
      </c>
      <c r="K1894" s="3">
        <f t="shared" si="69"/>
        <v>0</v>
      </c>
      <c r="L1894" s="3"/>
      <c r="M1894" s="3">
        <f t="shared" si="70"/>
        <v>0</v>
      </c>
      <c r="O1894" s="5"/>
      <c r="S1894" s="6"/>
    </row>
    <row r="1895" spans="1:22" customFormat="1" x14ac:dyDescent="0.45">
      <c r="A1895">
        <v>459623</v>
      </c>
      <c r="B1895" t="s">
        <v>20035</v>
      </c>
      <c r="C1895" t="s">
        <v>20036</v>
      </c>
      <c r="D1895">
        <v>2</v>
      </c>
      <c r="F1895" s="126"/>
      <c r="G1895" s="7">
        <v>0</v>
      </c>
      <c r="H1895" s="7">
        <v>0</v>
      </c>
      <c r="I1895" s="7">
        <v>0</v>
      </c>
      <c r="J1895" s="7">
        <v>0</v>
      </c>
      <c r="K1895" s="3">
        <f t="shared" si="69"/>
        <v>0</v>
      </c>
      <c r="L1895" s="3"/>
      <c r="M1895" s="3">
        <f t="shared" si="70"/>
        <v>0</v>
      </c>
      <c r="O1895" s="5"/>
      <c r="S1895" s="6"/>
    </row>
    <row r="1896" spans="1:22" customFormat="1" x14ac:dyDescent="0.45">
      <c r="A1896">
        <v>459628</v>
      </c>
      <c r="B1896" t="s">
        <v>20037</v>
      </c>
      <c r="C1896" t="s">
        <v>16331</v>
      </c>
      <c r="D1896">
        <v>1</v>
      </c>
      <c r="E1896" t="s">
        <v>16331</v>
      </c>
      <c r="F1896" s="126"/>
      <c r="G1896" s="7">
        <v>0</v>
      </c>
      <c r="H1896" s="7">
        <v>0</v>
      </c>
      <c r="I1896" s="7">
        <v>0</v>
      </c>
      <c r="J1896" s="7">
        <v>0</v>
      </c>
      <c r="K1896" s="3">
        <f t="shared" si="69"/>
        <v>0</v>
      </c>
      <c r="L1896" s="3"/>
      <c r="M1896" s="3">
        <f t="shared" si="70"/>
        <v>0</v>
      </c>
      <c r="O1896" s="5"/>
      <c r="S1896" s="6"/>
    </row>
    <row r="1897" spans="1:22" customFormat="1" x14ac:dyDescent="0.45">
      <c r="A1897">
        <v>459631</v>
      </c>
      <c r="B1897" t="s">
        <v>20038</v>
      </c>
      <c r="C1897" t="s">
        <v>16331</v>
      </c>
      <c r="D1897">
        <v>9</v>
      </c>
      <c r="E1897" t="s">
        <v>16331</v>
      </c>
      <c r="F1897" s="126"/>
      <c r="G1897" s="7">
        <v>0</v>
      </c>
      <c r="H1897" s="7">
        <v>0</v>
      </c>
      <c r="I1897" s="7">
        <v>0</v>
      </c>
      <c r="J1897" s="7">
        <v>0</v>
      </c>
      <c r="K1897" s="3">
        <f t="shared" si="69"/>
        <v>0</v>
      </c>
      <c r="L1897" s="3"/>
      <c r="M1897" s="3">
        <f t="shared" si="70"/>
        <v>0</v>
      </c>
      <c r="O1897" s="5"/>
      <c r="S1897" s="6"/>
    </row>
    <row r="1898" spans="1:22" customFormat="1" x14ac:dyDescent="0.45">
      <c r="A1898">
        <v>459749</v>
      </c>
      <c r="B1898" t="s">
        <v>20039</v>
      </c>
      <c r="C1898" t="s">
        <v>20040</v>
      </c>
      <c r="D1898">
        <v>1</v>
      </c>
      <c r="F1898" s="126"/>
      <c r="G1898" s="7">
        <v>0</v>
      </c>
      <c r="H1898" s="7">
        <v>0</v>
      </c>
      <c r="I1898" s="7">
        <v>0</v>
      </c>
      <c r="J1898" s="7">
        <v>0</v>
      </c>
      <c r="K1898" s="3">
        <f t="shared" si="69"/>
        <v>0</v>
      </c>
      <c r="L1898" s="3"/>
      <c r="M1898" s="3">
        <f t="shared" si="70"/>
        <v>0</v>
      </c>
      <c r="O1898" s="5"/>
      <c r="S1898" s="6"/>
    </row>
    <row r="1899" spans="1:22" customFormat="1" x14ac:dyDescent="0.45">
      <c r="A1899">
        <v>459771</v>
      </c>
      <c r="B1899" t="s">
        <v>20041</v>
      </c>
      <c r="C1899" t="s">
        <v>20042</v>
      </c>
      <c r="D1899">
        <v>6</v>
      </c>
      <c r="F1899" s="126"/>
      <c r="G1899" s="7">
        <v>0</v>
      </c>
      <c r="H1899" s="7">
        <v>0</v>
      </c>
      <c r="I1899" s="7">
        <v>0</v>
      </c>
      <c r="J1899" s="7">
        <v>0</v>
      </c>
      <c r="K1899" s="3">
        <f t="shared" si="69"/>
        <v>0</v>
      </c>
      <c r="L1899" s="3"/>
      <c r="M1899" s="3">
        <f t="shared" si="70"/>
        <v>0</v>
      </c>
      <c r="O1899" s="5"/>
      <c r="S1899" s="6"/>
    </row>
    <row r="1900" spans="1:22" customFormat="1" x14ac:dyDescent="0.45">
      <c r="A1900">
        <v>459776</v>
      </c>
      <c r="B1900" t="s">
        <v>20043</v>
      </c>
      <c r="C1900" t="s">
        <v>16331</v>
      </c>
      <c r="D1900">
        <v>2</v>
      </c>
      <c r="E1900" t="s">
        <v>16331</v>
      </c>
      <c r="F1900" s="126"/>
      <c r="G1900" s="7">
        <v>0</v>
      </c>
      <c r="H1900" s="7">
        <v>0</v>
      </c>
      <c r="I1900" s="7">
        <v>0</v>
      </c>
      <c r="J1900" s="7">
        <v>0</v>
      </c>
      <c r="K1900" s="3">
        <f t="shared" si="69"/>
        <v>0</v>
      </c>
      <c r="L1900" s="3"/>
      <c r="M1900" s="3">
        <f t="shared" si="70"/>
        <v>0</v>
      </c>
      <c r="O1900" s="5"/>
      <c r="S1900" s="6"/>
    </row>
    <row r="1901" spans="1:22" customFormat="1" x14ac:dyDescent="0.45">
      <c r="A1901">
        <v>459794</v>
      </c>
      <c r="B1901" t="s">
        <v>20044</v>
      </c>
      <c r="C1901" t="s">
        <v>16331</v>
      </c>
      <c r="D1901">
        <v>1</v>
      </c>
      <c r="E1901" t="s">
        <v>16331</v>
      </c>
      <c r="F1901" s="126"/>
      <c r="G1901" s="7">
        <v>0</v>
      </c>
      <c r="H1901" s="7">
        <v>0</v>
      </c>
      <c r="I1901" s="7">
        <v>0</v>
      </c>
      <c r="J1901" s="7">
        <v>0</v>
      </c>
      <c r="K1901" s="3">
        <f t="shared" si="69"/>
        <v>0</v>
      </c>
      <c r="L1901" s="3"/>
      <c r="M1901" s="3">
        <f t="shared" si="70"/>
        <v>0</v>
      </c>
      <c r="O1901" s="5"/>
      <c r="S1901" s="6"/>
    </row>
    <row r="1902" spans="1:22" customFormat="1" x14ac:dyDescent="0.45">
      <c r="A1902">
        <v>459871</v>
      </c>
      <c r="B1902" t="s">
        <v>20045</v>
      </c>
      <c r="C1902" t="s">
        <v>16331</v>
      </c>
      <c r="D1902">
        <v>2</v>
      </c>
      <c r="E1902" t="s">
        <v>16331</v>
      </c>
      <c r="F1902" s="126"/>
      <c r="G1902" s="7">
        <v>0</v>
      </c>
      <c r="H1902" s="7">
        <v>0</v>
      </c>
      <c r="I1902" s="7">
        <v>0</v>
      </c>
      <c r="J1902" s="7">
        <v>0</v>
      </c>
      <c r="K1902" s="3">
        <f t="shared" si="69"/>
        <v>0</v>
      </c>
      <c r="L1902" s="3"/>
      <c r="M1902" s="3">
        <f t="shared" si="70"/>
        <v>0</v>
      </c>
      <c r="O1902" s="5"/>
      <c r="S1902" s="6"/>
    </row>
    <row r="1903" spans="1:22" customFormat="1" x14ac:dyDescent="0.45">
      <c r="A1903">
        <v>459969</v>
      </c>
      <c r="B1903" t="s">
        <v>20046</v>
      </c>
      <c r="C1903" t="s">
        <v>20047</v>
      </c>
      <c r="D1903">
        <v>2</v>
      </c>
      <c r="F1903" s="126"/>
      <c r="G1903" s="7">
        <v>0</v>
      </c>
      <c r="H1903" s="7">
        <v>0</v>
      </c>
      <c r="I1903" s="7">
        <v>0</v>
      </c>
      <c r="J1903" s="7">
        <v>0</v>
      </c>
      <c r="K1903" s="3">
        <f t="shared" si="69"/>
        <v>0</v>
      </c>
      <c r="L1903" s="3"/>
      <c r="M1903" s="3">
        <f t="shared" si="70"/>
        <v>0</v>
      </c>
      <c r="N1903" s="7"/>
      <c r="O1903" s="5"/>
      <c r="S1903" s="6"/>
    </row>
    <row r="1904" spans="1:22" customFormat="1" x14ac:dyDescent="0.45">
      <c r="A1904">
        <v>460001</v>
      </c>
      <c r="B1904" t="s">
        <v>20048</v>
      </c>
      <c r="C1904" t="s">
        <v>20049</v>
      </c>
      <c r="D1904">
        <v>2</v>
      </c>
      <c r="F1904" s="126"/>
      <c r="G1904" s="3">
        <v>0</v>
      </c>
      <c r="H1904" s="3">
        <v>0</v>
      </c>
      <c r="I1904" s="3">
        <v>0</v>
      </c>
      <c r="J1904" s="3">
        <v>0</v>
      </c>
      <c r="K1904" s="3">
        <f t="shared" si="69"/>
        <v>0</v>
      </c>
      <c r="L1904" s="3"/>
      <c r="M1904" s="3">
        <f t="shared" si="70"/>
        <v>0</v>
      </c>
      <c r="O1904" s="5"/>
      <c r="S1904" s="6"/>
    </row>
    <row r="1905" spans="1:22" customFormat="1" x14ac:dyDescent="0.45">
      <c r="A1905">
        <v>460024</v>
      </c>
      <c r="B1905" t="s">
        <v>20050</v>
      </c>
      <c r="C1905" t="s">
        <v>16331</v>
      </c>
      <c r="D1905">
        <v>0</v>
      </c>
      <c r="E1905" t="s">
        <v>16331</v>
      </c>
      <c r="F1905" s="126"/>
      <c r="G1905" s="7">
        <v>0</v>
      </c>
      <c r="H1905" s="7">
        <v>0</v>
      </c>
      <c r="I1905" s="7">
        <v>0</v>
      </c>
      <c r="J1905" s="7">
        <v>0</v>
      </c>
      <c r="K1905" s="3">
        <f t="shared" ref="K1905:K1938" si="71">SUM(G1905:J1905)</f>
        <v>0</v>
      </c>
      <c r="L1905" s="3"/>
      <c r="M1905" s="3">
        <f t="shared" ref="M1905:M1938" si="72">K1905+F1905</f>
        <v>0</v>
      </c>
      <c r="O1905" s="5"/>
      <c r="S1905" s="6"/>
    </row>
    <row r="1906" spans="1:22" customFormat="1" x14ac:dyDescent="0.45">
      <c r="A1906">
        <v>460028</v>
      </c>
      <c r="B1906" t="s">
        <v>20051</v>
      </c>
      <c r="C1906" t="s">
        <v>16331</v>
      </c>
      <c r="D1906">
        <v>1</v>
      </c>
      <c r="E1906" t="s">
        <v>16331</v>
      </c>
      <c r="F1906" s="126"/>
      <c r="G1906" s="7">
        <v>0</v>
      </c>
      <c r="H1906" s="7">
        <v>0</v>
      </c>
      <c r="I1906" s="7">
        <v>0</v>
      </c>
      <c r="J1906" s="7">
        <v>0</v>
      </c>
      <c r="K1906" s="3">
        <f t="shared" si="71"/>
        <v>0</v>
      </c>
      <c r="L1906" s="3"/>
      <c r="M1906" s="3">
        <f t="shared" si="72"/>
        <v>0</v>
      </c>
      <c r="O1906" s="5"/>
      <c r="S1906" s="6"/>
    </row>
    <row r="1907" spans="1:22" customFormat="1" x14ac:dyDescent="0.45">
      <c r="A1907">
        <v>460046</v>
      </c>
      <c r="B1907" t="s">
        <v>20052</v>
      </c>
      <c r="C1907" t="s">
        <v>16331</v>
      </c>
      <c r="D1907">
        <v>1</v>
      </c>
      <c r="E1907" t="s">
        <v>16331</v>
      </c>
      <c r="F1907" s="126"/>
      <c r="G1907" s="7">
        <v>0</v>
      </c>
      <c r="H1907" s="7">
        <v>0</v>
      </c>
      <c r="I1907" s="7">
        <v>0</v>
      </c>
      <c r="J1907" s="7">
        <v>0</v>
      </c>
      <c r="K1907" s="3">
        <f t="shared" si="71"/>
        <v>0</v>
      </c>
      <c r="L1907" s="3"/>
      <c r="M1907" s="3">
        <f t="shared" si="72"/>
        <v>0</v>
      </c>
      <c r="O1907" s="5"/>
      <c r="S1907" s="6"/>
    </row>
    <row r="1908" spans="1:22" customFormat="1" x14ac:dyDescent="0.45">
      <c r="A1908">
        <v>460094</v>
      </c>
      <c r="B1908" t="s">
        <v>20053</v>
      </c>
      <c r="C1908" t="s">
        <v>20054</v>
      </c>
      <c r="D1908">
        <v>3</v>
      </c>
      <c r="F1908" s="126"/>
      <c r="G1908" s="49"/>
      <c r="H1908" s="46"/>
      <c r="I1908" s="46"/>
      <c r="J1908" s="46"/>
      <c r="K1908" s="3">
        <f t="shared" si="71"/>
        <v>0</v>
      </c>
      <c r="L1908" s="3"/>
      <c r="M1908" s="3">
        <f t="shared" si="72"/>
        <v>0</v>
      </c>
      <c r="O1908" s="5"/>
      <c r="S1908" s="6"/>
    </row>
    <row r="1909" spans="1:22" customFormat="1" x14ac:dyDescent="0.45">
      <c r="A1909">
        <v>460190</v>
      </c>
      <c r="B1909" t="s">
        <v>20055</v>
      </c>
      <c r="C1909" t="s">
        <v>16331</v>
      </c>
      <c r="D1909">
        <v>0</v>
      </c>
      <c r="E1909" t="s">
        <v>16331</v>
      </c>
      <c r="F1909" s="126"/>
      <c r="G1909" s="7">
        <v>0</v>
      </c>
      <c r="H1909" s="7">
        <v>0</v>
      </c>
      <c r="I1909" s="7">
        <v>0</v>
      </c>
      <c r="J1909" s="7">
        <v>0</v>
      </c>
      <c r="K1909" s="3">
        <f t="shared" si="71"/>
        <v>0</v>
      </c>
      <c r="L1909" s="3"/>
      <c r="M1909" s="3">
        <f t="shared" si="72"/>
        <v>0</v>
      </c>
      <c r="O1909" s="5"/>
      <c r="S1909" s="6"/>
    </row>
    <row r="1910" spans="1:22" customFormat="1" x14ac:dyDescent="0.45">
      <c r="A1910">
        <v>460195</v>
      </c>
      <c r="B1910" t="s">
        <v>20056</v>
      </c>
      <c r="C1910" t="s">
        <v>20057</v>
      </c>
      <c r="D1910">
        <v>7</v>
      </c>
      <c r="F1910" s="126"/>
      <c r="G1910" s="3">
        <v>0</v>
      </c>
      <c r="H1910" s="3">
        <v>0</v>
      </c>
      <c r="I1910" s="3">
        <v>0</v>
      </c>
      <c r="J1910" s="3">
        <v>0</v>
      </c>
      <c r="K1910" s="3">
        <f t="shared" si="71"/>
        <v>0</v>
      </c>
      <c r="L1910" s="3"/>
      <c r="M1910" s="3">
        <f t="shared" si="72"/>
        <v>0</v>
      </c>
      <c r="O1910" s="5"/>
      <c r="S1910" s="6"/>
    </row>
    <row r="1911" spans="1:22" customFormat="1" x14ac:dyDescent="0.45">
      <c r="A1911">
        <v>460215</v>
      </c>
      <c r="B1911" t="s">
        <v>20058</v>
      </c>
      <c r="C1911" t="s">
        <v>16331</v>
      </c>
      <c r="D1911">
        <v>1</v>
      </c>
      <c r="E1911" t="s">
        <v>16331</v>
      </c>
      <c r="F1911" s="126"/>
      <c r="K1911" s="3">
        <f t="shared" si="71"/>
        <v>0</v>
      </c>
      <c r="L1911" s="3"/>
      <c r="M1911" s="3">
        <f t="shared" si="72"/>
        <v>0</v>
      </c>
      <c r="O1911" s="5"/>
      <c r="S1911" s="6"/>
    </row>
    <row r="1912" spans="1:22" customFormat="1" x14ac:dyDescent="0.45">
      <c r="A1912">
        <v>460236</v>
      </c>
      <c r="B1912" t="s">
        <v>20059</v>
      </c>
      <c r="C1912" t="s">
        <v>16331</v>
      </c>
      <c r="D1912">
        <v>1</v>
      </c>
      <c r="E1912" t="s">
        <v>16331</v>
      </c>
      <c r="F1912" s="126"/>
      <c r="G1912" s="7">
        <v>0</v>
      </c>
      <c r="H1912" s="7">
        <v>0</v>
      </c>
      <c r="I1912" s="7">
        <v>0</v>
      </c>
      <c r="J1912" s="7">
        <v>0</v>
      </c>
      <c r="K1912" s="3">
        <f t="shared" si="71"/>
        <v>0</v>
      </c>
      <c r="L1912" s="3"/>
      <c r="M1912" s="3">
        <f t="shared" si="72"/>
        <v>0</v>
      </c>
      <c r="O1912" s="5"/>
      <c r="S1912" s="6"/>
    </row>
    <row r="1913" spans="1:22" customFormat="1" x14ac:dyDescent="0.45">
      <c r="A1913">
        <v>460399</v>
      </c>
      <c r="B1913" t="s">
        <v>20060</v>
      </c>
      <c r="C1913" t="s">
        <v>20061</v>
      </c>
      <c r="D1913">
        <v>21</v>
      </c>
      <c r="F1913" s="126"/>
      <c r="G1913" s="7">
        <v>0</v>
      </c>
      <c r="H1913" s="7">
        <v>0</v>
      </c>
      <c r="I1913" s="7">
        <v>0</v>
      </c>
      <c r="J1913" s="7">
        <v>0</v>
      </c>
      <c r="K1913" s="3">
        <f t="shared" si="71"/>
        <v>0</v>
      </c>
      <c r="L1913" s="3"/>
      <c r="M1913" s="3">
        <f t="shared" si="72"/>
        <v>0</v>
      </c>
      <c r="O1913" s="5"/>
      <c r="S1913" s="6"/>
    </row>
    <row r="1914" spans="1:22" customFormat="1" x14ac:dyDescent="0.45">
      <c r="A1914">
        <v>460421</v>
      </c>
      <c r="B1914" t="s">
        <v>20062</v>
      </c>
      <c r="C1914" t="s">
        <v>20063</v>
      </c>
      <c r="D1914">
        <v>93</v>
      </c>
      <c r="E1914" t="s">
        <v>16334</v>
      </c>
      <c r="F1914" s="126"/>
      <c r="G1914" s="7">
        <v>0</v>
      </c>
      <c r="H1914" s="7">
        <v>0</v>
      </c>
      <c r="I1914" s="7">
        <v>0</v>
      </c>
      <c r="J1914" s="7">
        <v>0</v>
      </c>
      <c r="K1914" s="3">
        <f t="shared" si="71"/>
        <v>0</v>
      </c>
      <c r="L1914" s="3"/>
      <c r="M1914" s="3">
        <f t="shared" si="72"/>
        <v>0</v>
      </c>
      <c r="O1914" s="5"/>
      <c r="S1914" s="6"/>
    </row>
    <row r="1915" spans="1:22" customFormat="1" x14ac:dyDescent="0.45">
      <c r="A1915">
        <v>460457</v>
      </c>
      <c r="B1915" t="s">
        <v>20064</v>
      </c>
      <c r="C1915" t="s">
        <v>20065</v>
      </c>
      <c r="D1915">
        <v>1</v>
      </c>
      <c r="F1915" s="126"/>
      <c r="G1915" s="7">
        <v>0</v>
      </c>
      <c r="H1915" s="7">
        <v>0</v>
      </c>
      <c r="I1915" s="7">
        <v>0</v>
      </c>
      <c r="J1915" s="7">
        <v>0</v>
      </c>
      <c r="K1915" s="3">
        <f t="shared" si="71"/>
        <v>0</v>
      </c>
      <c r="L1915" s="3"/>
      <c r="M1915" s="3">
        <f t="shared" si="72"/>
        <v>0</v>
      </c>
      <c r="O1915" s="5"/>
      <c r="S1915" s="6"/>
    </row>
    <row r="1916" spans="1:22" customFormat="1" x14ac:dyDescent="0.45">
      <c r="A1916">
        <v>460510</v>
      </c>
      <c r="B1916" t="s">
        <v>20066</v>
      </c>
      <c r="C1916" t="s">
        <v>16331</v>
      </c>
      <c r="D1916">
        <v>4</v>
      </c>
      <c r="E1916" t="s">
        <v>16331</v>
      </c>
      <c r="F1916" s="126"/>
      <c r="G1916" s="7">
        <v>0</v>
      </c>
      <c r="H1916" s="7">
        <v>0</v>
      </c>
      <c r="I1916" s="7">
        <v>0</v>
      </c>
      <c r="J1916" s="7">
        <v>0</v>
      </c>
      <c r="K1916" s="3">
        <f t="shared" si="71"/>
        <v>0</v>
      </c>
      <c r="L1916" s="3"/>
      <c r="M1916" s="3">
        <f t="shared" si="72"/>
        <v>0</v>
      </c>
      <c r="O1916" s="5"/>
      <c r="S1916" s="6"/>
    </row>
    <row r="1917" spans="1:22" x14ac:dyDescent="0.45">
      <c r="A1917" s="124">
        <v>124255</v>
      </c>
      <c r="B1917" s="124" t="s">
        <v>20067</v>
      </c>
      <c r="C1917" s="124" t="s">
        <v>20068</v>
      </c>
      <c r="D1917" s="124">
        <v>173</v>
      </c>
      <c r="E1917" s="124" t="s">
        <v>16417</v>
      </c>
      <c r="F1917" s="126">
        <v>1.2200000000000001E-2</v>
      </c>
      <c r="G1917" s="126">
        <v>0.02</v>
      </c>
      <c r="H1917" s="126">
        <v>4.0000000000000001E-3</v>
      </c>
      <c r="I1917" s="127">
        <v>0</v>
      </c>
      <c r="J1917" s="127">
        <v>0</v>
      </c>
      <c r="K1917" s="126">
        <f t="shared" si="71"/>
        <v>2.4E-2</v>
      </c>
      <c r="L1917" s="3"/>
      <c r="M1917" s="126">
        <f t="shared" si="72"/>
        <v>3.6200000000000003E-2</v>
      </c>
      <c r="N1917" s="135" t="s">
        <v>20069</v>
      </c>
      <c r="O1917" s="125" t="s">
        <v>20070</v>
      </c>
      <c r="P1917" s="125" t="s">
        <v>20071</v>
      </c>
      <c r="Q1917" s="130">
        <f>12515000+9257000</f>
        <v>21772000</v>
      </c>
      <c r="R1917" s="130" t="s">
        <v>16348</v>
      </c>
      <c r="S1917" s="130">
        <v>12515000</v>
      </c>
      <c r="T1917" s="130">
        <f>S1917/Q1917</f>
        <v>0.57482087084328493</v>
      </c>
      <c r="U1917" s="130"/>
      <c r="V1917" s="125" t="s">
        <v>20072</v>
      </c>
    </row>
    <row r="1918" spans="1:22" customFormat="1" x14ac:dyDescent="0.45">
      <c r="A1918">
        <v>460655</v>
      </c>
      <c r="B1918" t="s">
        <v>20073</v>
      </c>
      <c r="C1918" t="s">
        <v>20074</v>
      </c>
      <c r="D1918">
        <v>2</v>
      </c>
      <c r="F1918" s="126"/>
      <c r="G1918" s="7">
        <v>0</v>
      </c>
      <c r="H1918" s="7">
        <v>0</v>
      </c>
      <c r="I1918" s="7">
        <v>0</v>
      </c>
      <c r="J1918" s="7">
        <v>0</v>
      </c>
      <c r="K1918" s="3">
        <f t="shared" si="71"/>
        <v>0</v>
      </c>
      <c r="L1918" s="3"/>
      <c r="M1918" s="3">
        <f t="shared" si="72"/>
        <v>0</v>
      </c>
      <c r="O1918" s="5"/>
      <c r="S1918" s="6"/>
    </row>
    <row r="1919" spans="1:22" customFormat="1" x14ac:dyDescent="0.45">
      <c r="A1919">
        <v>460692</v>
      </c>
      <c r="B1919" t="s">
        <v>20075</v>
      </c>
      <c r="C1919" t="s">
        <v>18231</v>
      </c>
      <c r="D1919">
        <v>5</v>
      </c>
      <c r="F1919" s="126"/>
      <c r="G1919" s="7">
        <v>0</v>
      </c>
      <c r="H1919" s="7">
        <v>0</v>
      </c>
      <c r="I1919" s="7">
        <v>0</v>
      </c>
      <c r="J1919" s="7">
        <v>0</v>
      </c>
      <c r="K1919" s="3">
        <f t="shared" si="71"/>
        <v>0</v>
      </c>
      <c r="L1919" s="3"/>
      <c r="M1919" s="3">
        <f t="shared" si="72"/>
        <v>0</v>
      </c>
      <c r="O1919" s="5"/>
      <c r="S1919" s="6"/>
    </row>
    <row r="1920" spans="1:22" customFormat="1" x14ac:dyDescent="0.45">
      <c r="A1920">
        <v>460696</v>
      </c>
      <c r="B1920" t="s">
        <v>20076</v>
      </c>
      <c r="C1920" t="s">
        <v>16331</v>
      </c>
      <c r="D1920">
        <v>1</v>
      </c>
      <c r="E1920" t="s">
        <v>16331</v>
      </c>
      <c r="F1920" s="126"/>
      <c r="G1920" s="7">
        <v>0</v>
      </c>
      <c r="H1920" s="7">
        <v>0</v>
      </c>
      <c r="I1920" s="7">
        <v>0</v>
      </c>
      <c r="J1920" s="7">
        <v>0</v>
      </c>
      <c r="K1920" s="3">
        <f t="shared" si="71"/>
        <v>0</v>
      </c>
      <c r="L1920" s="3"/>
      <c r="M1920" s="3">
        <f t="shared" si="72"/>
        <v>0</v>
      </c>
      <c r="O1920" s="5"/>
      <c r="S1920" s="6"/>
    </row>
    <row r="1921" spans="1:22" customFormat="1" x14ac:dyDescent="0.45">
      <c r="A1921">
        <v>460779</v>
      </c>
      <c r="B1921" t="s">
        <v>20077</v>
      </c>
      <c r="C1921" t="s">
        <v>20078</v>
      </c>
      <c r="D1921">
        <v>2</v>
      </c>
      <c r="F1921" s="126"/>
      <c r="G1921" s="7">
        <v>0</v>
      </c>
      <c r="H1921" s="7">
        <v>0</v>
      </c>
      <c r="I1921" s="7">
        <v>0</v>
      </c>
      <c r="J1921" s="7">
        <v>0</v>
      </c>
      <c r="K1921" s="3">
        <f t="shared" si="71"/>
        <v>0</v>
      </c>
      <c r="L1921" s="3"/>
      <c r="M1921" s="3">
        <f t="shared" si="72"/>
        <v>0</v>
      </c>
      <c r="O1921" s="5"/>
      <c r="S1921" s="6"/>
    </row>
    <row r="1922" spans="1:22" customFormat="1" x14ac:dyDescent="0.45">
      <c r="A1922">
        <v>460842</v>
      </c>
      <c r="B1922" t="s">
        <v>20079</v>
      </c>
      <c r="C1922" t="s">
        <v>20080</v>
      </c>
      <c r="D1922">
        <v>1</v>
      </c>
      <c r="F1922" s="126"/>
      <c r="G1922" s="7">
        <v>0</v>
      </c>
      <c r="H1922" s="7">
        <v>0</v>
      </c>
      <c r="I1922" s="7">
        <v>0</v>
      </c>
      <c r="J1922" s="7">
        <v>0</v>
      </c>
      <c r="K1922" s="3">
        <f t="shared" si="71"/>
        <v>0</v>
      </c>
      <c r="L1922" s="3"/>
      <c r="M1922" s="3">
        <f t="shared" si="72"/>
        <v>0</v>
      </c>
      <c r="O1922" s="5"/>
      <c r="S1922" s="6"/>
    </row>
    <row r="1923" spans="1:22" customFormat="1" x14ac:dyDescent="0.45">
      <c r="A1923">
        <v>460880</v>
      </c>
      <c r="B1923" t="s">
        <v>20081</v>
      </c>
      <c r="C1923" s="2" t="s">
        <v>20082</v>
      </c>
      <c r="D1923">
        <v>18</v>
      </c>
      <c r="E1923" t="s">
        <v>16417</v>
      </c>
      <c r="F1923" s="126"/>
      <c r="G1923" s="7">
        <v>0</v>
      </c>
      <c r="H1923" s="7">
        <v>0</v>
      </c>
      <c r="I1923" s="7" t="s">
        <v>20083</v>
      </c>
      <c r="J1923" s="7">
        <v>0</v>
      </c>
      <c r="K1923" s="3">
        <f t="shared" si="71"/>
        <v>0</v>
      </c>
      <c r="L1923" s="3"/>
      <c r="M1923" s="3">
        <f t="shared" si="72"/>
        <v>0</v>
      </c>
      <c r="O1923" s="5"/>
      <c r="S1923" s="6"/>
    </row>
    <row r="1924" spans="1:22" customFormat="1" x14ac:dyDescent="0.45">
      <c r="A1924">
        <v>460889</v>
      </c>
      <c r="B1924" t="s">
        <v>20084</v>
      </c>
      <c r="C1924" t="s">
        <v>20085</v>
      </c>
      <c r="D1924">
        <v>2</v>
      </c>
      <c r="F1924" s="126"/>
      <c r="G1924" s="7">
        <v>0</v>
      </c>
      <c r="H1924" s="7">
        <v>0</v>
      </c>
      <c r="I1924" s="7">
        <v>0</v>
      </c>
      <c r="J1924" s="7">
        <v>0</v>
      </c>
      <c r="K1924" s="3">
        <f t="shared" si="71"/>
        <v>0</v>
      </c>
      <c r="L1924" s="3"/>
      <c r="M1924" s="3">
        <f t="shared" si="72"/>
        <v>0</v>
      </c>
      <c r="O1924" s="5"/>
      <c r="S1924" s="6"/>
    </row>
    <row r="1925" spans="1:22" customFormat="1" x14ac:dyDescent="0.45">
      <c r="A1925">
        <v>460974</v>
      </c>
      <c r="B1925" t="s">
        <v>20086</v>
      </c>
      <c r="C1925" t="s">
        <v>20087</v>
      </c>
      <c r="D1925">
        <v>1</v>
      </c>
      <c r="F1925" s="126"/>
      <c r="G1925" s="7">
        <v>0</v>
      </c>
      <c r="H1925" s="7">
        <v>0</v>
      </c>
      <c r="I1925" s="7">
        <v>0</v>
      </c>
      <c r="J1925" s="7">
        <v>0</v>
      </c>
      <c r="K1925" s="3">
        <f t="shared" si="71"/>
        <v>0</v>
      </c>
      <c r="L1925" s="3"/>
      <c r="M1925" s="3">
        <f t="shared" si="72"/>
        <v>0</v>
      </c>
      <c r="O1925" s="5"/>
      <c r="S1925" s="6"/>
    </row>
    <row r="1926" spans="1:22" customFormat="1" x14ac:dyDescent="0.45">
      <c r="A1926">
        <v>461089</v>
      </c>
      <c r="B1926" t="s">
        <v>20088</v>
      </c>
      <c r="C1926" t="s">
        <v>20089</v>
      </c>
      <c r="D1926">
        <v>3</v>
      </c>
      <c r="F1926" s="126"/>
      <c r="G1926" s="3">
        <v>0</v>
      </c>
      <c r="H1926" s="3">
        <v>0</v>
      </c>
      <c r="I1926" s="3">
        <v>0</v>
      </c>
      <c r="J1926" s="3">
        <v>0</v>
      </c>
      <c r="K1926" s="3">
        <f t="shared" si="71"/>
        <v>0</v>
      </c>
      <c r="L1926" s="3"/>
      <c r="M1926" s="3">
        <f t="shared" si="72"/>
        <v>0</v>
      </c>
      <c r="O1926" s="5"/>
      <c r="S1926" s="6"/>
    </row>
    <row r="1927" spans="1:22" customFormat="1" x14ac:dyDescent="0.45">
      <c r="A1927">
        <v>461094</v>
      </c>
      <c r="B1927" t="s">
        <v>20090</v>
      </c>
      <c r="C1927" t="s">
        <v>16331</v>
      </c>
      <c r="D1927">
        <v>0</v>
      </c>
      <c r="E1927" t="s">
        <v>16331</v>
      </c>
      <c r="F1927" s="126"/>
      <c r="G1927" s="7">
        <v>0</v>
      </c>
      <c r="H1927" s="7">
        <v>0</v>
      </c>
      <c r="I1927" s="7">
        <v>0</v>
      </c>
      <c r="J1927" s="7">
        <v>0</v>
      </c>
      <c r="K1927" s="3">
        <f t="shared" si="71"/>
        <v>0</v>
      </c>
      <c r="L1927" s="3"/>
      <c r="M1927" s="3">
        <f t="shared" si="72"/>
        <v>0</v>
      </c>
      <c r="O1927" s="5"/>
      <c r="S1927" s="6"/>
    </row>
    <row r="1928" spans="1:22" customFormat="1" x14ac:dyDescent="0.45">
      <c r="A1928">
        <v>461356</v>
      </c>
      <c r="B1928" t="s">
        <v>20091</v>
      </c>
      <c r="C1928" t="s">
        <v>20092</v>
      </c>
      <c r="D1928">
        <v>2</v>
      </c>
      <c r="F1928" s="126"/>
      <c r="K1928" s="3">
        <f t="shared" si="71"/>
        <v>0</v>
      </c>
      <c r="L1928" s="3"/>
      <c r="M1928" s="3">
        <f t="shared" si="72"/>
        <v>0</v>
      </c>
      <c r="O1928" s="5"/>
      <c r="S1928" s="6"/>
    </row>
    <row r="1929" spans="1:22" customFormat="1" x14ac:dyDescent="0.45">
      <c r="A1929">
        <v>461408</v>
      </c>
      <c r="B1929" t="s">
        <v>20093</v>
      </c>
      <c r="C1929" t="s">
        <v>20094</v>
      </c>
      <c r="D1929">
        <v>2</v>
      </c>
      <c r="F1929" s="126"/>
      <c r="K1929" s="3">
        <f t="shared" si="71"/>
        <v>0</v>
      </c>
      <c r="L1929" s="3"/>
      <c r="M1929" s="3">
        <f t="shared" si="72"/>
        <v>0</v>
      </c>
      <c r="O1929" s="5"/>
      <c r="S1929" s="6"/>
    </row>
    <row r="1930" spans="1:22" customFormat="1" x14ac:dyDescent="0.45">
      <c r="A1930">
        <v>461598</v>
      </c>
      <c r="B1930" t="s">
        <v>20095</v>
      </c>
      <c r="C1930" t="s">
        <v>20096</v>
      </c>
      <c r="D1930">
        <v>604</v>
      </c>
      <c r="E1930" t="s">
        <v>16334</v>
      </c>
      <c r="F1930" s="126"/>
      <c r="G1930" s="3">
        <v>0</v>
      </c>
      <c r="H1930" s="3">
        <v>0</v>
      </c>
      <c r="I1930" s="3">
        <v>0</v>
      </c>
      <c r="J1930" s="3">
        <v>0</v>
      </c>
      <c r="K1930" s="3">
        <f t="shared" si="71"/>
        <v>0</v>
      </c>
      <c r="L1930" s="3"/>
      <c r="M1930" s="3">
        <f t="shared" si="72"/>
        <v>0</v>
      </c>
      <c r="O1930" s="5"/>
      <c r="S1930" s="6"/>
    </row>
    <row r="1931" spans="1:22" customFormat="1" x14ac:dyDescent="0.45">
      <c r="A1931">
        <v>461601</v>
      </c>
      <c r="B1931" t="s">
        <v>20097</v>
      </c>
      <c r="C1931" t="s">
        <v>20098</v>
      </c>
      <c r="D1931">
        <v>6</v>
      </c>
      <c r="F1931" s="126"/>
      <c r="G1931" s="7">
        <v>0</v>
      </c>
      <c r="H1931" s="7">
        <v>0</v>
      </c>
      <c r="I1931" s="7">
        <v>0</v>
      </c>
      <c r="J1931" s="7">
        <v>0</v>
      </c>
      <c r="K1931" s="3">
        <f t="shared" si="71"/>
        <v>0</v>
      </c>
      <c r="L1931" s="3"/>
      <c r="M1931" s="3">
        <f t="shared" si="72"/>
        <v>0</v>
      </c>
      <c r="O1931" s="5"/>
      <c r="S1931" s="6"/>
    </row>
    <row r="1932" spans="1:22" customFormat="1" x14ac:dyDescent="0.45">
      <c r="A1932">
        <v>461656</v>
      </c>
      <c r="B1932" t="s">
        <v>20099</v>
      </c>
      <c r="C1932" t="s">
        <v>20100</v>
      </c>
      <c r="D1932">
        <v>1</v>
      </c>
      <c r="F1932" s="126"/>
      <c r="G1932" s="7">
        <v>0</v>
      </c>
      <c r="H1932" s="7">
        <v>0</v>
      </c>
      <c r="I1932" s="7">
        <v>0</v>
      </c>
      <c r="J1932" s="7">
        <v>0</v>
      </c>
      <c r="K1932" s="3">
        <f t="shared" si="71"/>
        <v>0</v>
      </c>
      <c r="L1932" s="3"/>
      <c r="M1932" s="3">
        <f t="shared" si="72"/>
        <v>0</v>
      </c>
      <c r="O1932" s="5"/>
      <c r="S1932" s="6"/>
    </row>
    <row r="1933" spans="1:22" customFormat="1" x14ac:dyDescent="0.45">
      <c r="A1933">
        <v>461795</v>
      </c>
      <c r="B1933" t="s">
        <v>20101</v>
      </c>
      <c r="C1933" t="s">
        <v>16331</v>
      </c>
      <c r="D1933">
        <v>10</v>
      </c>
      <c r="E1933" t="s">
        <v>16331</v>
      </c>
      <c r="F1933" s="126"/>
      <c r="G1933" s="7">
        <v>0</v>
      </c>
      <c r="H1933" s="3">
        <v>0</v>
      </c>
      <c r="I1933" s="3">
        <v>0</v>
      </c>
      <c r="J1933">
        <v>0</v>
      </c>
      <c r="K1933" s="3">
        <f t="shared" si="71"/>
        <v>0</v>
      </c>
      <c r="L1933" s="3"/>
      <c r="M1933" s="3">
        <f t="shared" si="72"/>
        <v>0</v>
      </c>
      <c r="O1933" s="5"/>
      <c r="S1933" s="6"/>
    </row>
    <row r="1934" spans="1:22" customFormat="1" x14ac:dyDescent="0.45">
      <c r="A1934">
        <v>462001</v>
      </c>
      <c r="B1934" t="s">
        <v>20102</v>
      </c>
      <c r="C1934" t="s">
        <v>16331</v>
      </c>
      <c r="D1934">
        <v>0</v>
      </c>
      <c r="E1934" t="s">
        <v>16331</v>
      </c>
      <c r="F1934" s="126"/>
      <c r="G1934" s="7">
        <v>0</v>
      </c>
      <c r="H1934" s="3">
        <v>0</v>
      </c>
      <c r="I1934" s="3">
        <v>0</v>
      </c>
      <c r="J1934">
        <v>0</v>
      </c>
      <c r="K1934" s="3">
        <f t="shared" si="71"/>
        <v>0</v>
      </c>
      <c r="L1934" s="3"/>
      <c r="M1934" s="3">
        <f t="shared" si="72"/>
        <v>0</v>
      </c>
      <c r="O1934" s="5"/>
      <c r="S1934" s="6"/>
    </row>
    <row r="1935" spans="1:22" x14ac:dyDescent="0.45">
      <c r="A1935" s="124">
        <v>125051</v>
      </c>
      <c r="B1935" s="124" t="s">
        <v>20103</v>
      </c>
      <c r="C1935" s="124" t="s">
        <v>20104</v>
      </c>
      <c r="D1935" s="124">
        <v>2</v>
      </c>
      <c r="E1935" s="124" t="s">
        <v>16417</v>
      </c>
      <c r="F1935" s="126">
        <v>1.2200000000000001E-2</v>
      </c>
      <c r="G1935" s="126">
        <v>0.02</v>
      </c>
      <c r="H1935" s="126">
        <v>4.0000000000000001E-3</v>
      </c>
      <c r="I1935" s="127">
        <v>0</v>
      </c>
      <c r="J1935" s="127">
        <v>0</v>
      </c>
      <c r="K1935" s="126">
        <f t="shared" si="71"/>
        <v>2.4E-2</v>
      </c>
      <c r="L1935" s="3"/>
      <c r="M1935" s="126">
        <f t="shared" si="72"/>
        <v>3.6200000000000003E-2</v>
      </c>
      <c r="N1935" s="124" t="s">
        <v>20105</v>
      </c>
      <c r="O1935" s="125" t="s">
        <v>20070</v>
      </c>
      <c r="P1935" s="125" t="s">
        <v>20071</v>
      </c>
      <c r="Q1935" s="130">
        <v>74976000</v>
      </c>
      <c r="R1935" s="130" t="s">
        <v>16348</v>
      </c>
      <c r="S1935" s="130">
        <v>62439000</v>
      </c>
      <c r="T1935" s="130">
        <f>S1935/Q1935</f>
        <v>0.83278649167733676</v>
      </c>
      <c r="U1935" s="130"/>
      <c r="V1935" s="125" t="s">
        <v>20106</v>
      </c>
    </row>
    <row r="1936" spans="1:22" customFormat="1" x14ac:dyDescent="0.45">
      <c r="A1936">
        <v>462095</v>
      </c>
      <c r="B1936" t="s">
        <v>20107</v>
      </c>
      <c r="C1936" t="s">
        <v>16331</v>
      </c>
      <c r="D1936">
        <v>1</v>
      </c>
      <c r="E1936" t="s">
        <v>16331</v>
      </c>
      <c r="F1936" s="126"/>
      <c r="G1936" s="7">
        <v>0</v>
      </c>
      <c r="H1936" s="7">
        <v>0</v>
      </c>
      <c r="I1936" s="7">
        <v>0</v>
      </c>
      <c r="J1936" s="7">
        <v>0</v>
      </c>
      <c r="K1936" s="3">
        <f t="shared" si="71"/>
        <v>0</v>
      </c>
      <c r="L1936" s="3"/>
      <c r="M1936" s="3">
        <f t="shared" si="72"/>
        <v>0</v>
      </c>
      <c r="O1936" s="5"/>
      <c r="S1936" s="6"/>
    </row>
    <row r="1937" spans="1:19" customFormat="1" x14ac:dyDescent="0.45">
      <c r="A1937">
        <v>462105</v>
      </c>
      <c r="B1937" t="s">
        <v>20108</v>
      </c>
      <c r="C1937" t="s">
        <v>17178</v>
      </c>
      <c r="D1937">
        <v>26</v>
      </c>
      <c r="E1937" t="s">
        <v>16334</v>
      </c>
      <c r="F1937" s="126"/>
      <c r="G1937" s="3">
        <v>0</v>
      </c>
      <c r="H1937" s="3">
        <v>0</v>
      </c>
      <c r="I1937" s="3">
        <v>0</v>
      </c>
      <c r="J1937" s="3">
        <v>0</v>
      </c>
      <c r="K1937" s="3">
        <f t="shared" si="71"/>
        <v>0</v>
      </c>
      <c r="L1937" s="3"/>
      <c r="M1937" s="3">
        <f t="shared" si="72"/>
        <v>0</v>
      </c>
      <c r="O1937" s="5"/>
      <c r="S1937" s="6"/>
    </row>
    <row r="1938" spans="1:19" customFormat="1" x14ac:dyDescent="0.45">
      <c r="A1938">
        <v>462157</v>
      </c>
      <c r="B1938" t="s">
        <v>20109</v>
      </c>
      <c r="C1938" t="s">
        <v>20110</v>
      </c>
      <c r="D1938">
        <v>1</v>
      </c>
      <c r="F1938" s="126"/>
      <c r="G1938" s="7">
        <v>0</v>
      </c>
      <c r="H1938" s="7">
        <v>0</v>
      </c>
      <c r="I1938" s="7">
        <v>0</v>
      </c>
      <c r="J1938" s="7">
        <v>0</v>
      </c>
      <c r="K1938" s="3">
        <f t="shared" si="71"/>
        <v>0</v>
      </c>
      <c r="L1938" s="3"/>
      <c r="M1938" s="3">
        <f t="shared" si="72"/>
        <v>0</v>
      </c>
      <c r="O1938" s="5"/>
      <c r="S1938" s="6"/>
    </row>
    <row r="1939" spans="1:19" customFormat="1" x14ac:dyDescent="0.45">
      <c r="A1939">
        <v>462172</v>
      </c>
      <c r="B1939" t="s">
        <v>20111</v>
      </c>
      <c r="C1939" t="s">
        <v>20112</v>
      </c>
      <c r="D1939">
        <v>3</v>
      </c>
      <c r="E1939" t="s">
        <v>20113</v>
      </c>
      <c r="F1939" s="126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/>
      <c r="M1939" s="3">
        <v>0</v>
      </c>
      <c r="O1939" s="5"/>
      <c r="S1939" s="6"/>
    </row>
    <row r="1940" spans="1:19" customFormat="1" x14ac:dyDescent="0.45">
      <c r="A1940">
        <v>462209</v>
      </c>
      <c r="B1940" t="s">
        <v>20114</v>
      </c>
      <c r="C1940" t="s">
        <v>16331</v>
      </c>
      <c r="D1940">
        <v>4</v>
      </c>
      <c r="E1940" t="s">
        <v>16331</v>
      </c>
      <c r="F1940" s="126"/>
      <c r="G1940" s="7">
        <v>0</v>
      </c>
      <c r="H1940" s="7">
        <v>0</v>
      </c>
      <c r="I1940" s="7">
        <v>0</v>
      </c>
      <c r="J1940" s="7">
        <v>0</v>
      </c>
      <c r="K1940" s="3">
        <f t="shared" ref="K1940:K1962" si="73">SUM(G1940:J1940)</f>
        <v>0</v>
      </c>
      <c r="L1940" s="3"/>
      <c r="M1940" s="3">
        <f t="shared" ref="M1940:M1962" si="74">K1940+F1940</f>
        <v>0</v>
      </c>
      <c r="O1940" s="5"/>
      <c r="S1940" s="6"/>
    </row>
    <row r="1941" spans="1:19" customFormat="1" x14ac:dyDescent="0.45">
      <c r="A1941">
        <v>462359</v>
      </c>
      <c r="B1941" t="s">
        <v>20115</v>
      </c>
      <c r="C1941" t="s">
        <v>16331</v>
      </c>
      <c r="D1941">
        <v>1</v>
      </c>
      <c r="E1941" t="s">
        <v>16331</v>
      </c>
      <c r="F1941" s="126"/>
      <c r="G1941" s="7">
        <v>0</v>
      </c>
      <c r="H1941" s="7">
        <v>0</v>
      </c>
      <c r="I1941" s="7">
        <v>0</v>
      </c>
      <c r="J1941" s="7">
        <v>0</v>
      </c>
      <c r="K1941" s="3">
        <f t="shared" si="73"/>
        <v>0</v>
      </c>
      <c r="L1941" s="3"/>
      <c r="M1941" s="3">
        <f t="shared" si="74"/>
        <v>0</v>
      </c>
      <c r="O1941" s="5"/>
      <c r="S1941" s="6"/>
    </row>
    <row r="1942" spans="1:19" customFormat="1" x14ac:dyDescent="0.45">
      <c r="A1942">
        <v>462387</v>
      </c>
      <c r="B1942" t="s">
        <v>20116</v>
      </c>
      <c r="C1942" t="s">
        <v>16331</v>
      </c>
      <c r="D1942">
        <v>1</v>
      </c>
      <c r="E1942" t="s">
        <v>16331</v>
      </c>
      <c r="F1942" s="126"/>
      <c r="G1942" s="7">
        <v>0</v>
      </c>
      <c r="H1942" s="7">
        <v>0</v>
      </c>
      <c r="I1942" s="7">
        <v>0</v>
      </c>
      <c r="J1942" s="7">
        <v>0</v>
      </c>
      <c r="K1942" s="3">
        <f t="shared" si="73"/>
        <v>0</v>
      </c>
      <c r="L1942" s="3"/>
      <c r="M1942" s="3">
        <f t="shared" si="74"/>
        <v>0</v>
      </c>
      <c r="O1942" s="5"/>
      <c r="S1942" s="6"/>
    </row>
    <row r="1943" spans="1:19" customFormat="1" x14ac:dyDescent="0.45">
      <c r="A1943">
        <v>462455</v>
      </c>
      <c r="B1943" t="s">
        <v>20117</v>
      </c>
      <c r="C1943" t="s">
        <v>20118</v>
      </c>
      <c r="D1943">
        <v>1</v>
      </c>
      <c r="F1943" s="126"/>
      <c r="G1943" s="3">
        <v>0</v>
      </c>
      <c r="H1943" s="3">
        <v>0</v>
      </c>
      <c r="I1943" s="3">
        <v>0</v>
      </c>
      <c r="J1943" s="3">
        <v>0</v>
      </c>
      <c r="K1943" s="3">
        <f t="shared" si="73"/>
        <v>0</v>
      </c>
      <c r="L1943" s="3"/>
      <c r="M1943" s="3">
        <f t="shared" si="74"/>
        <v>0</v>
      </c>
      <c r="O1943" s="5"/>
      <c r="S1943" s="6"/>
    </row>
    <row r="1944" spans="1:19" customFormat="1" x14ac:dyDescent="0.45">
      <c r="A1944">
        <v>462513</v>
      </c>
      <c r="B1944" t="s">
        <v>20119</v>
      </c>
      <c r="C1944" t="s">
        <v>20120</v>
      </c>
      <c r="D1944">
        <v>8</v>
      </c>
      <c r="F1944" s="126"/>
      <c r="G1944" s="7">
        <v>0</v>
      </c>
      <c r="H1944" s="7">
        <v>0</v>
      </c>
      <c r="I1944" s="7">
        <v>0</v>
      </c>
      <c r="J1944" s="7">
        <v>0</v>
      </c>
      <c r="K1944" s="3">
        <f t="shared" si="73"/>
        <v>0</v>
      </c>
      <c r="L1944" s="3"/>
      <c r="M1944" s="3">
        <f t="shared" si="74"/>
        <v>0</v>
      </c>
      <c r="N1944" s="7"/>
      <c r="O1944" s="5"/>
      <c r="S1944" s="6"/>
    </row>
    <row r="1945" spans="1:19" customFormat="1" x14ac:dyDescent="0.45">
      <c r="A1945">
        <v>462518</v>
      </c>
      <c r="B1945" t="s">
        <v>20121</v>
      </c>
      <c r="C1945" t="s">
        <v>20122</v>
      </c>
      <c r="D1945">
        <v>1</v>
      </c>
      <c r="F1945" s="126"/>
      <c r="G1945" s="7">
        <v>0</v>
      </c>
      <c r="H1945" s="7">
        <v>0</v>
      </c>
      <c r="I1945" s="7">
        <v>0</v>
      </c>
      <c r="J1945" s="7">
        <v>0</v>
      </c>
      <c r="K1945" s="3">
        <f t="shared" si="73"/>
        <v>0</v>
      </c>
      <c r="L1945" s="3"/>
      <c r="M1945" s="3">
        <f t="shared" si="74"/>
        <v>0</v>
      </c>
      <c r="O1945" s="5"/>
      <c r="S1945" s="6"/>
    </row>
    <row r="1946" spans="1:19" customFormat="1" x14ac:dyDescent="0.45">
      <c r="A1946">
        <v>462519</v>
      </c>
      <c r="B1946" t="s">
        <v>20123</v>
      </c>
      <c r="C1946" t="s">
        <v>16331</v>
      </c>
      <c r="D1946">
        <v>2</v>
      </c>
      <c r="E1946" t="s">
        <v>16331</v>
      </c>
      <c r="F1946" s="126"/>
      <c r="K1946" s="3">
        <f t="shared" si="73"/>
        <v>0</v>
      </c>
      <c r="L1946" s="3"/>
      <c r="M1946" s="3">
        <f t="shared" si="74"/>
        <v>0</v>
      </c>
      <c r="O1946" s="5"/>
      <c r="S1946" s="6"/>
    </row>
    <row r="1947" spans="1:19" customFormat="1" x14ac:dyDescent="0.45">
      <c r="A1947">
        <v>462530</v>
      </c>
      <c r="B1947" t="s">
        <v>20124</v>
      </c>
      <c r="C1947" t="s">
        <v>20125</v>
      </c>
      <c r="D1947">
        <v>1</v>
      </c>
      <c r="F1947" s="126"/>
      <c r="G1947" s="7">
        <v>0</v>
      </c>
      <c r="H1947" s="7">
        <v>0</v>
      </c>
      <c r="I1947" s="7">
        <v>0</v>
      </c>
      <c r="J1947" s="7">
        <v>0</v>
      </c>
      <c r="K1947" s="3">
        <f t="shared" si="73"/>
        <v>0</v>
      </c>
      <c r="L1947" s="3"/>
      <c r="M1947" s="3">
        <f t="shared" si="74"/>
        <v>0</v>
      </c>
      <c r="O1947" s="5"/>
      <c r="S1947" s="6"/>
    </row>
    <row r="1948" spans="1:19" customFormat="1" x14ac:dyDescent="0.45">
      <c r="A1948">
        <v>462646</v>
      </c>
      <c r="B1948" t="s">
        <v>20126</v>
      </c>
      <c r="C1948" t="s">
        <v>20127</v>
      </c>
      <c r="D1948">
        <v>3</v>
      </c>
      <c r="F1948" s="126"/>
      <c r="K1948" s="3">
        <f t="shared" si="73"/>
        <v>0</v>
      </c>
      <c r="L1948" s="3"/>
      <c r="M1948" s="3">
        <f t="shared" si="74"/>
        <v>0</v>
      </c>
      <c r="O1948" s="5"/>
      <c r="S1948" s="6"/>
    </row>
    <row r="1949" spans="1:19" customFormat="1" x14ac:dyDescent="0.45">
      <c r="A1949">
        <v>462657</v>
      </c>
      <c r="B1949" t="s">
        <v>20128</v>
      </c>
      <c r="C1949" t="s">
        <v>16331</v>
      </c>
      <c r="D1949">
        <v>5</v>
      </c>
      <c r="E1949" t="s">
        <v>16331</v>
      </c>
      <c r="F1949" s="126"/>
      <c r="K1949" s="3">
        <f t="shared" si="73"/>
        <v>0</v>
      </c>
      <c r="L1949" s="3"/>
      <c r="M1949" s="3">
        <f t="shared" si="74"/>
        <v>0</v>
      </c>
      <c r="O1949" s="5"/>
      <c r="S1949" s="6"/>
    </row>
    <row r="1950" spans="1:19" customFormat="1" x14ac:dyDescent="0.45">
      <c r="A1950">
        <v>462728</v>
      </c>
      <c r="B1950" t="s">
        <v>20129</v>
      </c>
      <c r="C1950" t="s">
        <v>20130</v>
      </c>
      <c r="D1950">
        <v>81</v>
      </c>
      <c r="E1950" t="s">
        <v>16334</v>
      </c>
      <c r="F1950" s="126"/>
      <c r="K1950" s="3">
        <f t="shared" si="73"/>
        <v>0</v>
      </c>
      <c r="L1950" s="3"/>
      <c r="M1950" s="3">
        <f t="shared" si="74"/>
        <v>0</v>
      </c>
      <c r="N1950" s="7"/>
      <c r="O1950" s="5"/>
      <c r="Q1950" t="s">
        <v>18978</v>
      </c>
      <c r="S1950" s="6"/>
    </row>
    <row r="1951" spans="1:19" customFormat="1" x14ac:dyDescent="0.45">
      <c r="A1951">
        <v>462734</v>
      </c>
      <c r="B1951" t="s">
        <v>20131</v>
      </c>
      <c r="C1951" t="s">
        <v>16331</v>
      </c>
      <c r="D1951">
        <v>3</v>
      </c>
      <c r="E1951" t="s">
        <v>16331</v>
      </c>
      <c r="F1951" s="126"/>
      <c r="G1951" s="7">
        <v>0</v>
      </c>
      <c r="H1951" s="7">
        <v>0</v>
      </c>
      <c r="I1951" s="7">
        <v>0</v>
      </c>
      <c r="J1951" s="7">
        <v>0</v>
      </c>
      <c r="K1951" s="3">
        <f t="shared" si="73"/>
        <v>0</v>
      </c>
      <c r="L1951" s="3"/>
      <c r="M1951" s="3">
        <f t="shared" si="74"/>
        <v>0</v>
      </c>
      <c r="O1951" s="5"/>
      <c r="S1951" s="6"/>
    </row>
    <row r="1952" spans="1:19" customFormat="1" x14ac:dyDescent="0.45">
      <c r="A1952">
        <v>462797</v>
      </c>
      <c r="B1952" t="s">
        <v>20132</v>
      </c>
      <c r="C1952" t="s">
        <v>20133</v>
      </c>
      <c r="D1952">
        <v>6</v>
      </c>
      <c r="F1952" s="126"/>
      <c r="G1952" s="3">
        <v>0</v>
      </c>
      <c r="H1952" s="3">
        <v>0</v>
      </c>
      <c r="I1952" s="3">
        <v>0</v>
      </c>
      <c r="J1952" s="3">
        <v>0</v>
      </c>
      <c r="K1952" s="3">
        <f t="shared" si="73"/>
        <v>0</v>
      </c>
      <c r="L1952" s="3"/>
      <c r="M1952" s="3">
        <f t="shared" si="74"/>
        <v>0</v>
      </c>
      <c r="O1952" s="5"/>
      <c r="S1952" s="6"/>
    </row>
    <row r="1953" spans="1:22" customFormat="1" x14ac:dyDescent="0.45">
      <c r="A1953">
        <v>462810</v>
      </c>
      <c r="B1953" t="s">
        <v>20134</v>
      </c>
      <c r="C1953" t="s">
        <v>20135</v>
      </c>
      <c r="D1953">
        <v>3</v>
      </c>
      <c r="F1953" s="126"/>
      <c r="G1953" s="7">
        <v>0</v>
      </c>
      <c r="H1953" s="7">
        <v>0</v>
      </c>
      <c r="I1953" s="7">
        <v>0</v>
      </c>
      <c r="J1953" s="7">
        <v>0</v>
      </c>
      <c r="K1953" s="3">
        <f t="shared" si="73"/>
        <v>0</v>
      </c>
      <c r="L1953" s="3"/>
      <c r="M1953" s="3">
        <f t="shared" si="74"/>
        <v>0</v>
      </c>
      <c r="O1953" s="5"/>
      <c r="S1953" s="6"/>
    </row>
    <row r="1954" spans="1:22" customFormat="1" x14ac:dyDescent="0.45">
      <c r="A1954">
        <v>462886</v>
      </c>
      <c r="B1954" t="s">
        <v>20136</v>
      </c>
      <c r="C1954" t="s">
        <v>20137</v>
      </c>
      <c r="D1954">
        <v>1</v>
      </c>
      <c r="F1954" s="126"/>
      <c r="K1954" s="3">
        <f t="shared" si="73"/>
        <v>0</v>
      </c>
      <c r="L1954" s="3"/>
      <c r="M1954" s="3">
        <f t="shared" si="74"/>
        <v>0</v>
      </c>
      <c r="O1954" s="5"/>
      <c r="S1954" s="6"/>
    </row>
    <row r="1955" spans="1:22" customFormat="1" x14ac:dyDescent="0.45">
      <c r="A1955">
        <v>462900</v>
      </c>
      <c r="B1955" t="s">
        <v>20138</v>
      </c>
      <c r="C1955" t="s">
        <v>20139</v>
      </c>
      <c r="D1955">
        <v>1</v>
      </c>
      <c r="F1955" s="126"/>
      <c r="G1955" s="7">
        <v>0</v>
      </c>
      <c r="H1955" s="7">
        <v>0</v>
      </c>
      <c r="I1955" s="7">
        <v>0</v>
      </c>
      <c r="J1955" s="7">
        <v>0</v>
      </c>
      <c r="K1955" s="3">
        <f t="shared" si="73"/>
        <v>0</v>
      </c>
      <c r="L1955" s="3"/>
      <c r="M1955" s="3">
        <f t="shared" si="74"/>
        <v>0</v>
      </c>
      <c r="O1955" s="5"/>
      <c r="S1955" s="6"/>
    </row>
    <row r="1956" spans="1:22" customFormat="1" x14ac:dyDescent="0.45">
      <c r="A1956">
        <v>463108</v>
      </c>
      <c r="B1956" t="s">
        <v>20140</v>
      </c>
      <c r="C1956" t="s">
        <v>20141</v>
      </c>
      <c r="D1956">
        <v>1</v>
      </c>
      <c r="F1956" s="126"/>
      <c r="K1956" s="3">
        <f t="shared" si="73"/>
        <v>0</v>
      </c>
      <c r="L1956" s="3"/>
      <c r="M1956" s="3">
        <f t="shared" si="74"/>
        <v>0</v>
      </c>
      <c r="O1956" s="5"/>
      <c r="S1956" s="6"/>
    </row>
    <row r="1957" spans="1:22" x14ac:dyDescent="0.45">
      <c r="A1957" s="124">
        <v>131816</v>
      </c>
      <c r="B1957" s="124" t="s">
        <v>20142</v>
      </c>
      <c r="C1957" s="124" t="s">
        <v>20068</v>
      </c>
      <c r="D1957" s="124">
        <v>5</v>
      </c>
      <c r="E1957" s="124" t="s">
        <v>16417</v>
      </c>
      <c r="F1957" s="126">
        <v>1.2200000000000001E-2</v>
      </c>
      <c r="G1957" s="126">
        <v>0.02</v>
      </c>
      <c r="H1957" s="126">
        <v>4.0000000000000001E-3</v>
      </c>
      <c r="I1957" s="127">
        <v>0</v>
      </c>
      <c r="J1957" s="127">
        <v>0</v>
      </c>
      <c r="K1957" s="126">
        <f t="shared" si="73"/>
        <v>2.4E-2</v>
      </c>
      <c r="L1957" s="3"/>
      <c r="M1957" s="126">
        <f t="shared" si="74"/>
        <v>3.6200000000000003E-2</v>
      </c>
      <c r="N1957" s="135"/>
      <c r="O1957" s="125" t="s">
        <v>20070</v>
      </c>
      <c r="P1957" s="125" t="s">
        <v>20071</v>
      </c>
      <c r="Q1957" s="130">
        <v>73339000</v>
      </c>
      <c r="R1957" s="130" t="s">
        <v>16348</v>
      </c>
      <c r="S1957" s="130">
        <v>71592000</v>
      </c>
      <c r="T1957" s="130">
        <f>S1957/Q1957</f>
        <v>0.97617911343214392</v>
      </c>
      <c r="U1957" s="130"/>
      <c r="V1957" s="125" t="s">
        <v>20072</v>
      </c>
    </row>
    <row r="1958" spans="1:22" customFormat="1" x14ac:dyDescent="0.45">
      <c r="A1958">
        <v>463221</v>
      </c>
      <c r="B1958" t="s">
        <v>20143</v>
      </c>
      <c r="C1958" t="s">
        <v>20144</v>
      </c>
      <c r="D1958">
        <v>3</v>
      </c>
      <c r="F1958" s="126"/>
      <c r="G1958" s="7">
        <v>0</v>
      </c>
      <c r="H1958" s="7">
        <v>0</v>
      </c>
      <c r="I1958" s="7">
        <v>0</v>
      </c>
      <c r="J1958" s="7">
        <v>0</v>
      </c>
      <c r="K1958" s="3">
        <f t="shared" si="73"/>
        <v>0</v>
      </c>
      <c r="L1958" s="3"/>
      <c r="M1958" s="3">
        <f t="shared" si="74"/>
        <v>0</v>
      </c>
      <c r="O1958" s="5"/>
      <c r="S1958" s="6"/>
    </row>
    <row r="1959" spans="1:22" customFormat="1" x14ac:dyDescent="0.45">
      <c r="A1959">
        <v>463257</v>
      </c>
      <c r="B1959" t="s">
        <v>20145</v>
      </c>
      <c r="C1959" t="s">
        <v>20146</v>
      </c>
      <c r="D1959">
        <v>7</v>
      </c>
      <c r="E1959" t="s">
        <v>16334</v>
      </c>
      <c r="F1959" s="126"/>
      <c r="K1959" s="3">
        <f t="shared" si="73"/>
        <v>0</v>
      </c>
      <c r="L1959" s="3"/>
      <c r="M1959" s="3">
        <f t="shared" si="74"/>
        <v>0</v>
      </c>
      <c r="O1959" s="5"/>
      <c r="S1959" s="6"/>
    </row>
    <row r="1960" spans="1:22" customFormat="1" x14ac:dyDescent="0.45">
      <c r="A1960">
        <v>463264</v>
      </c>
      <c r="B1960" t="s">
        <v>20147</v>
      </c>
      <c r="C1960" t="s">
        <v>16331</v>
      </c>
      <c r="D1960">
        <v>1</v>
      </c>
      <c r="E1960" t="s">
        <v>16331</v>
      </c>
      <c r="F1960" s="126"/>
      <c r="K1960" s="3">
        <f t="shared" si="73"/>
        <v>0</v>
      </c>
      <c r="L1960" s="3"/>
      <c r="M1960" s="3">
        <f t="shared" si="74"/>
        <v>0</v>
      </c>
      <c r="O1960" s="5"/>
      <c r="S1960" s="6"/>
    </row>
    <row r="1961" spans="1:22" customFormat="1" x14ac:dyDescent="0.45">
      <c r="A1961">
        <v>463491</v>
      </c>
      <c r="B1961" t="s">
        <v>20148</v>
      </c>
      <c r="C1961" t="s">
        <v>16331</v>
      </c>
      <c r="D1961">
        <v>1</v>
      </c>
      <c r="E1961" t="s">
        <v>16331</v>
      </c>
      <c r="F1961" s="126"/>
      <c r="G1961" s="7">
        <v>0</v>
      </c>
      <c r="H1961" s="7">
        <v>0</v>
      </c>
      <c r="I1961" s="7">
        <v>0</v>
      </c>
      <c r="J1961" s="7">
        <v>0</v>
      </c>
      <c r="K1961" s="3">
        <f t="shared" si="73"/>
        <v>0</v>
      </c>
      <c r="L1961" s="3"/>
      <c r="M1961" s="3">
        <f t="shared" si="74"/>
        <v>0</v>
      </c>
      <c r="O1961" s="5"/>
      <c r="S1961" s="6"/>
    </row>
    <row r="1962" spans="1:22" customFormat="1" x14ac:dyDescent="0.45">
      <c r="A1962">
        <v>463538</v>
      </c>
      <c r="B1962" t="s">
        <v>20149</v>
      </c>
      <c r="C1962" t="s">
        <v>20150</v>
      </c>
      <c r="D1962">
        <v>1</v>
      </c>
      <c r="F1962" s="126"/>
      <c r="G1962" s="7">
        <v>0</v>
      </c>
      <c r="H1962" s="7">
        <v>0</v>
      </c>
      <c r="I1962" s="7">
        <v>0</v>
      </c>
      <c r="J1962" s="7">
        <v>0</v>
      </c>
      <c r="K1962" s="3">
        <f t="shared" si="73"/>
        <v>0</v>
      </c>
      <c r="L1962" s="3"/>
      <c r="M1962" s="3">
        <f t="shared" si="74"/>
        <v>0</v>
      </c>
      <c r="O1962" s="5"/>
      <c r="S1962" s="6"/>
    </row>
    <row r="1963" spans="1:22" customFormat="1" x14ac:dyDescent="0.45">
      <c r="A1963">
        <v>463676</v>
      </c>
      <c r="B1963" t="s">
        <v>20151</v>
      </c>
      <c r="C1963" t="s">
        <v>20152</v>
      </c>
      <c r="D1963">
        <v>2</v>
      </c>
      <c r="E1963" t="s">
        <v>20153</v>
      </c>
      <c r="F1963" s="126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/>
      <c r="M1963" s="3">
        <v>0</v>
      </c>
      <c r="O1963" s="5"/>
      <c r="S1963" s="6"/>
    </row>
    <row r="1964" spans="1:22" customFormat="1" x14ac:dyDescent="0.45">
      <c r="A1964">
        <v>463877</v>
      </c>
      <c r="B1964" t="s">
        <v>20154</v>
      </c>
      <c r="C1964" t="s">
        <v>16331</v>
      </c>
      <c r="D1964">
        <v>0</v>
      </c>
      <c r="E1964" t="s">
        <v>16331</v>
      </c>
      <c r="F1964" s="126"/>
      <c r="K1964" s="3">
        <f t="shared" ref="K1964:K2027" si="75">SUM(G1964:J1964)</f>
        <v>0</v>
      </c>
      <c r="L1964" s="3"/>
      <c r="M1964" s="3">
        <f t="shared" ref="M1964:M2027" si="76">K1964+F1964</f>
        <v>0</v>
      </c>
      <c r="O1964" s="5"/>
      <c r="S1964" s="6"/>
    </row>
    <row r="1965" spans="1:22" customFormat="1" x14ac:dyDescent="0.45">
      <c r="A1965">
        <v>463940</v>
      </c>
      <c r="B1965" t="s">
        <v>20155</v>
      </c>
      <c r="C1965" t="s">
        <v>16331</v>
      </c>
      <c r="D1965">
        <v>2</v>
      </c>
      <c r="E1965" t="s">
        <v>16331</v>
      </c>
      <c r="F1965" s="126"/>
      <c r="G1965" s="7">
        <v>0</v>
      </c>
      <c r="H1965" s="7">
        <v>0</v>
      </c>
      <c r="I1965" s="7">
        <v>0</v>
      </c>
      <c r="J1965" s="7">
        <v>0</v>
      </c>
      <c r="K1965" s="3">
        <f t="shared" si="75"/>
        <v>0</v>
      </c>
      <c r="L1965" s="3"/>
      <c r="M1965" s="3">
        <f t="shared" si="76"/>
        <v>0</v>
      </c>
      <c r="O1965" s="5"/>
      <c r="S1965" s="6"/>
    </row>
    <row r="1966" spans="1:22" customFormat="1" x14ac:dyDescent="0.45">
      <c r="A1966">
        <v>463965</v>
      </c>
      <c r="B1966" t="s">
        <v>20156</v>
      </c>
      <c r="C1966" t="s">
        <v>16331</v>
      </c>
      <c r="D1966">
        <v>1</v>
      </c>
      <c r="E1966" t="s">
        <v>16331</v>
      </c>
      <c r="F1966" s="126"/>
      <c r="G1966" s="7">
        <v>0</v>
      </c>
      <c r="H1966" s="7">
        <v>0</v>
      </c>
      <c r="I1966" s="7">
        <v>0</v>
      </c>
      <c r="J1966" s="7">
        <v>0</v>
      </c>
      <c r="K1966" s="3">
        <f t="shared" si="75"/>
        <v>0</v>
      </c>
      <c r="L1966" s="3"/>
      <c r="M1966" s="3">
        <f t="shared" si="76"/>
        <v>0</v>
      </c>
      <c r="O1966" s="5"/>
      <c r="S1966" s="6"/>
    </row>
    <row r="1967" spans="1:22" customFormat="1" x14ac:dyDescent="0.45">
      <c r="A1967">
        <v>464072</v>
      </c>
      <c r="B1967" t="s">
        <v>20157</v>
      </c>
      <c r="C1967" s="2" t="s">
        <v>20158</v>
      </c>
      <c r="D1967">
        <v>12</v>
      </c>
      <c r="E1967" t="s">
        <v>16334</v>
      </c>
      <c r="F1967" s="126"/>
      <c r="G1967" s="7">
        <v>0</v>
      </c>
      <c r="H1967" s="7">
        <v>0</v>
      </c>
      <c r="I1967" s="7">
        <v>0</v>
      </c>
      <c r="J1967" s="7">
        <v>0</v>
      </c>
      <c r="K1967" s="3">
        <f t="shared" si="75"/>
        <v>0</v>
      </c>
      <c r="L1967" s="3"/>
      <c r="M1967" s="3">
        <f t="shared" si="76"/>
        <v>0</v>
      </c>
      <c r="O1967" s="5"/>
      <c r="S1967" s="6"/>
    </row>
    <row r="1968" spans="1:22" customFormat="1" x14ac:dyDescent="0.45">
      <c r="A1968">
        <v>464138</v>
      </c>
      <c r="B1968" t="s">
        <v>20159</v>
      </c>
      <c r="C1968" t="s">
        <v>20160</v>
      </c>
      <c r="D1968">
        <v>1</v>
      </c>
      <c r="F1968" s="126"/>
      <c r="G1968" s="7">
        <v>0</v>
      </c>
      <c r="H1968" s="7">
        <v>0</v>
      </c>
      <c r="I1968" s="7">
        <v>0</v>
      </c>
      <c r="J1968" s="7">
        <v>0</v>
      </c>
      <c r="K1968" s="3">
        <f t="shared" si="75"/>
        <v>0</v>
      </c>
      <c r="L1968" s="3"/>
      <c r="M1968" s="3">
        <f t="shared" si="76"/>
        <v>0</v>
      </c>
      <c r="O1968" s="5"/>
      <c r="S1968" s="6"/>
    </row>
    <row r="1969" spans="1:22" customFormat="1" x14ac:dyDescent="0.45">
      <c r="A1969">
        <v>464292</v>
      </c>
      <c r="B1969" t="s">
        <v>20161</v>
      </c>
      <c r="C1969" t="s">
        <v>20162</v>
      </c>
      <c r="D1969">
        <v>0</v>
      </c>
      <c r="E1969" t="s">
        <v>16561</v>
      </c>
      <c r="F1969" s="126"/>
      <c r="G1969" s="7">
        <v>0</v>
      </c>
      <c r="H1969" s="7">
        <v>0</v>
      </c>
      <c r="I1969" s="7">
        <v>0</v>
      </c>
      <c r="J1969" s="7">
        <v>0</v>
      </c>
      <c r="K1969" s="3">
        <f t="shared" si="75"/>
        <v>0</v>
      </c>
      <c r="L1969" s="3"/>
      <c r="M1969" s="3">
        <f t="shared" si="76"/>
        <v>0</v>
      </c>
      <c r="N1969" s="7"/>
      <c r="O1969" s="5"/>
      <c r="S1969" s="6"/>
    </row>
    <row r="1970" spans="1:22" customFormat="1" x14ac:dyDescent="0.45">
      <c r="A1970">
        <v>464325</v>
      </c>
      <c r="B1970" t="s">
        <v>20163</v>
      </c>
      <c r="C1970" t="s">
        <v>20164</v>
      </c>
      <c r="D1970">
        <v>1</v>
      </c>
      <c r="E1970" t="s">
        <v>20165</v>
      </c>
      <c r="F1970" s="126"/>
      <c r="G1970" s="7">
        <v>0</v>
      </c>
      <c r="H1970" s="7">
        <v>0</v>
      </c>
      <c r="I1970" s="7">
        <v>0</v>
      </c>
      <c r="J1970" s="7">
        <v>0</v>
      </c>
      <c r="K1970" s="3">
        <f t="shared" si="75"/>
        <v>0</v>
      </c>
      <c r="L1970" s="3"/>
      <c r="M1970" s="3">
        <f t="shared" si="76"/>
        <v>0</v>
      </c>
      <c r="N1970" s="7"/>
      <c r="O1970" s="5"/>
      <c r="S1970" s="6"/>
    </row>
    <row r="1971" spans="1:22" customFormat="1" x14ac:dyDescent="0.45">
      <c r="A1971">
        <v>464374</v>
      </c>
      <c r="B1971" t="s">
        <v>20166</v>
      </c>
      <c r="C1971" t="s">
        <v>16331</v>
      </c>
      <c r="D1971">
        <v>3</v>
      </c>
      <c r="E1971" t="s">
        <v>16331</v>
      </c>
      <c r="F1971" s="126"/>
      <c r="G1971" s="7">
        <v>0</v>
      </c>
      <c r="H1971" s="7">
        <v>0</v>
      </c>
      <c r="I1971" s="7">
        <v>0</v>
      </c>
      <c r="J1971" s="7">
        <v>0</v>
      </c>
      <c r="K1971" s="3">
        <f t="shared" si="75"/>
        <v>0</v>
      </c>
      <c r="L1971" s="3"/>
      <c r="M1971" s="3">
        <f t="shared" si="76"/>
        <v>0</v>
      </c>
      <c r="N1971" s="7"/>
      <c r="O1971" s="5"/>
      <c r="S1971" s="6"/>
    </row>
    <row r="1972" spans="1:22" customFormat="1" x14ac:dyDescent="0.45">
      <c r="A1972">
        <v>464494</v>
      </c>
      <c r="B1972" t="s">
        <v>20167</v>
      </c>
      <c r="C1972" t="s">
        <v>20168</v>
      </c>
      <c r="D1972">
        <v>5</v>
      </c>
      <c r="F1972" s="126"/>
      <c r="K1972" s="3">
        <f t="shared" si="75"/>
        <v>0</v>
      </c>
      <c r="L1972" s="3"/>
      <c r="M1972" s="3">
        <f t="shared" si="76"/>
        <v>0</v>
      </c>
      <c r="O1972" s="5"/>
      <c r="S1972" s="6"/>
    </row>
    <row r="1973" spans="1:22" customFormat="1" x14ac:dyDescent="0.45">
      <c r="A1973">
        <v>464549</v>
      </c>
      <c r="B1973" t="s">
        <v>20169</v>
      </c>
      <c r="C1973" t="s">
        <v>16331</v>
      </c>
      <c r="D1973">
        <v>1</v>
      </c>
      <c r="E1973" t="s">
        <v>16331</v>
      </c>
      <c r="F1973" s="126"/>
      <c r="G1973" s="7">
        <v>0</v>
      </c>
      <c r="H1973" s="7">
        <v>0</v>
      </c>
      <c r="I1973" s="7">
        <v>0</v>
      </c>
      <c r="J1973" s="7">
        <v>0</v>
      </c>
      <c r="K1973" s="3">
        <f t="shared" si="75"/>
        <v>0</v>
      </c>
      <c r="L1973" s="3"/>
      <c r="M1973" s="3">
        <f t="shared" si="76"/>
        <v>0</v>
      </c>
      <c r="O1973" s="5"/>
      <c r="S1973" s="6"/>
    </row>
    <row r="1974" spans="1:22" customFormat="1" x14ac:dyDescent="0.45">
      <c r="A1974">
        <v>464703</v>
      </c>
      <c r="B1974" t="s">
        <v>20170</v>
      </c>
      <c r="C1974" t="s">
        <v>20171</v>
      </c>
      <c r="D1974">
        <v>1</v>
      </c>
      <c r="F1974" s="126"/>
      <c r="G1974" s="7">
        <v>0</v>
      </c>
      <c r="H1974" s="7">
        <v>0</v>
      </c>
      <c r="I1974" s="7">
        <v>0</v>
      </c>
      <c r="J1974" s="7">
        <v>0</v>
      </c>
      <c r="K1974" s="3">
        <f t="shared" si="75"/>
        <v>0</v>
      </c>
      <c r="L1974" s="3"/>
      <c r="M1974" s="3">
        <f t="shared" si="76"/>
        <v>0</v>
      </c>
      <c r="O1974" s="5"/>
      <c r="S1974" s="6"/>
    </row>
    <row r="1975" spans="1:22" customFormat="1" x14ac:dyDescent="0.45">
      <c r="A1975">
        <v>464940</v>
      </c>
      <c r="B1975" t="s">
        <v>20172</v>
      </c>
      <c r="C1975" t="s">
        <v>20173</v>
      </c>
      <c r="D1975">
        <v>2</v>
      </c>
      <c r="F1975" s="126"/>
      <c r="G1975" s="7">
        <v>0</v>
      </c>
      <c r="H1975" s="7">
        <v>0</v>
      </c>
      <c r="I1975" s="7">
        <v>0</v>
      </c>
      <c r="J1975" s="7">
        <v>0</v>
      </c>
      <c r="K1975" s="3">
        <f t="shared" si="75"/>
        <v>0</v>
      </c>
      <c r="L1975" s="3"/>
      <c r="M1975" s="3">
        <f t="shared" si="76"/>
        <v>0</v>
      </c>
      <c r="O1975" s="5"/>
      <c r="S1975" s="6"/>
    </row>
    <row r="1976" spans="1:22" x14ac:dyDescent="0.45">
      <c r="A1976" s="124">
        <v>134190</v>
      </c>
      <c r="B1976" s="124" t="s">
        <v>20174</v>
      </c>
      <c r="C1976" s="124" t="s">
        <v>20068</v>
      </c>
      <c r="D1976" s="124">
        <v>230</v>
      </c>
      <c r="E1976" s="124" t="s">
        <v>16417</v>
      </c>
      <c r="F1976" s="126">
        <v>1.2200000000000001E-2</v>
      </c>
      <c r="G1976" s="126">
        <v>0.02</v>
      </c>
      <c r="H1976" s="126">
        <v>4.0000000000000001E-3</v>
      </c>
      <c r="I1976" s="127">
        <v>0</v>
      </c>
      <c r="J1976" s="127">
        <v>0</v>
      </c>
      <c r="K1976" s="126">
        <f t="shared" si="75"/>
        <v>2.4E-2</v>
      </c>
      <c r="L1976" s="3"/>
      <c r="M1976" s="126">
        <f t="shared" si="76"/>
        <v>3.6200000000000003E-2</v>
      </c>
      <c r="N1976" s="124" t="s">
        <v>20105</v>
      </c>
      <c r="O1976" s="125" t="s">
        <v>20070</v>
      </c>
      <c r="P1976" s="125" t="s">
        <v>20071</v>
      </c>
      <c r="Q1976" s="130">
        <v>74976000</v>
      </c>
      <c r="R1976" s="130" t="s">
        <v>16348</v>
      </c>
      <c r="S1976" s="130">
        <v>62439000</v>
      </c>
      <c r="T1976" s="130">
        <f>S1976/Q1976</f>
        <v>0.83278649167733676</v>
      </c>
      <c r="U1976" s="130"/>
      <c r="V1976" s="125" t="s">
        <v>20175</v>
      </c>
    </row>
    <row r="1977" spans="1:22" customFormat="1" x14ac:dyDescent="0.45">
      <c r="A1977">
        <v>464973</v>
      </c>
      <c r="B1977" t="s">
        <v>20176</v>
      </c>
      <c r="C1977" t="s">
        <v>20177</v>
      </c>
      <c r="D1977">
        <v>1</v>
      </c>
      <c r="F1977" s="126"/>
      <c r="G1977" s="7">
        <v>0</v>
      </c>
      <c r="H1977" s="7">
        <v>0</v>
      </c>
      <c r="I1977" s="7">
        <v>0</v>
      </c>
      <c r="J1977" s="7">
        <v>0</v>
      </c>
      <c r="K1977" s="3">
        <f t="shared" si="75"/>
        <v>0</v>
      </c>
      <c r="L1977" s="3"/>
      <c r="M1977" s="3">
        <f t="shared" si="76"/>
        <v>0</v>
      </c>
      <c r="O1977" s="5"/>
      <c r="S1977" s="6"/>
    </row>
    <row r="1978" spans="1:22" customFormat="1" x14ac:dyDescent="0.45">
      <c r="A1978">
        <v>464997</v>
      </c>
      <c r="B1978" t="s">
        <v>20178</v>
      </c>
      <c r="C1978" t="s">
        <v>20179</v>
      </c>
      <c r="D1978">
        <v>5</v>
      </c>
      <c r="E1978" t="s">
        <v>16334</v>
      </c>
      <c r="F1978" s="126"/>
      <c r="K1978" s="3">
        <f t="shared" si="75"/>
        <v>0</v>
      </c>
      <c r="L1978" s="3"/>
      <c r="M1978" s="3">
        <f t="shared" si="76"/>
        <v>0</v>
      </c>
      <c r="O1978" s="5"/>
      <c r="S1978" s="6"/>
    </row>
    <row r="1979" spans="1:22" customFormat="1" x14ac:dyDescent="0.45">
      <c r="A1979">
        <v>465050</v>
      </c>
      <c r="B1979" t="s">
        <v>20180</v>
      </c>
      <c r="C1979" t="s">
        <v>18990</v>
      </c>
      <c r="D1979">
        <v>0</v>
      </c>
      <c r="E1979" t="s">
        <v>16561</v>
      </c>
      <c r="F1979" s="126"/>
      <c r="G1979" s="7">
        <v>0</v>
      </c>
      <c r="H1979" s="7">
        <v>0</v>
      </c>
      <c r="I1979" s="7">
        <v>0</v>
      </c>
      <c r="J1979" s="7">
        <v>0</v>
      </c>
      <c r="K1979" s="3">
        <f t="shared" si="75"/>
        <v>0</v>
      </c>
      <c r="L1979" s="3"/>
      <c r="M1979" s="3">
        <f t="shared" si="76"/>
        <v>0</v>
      </c>
      <c r="N1979" s="7"/>
      <c r="O1979" s="5"/>
      <c r="S1979" s="6"/>
    </row>
    <row r="1980" spans="1:22" customFormat="1" x14ac:dyDescent="0.45">
      <c r="A1980">
        <v>465051</v>
      </c>
      <c r="B1980" t="s">
        <v>20181</v>
      </c>
      <c r="C1980" t="s">
        <v>20182</v>
      </c>
      <c r="D1980">
        <v>4</v>
      </c>
      <c r="F1980" s="126"/>
      <c r="G1980" s="7">
        <v>0</v>
      </c>
      <c r="H1980" s="7">
        <v>0</v>
      </c>
      <c r="I1980" s="7">
        <v>0</v>
      </c>
      <c r="J1980" s="7">
        <v>0</v>
      </c>
      <c r="K1980" s="3">
        <f t="shared" si="75"/>
        <v>0</v>
      </c>
      <c r="L1980" s="3"/>
      <c r="M1980" s="3">
        <f t="shared" si="76"/>
        <v>0</v>
      </c>
      <c r="O1980" s="5"/>
      <c r="S1980" s="6"/>
    </row>
    <row r="1981" spans="1:22" customFormat="1" x14ac:dyDescent="0.45">
      <c r="A1981">
        <v>465096</v>
      </c>
      <c r="B1981" t="s">
        <v>20183</v>
      </c>
      <c r="C1981" t="s">
        <v>20184</v>
      </c>
      <c r="D1981">
        <v>1</v>
      </c>
      <c r="F1981" s="126"/>
      <c r="G1981" s="7">
        <v>0</v>
      </c>
      <c r="H1981" s="7">
        <v>0</v>
      </c>
      <c r="I1981" s="7">
        <v>0</v>
      </c>
      <c r="J1981" s="7">
        <v>0</v>
      </c>
      <c r="K1981" s="3">
        <f t="shared" si="75"/>
        <v>0</v>
      </c>
      <c r="L1981" s="3"/>
      <c r="M1981" s="3">
        <f t="shared" si="76"/>
        <v>0</v>
      </c>
      <c r="O1981" s="5"/>
      <c r="S1981" s="6"/>
    </row>
    <row r="1982" spans="1:22" customFormat="1" x14ac:dyDescent="0.45">
      <c r="A1982">
        <v>465124</v>
      </c>
      <c r="B1982" t="s">
        <v>20185</v>
      </c>
      <c r="C1982" t="s">
        <v>20186</v>
      </c>
      <c r="D1982">
        <v>260</v>
      </c>
      <c r="E1982" t="s">
        <v>16334</v>
      </c>
      <c r="F1982" s="126"/>
      <c r="G1982" s="7">
        <v>0</v>
      </c>
      <c r="H1982" s="7">
        <v>0</v>
      </c>
      <c r="I1982" s="7">
        <v>0</v>
      </c>
      <c r="J1982" s="7">
        <v>0</v>
      </c>
      <c r="K1982" s="3">
        <f t="shared" si="75"/>
        <v>0</v>
      </c>
      <c r="L1982" s="3"/>
      <c r="M1982" s="3">
        <f t="shared" si="76"/>
        <v>0</v>
      </c>
      <c r="O1982" s="5"/>
      <c r="S1982" s="6"/>
    </row>
    <row r="1983" spans="1:22" customFormat="1" x14ac:dyDescent="0.45">
      <c r="A1983">
        <v>465127</v>
      </c>
      <c r="B1983" t="s">
        <v>20187</v>
      </c>
      <c r="C1983" t="s">
        <v>20188</v>
      </c>
      <c r="D1983">
        <v>6</v>
      </c>
      <c r="F1983" s="126"/>
      <c r="K1983" s="3">
        <f t="shared" si="75"/>
        <v>0</v>
      </c>
      <c r="L1983" s="3"/>
      <c r="M1983" s="3">
        <f t="shared" si="76"/>
        <v>0</v>
      </c>
      <c r="O1983" s="5"/>
      <c r="S1983" s="6"/>
    </row>
    <row r="1984" spans="1:22" customFormat="1" x14ac:dyDescent="0.45">
      <c r="A1984">
        <v>465320</v>
      </c>
      <c r="B1984" t="s">
        <v>20189</v>
      </c>
      <c r="C1984" t="s">
        <v>20190</v>
      </c>
      <c r="D1984">
        <v>1</v>
      </c>
      <c r="F1984" s="126"/>
      <c r="G1984" s="7">
        <v>0</v>
      </c>
      <c r="H1984" s="7">
        <v>0</v>
      </c>
      <c r="I1984" s="7">
        <v>0</v>
      </c>
      <c r="J1984" s="7">
        <v>0</v>
      </c>
      <c r="K1984" s="3">
        <f t="shared" si="75"/>
        <v>0</v>
      </c>
      <c r="L1984" s="3"/>
      <c r="M1984" s="3">
        <f t="shared" si="76"/>
        <v>0</v>
      </c>
      <c r="N1984" s="7"/>
      <c r="O1984" s="5"/>
      <c r="S1984" s="6"/>
    </row>
    <row r="1985" spans="1:19" customFormat="1" x14ac:dyDescent="0.45">
      <c r="A1985">
        <v>465408</v>
      </c>
      <c r="B1985" t="s">
        <v>20191</v>
      </c>
      <c r="C1985" t="s">
        <v>20192</v>
      </c>
      <c r="D1985">
        <v>5</v>
      </c>
      <c r="F1985" s="126"/>
      <c r="G1985" s="7">
        <v>0</v>
      </c>
      <c r="H1985" s="7">
        <v>0</v>
      </c>
      <c r="I1985" s="7">
        <v>0</v>
      </c>
      <c r="J1985" s="7">
        <v>0</v>
      </c>
      <c r="K1985" s="3">
        <f t="shared" si="75"/>
        <v>0</v>
      </c>
      <c r="L1985" s="3"/>
      <c r="M1985" s="3">
        <f t="shared" si="76"/>
        <v>0</v>
      </c>
      <c r="N1985" s="7"/>
      <c r="O1985" s="5"/>
      <c r="S1985" s="6"/>
    </row>
    <row r="1986" spans="1:19" customFormat="1" x14ac:dyDescent="0.45">
      <c r="A1986">
        <v>465484</v>
      </c>
      <c r="B1986" t="s">
        <v>20193</v>
      </c>
      <c r="C1986" t="s">
        <v>16331</v>
      </c>
      <c r="D1986">
        <v>3</v>
      </c>
      <c r="E1986" t="s">
        <v>16331</v>
      </c>
      <c r="F1986" s="126"/>
      <c r="G1986" s="7">
        <v>0</v>
      </c>
      <c r="H1986" s="7">
        <v>0</v>
      </c>
      <c r="I1986" s="7">
        <v>0</v>
      </c>
      <c r="J1986" s="7">
        <v>0</v>
      </c>
      <c r="K1986" s="3">
        <f t="shared" si="75"/>
        <v>0</v>
      </c>
      <c r="L1986" s="3"/>
      <c r="M1986" s="3">
        <f t="shared" si="76"/>
        <v>0</v>
      </c>
      <c r="O1986" s="5"/>
      <c r="S1986" s="6"/>
    </row>
    <row r="1987" spans="1:19" customFormat="1" x14ac:dyDescent="0.45">
      <c r="A1987">
        <v>465557</v>
      </c>
      <c r="B1987" t="s">
        <v>20194</v>
      </c>
      <c r="C1987" t="s">
        <v>20195</v>
      </c>
      <c r="D1987">
        <v>4</v>
      </c>
      <c r="F1987" s="126"/>
      <c r="G1987" s="7">
        <v>0</v>
      </c>
      <c r="H1987" s="7">
        <v>0</v>
      </c>
      <c r="I1987" s="7">
        <v>0</v>
      </c>
      <c r="J1987" s="7">
        <v>0</v>
      </c>
      <c r="K1987" s="3">
        <f t="shared" si="75"/>
        <v>0</v>
      </c>
      <c r="L1987" s="3"/>
      <c r="M1987" s="3">
        <f t="shared" si="76"/>
        <v>0</v>
      </c>
      <c r="O1987" s="5"/>
      <c r="S1987" s="6"/>
    </row>
    <row r="1988" spans="1:19" customFormat="1" x14ac:dyDescent="0.45">
      <c r="A1988">
        <v>465610</v>
      </c>
      <c r="B1988" t="s">
        <v>20196</v>
      </c>
      <c r="C1988" t="s">
        <v>20197</v>
      </c>
      <c r="D1988">
        <v>1</v>
      </c>
      <c r="F1988" s="126"/>
      <c r="G1988" s="7">
        <v>0</v>
      </c>
      <c r="H1988" s="7">
        <v>0</v>
      </c>
      <c r="I1988" s="7">
        <v>0</v>
      </c>
      <c r="J1988" s="7">
        <v>0</v>
      </c>
      <c r="K1988" s="3">
        <f t="shared" si="75"/>
        <v>0</v>
      </c>
      <c r="L1988" s="3"/>
      <c r="M1988" s="3">
        <f t="shared" si="76"/>
        <v>0</v>
      </c>
      <c r="O1988" s="5"/>
      <c r="S1988" s="6"/>
    </row>
    <row r="1989" spans="1:19" customFormat="1" x14ac:dyDescent="0.45">
      <c r="A1989">
        <v>465681</v>
      </c>
      <c r="B1989" t="s">
        <v>20198</v>
      </c>
      <c r="C1989" t="s">
        <v>20199</v>
      </c>
      <c r="D1989">
        <v>1</v>
      </c>
      <c r="F1989" s="126"/>
      <c r="G1989" s="7">
        <v>0</v>
      </c>
      <c r="H1989" s="7">
        <v>0</v>
      </c>
      <c r="I1989" s="7">
        <v>0</v>
      </c>
      <c r="J1989" s="7">
        <v>0</v>
      </c>
      <c r="K1989" s="3">
        <f t="shared" si="75"/>
        <v>0</v>
      </c>
      <c r="L1989" s="3"/>
      <c r="M1989" s="3">
        <f t="shared" si="76"/>
        <v>0</v>
      </c>
      <c r="O1989" s="5"/>
      <c r="S1989" s="6"/>
    </row>
    <row r="1990" spans="1:19" customFormat="1" x14ac:dyDescent="0.45">
      <c r="A1990">
        <v>465838</v>
      </c>
      <c r="B1990" t="s">
        <v>20200</v>
      </c>
      <c r="C1990" t="s">
        <v>20201</v>
      </c>
      <c r="D1990">
        <v>4</v>
      </c>
      <c r="F1990" s="126"/>
      <c r="G1990" s="7">
        <v>0</v>
      </c>
      <c r="H1990" s="7">
        <v>0</v>
      </c>
      <c r="I1990" s="7">
        <v>0</v>
      </c>
      <c r="J1990" s="7">
        <v>0</v>
      </c>
      <c r="K1990" s="3">
        <f t="shared" si="75"/>
        <v>0</v>
      </c>
      <c r="L1990" s="3"/>
      <c r="M1990" s="3">
        <f t="shared" si="76"/>
        <v>0</v>
      </c>
      <c r="O1990" s="5"/>
      <c r="S1990" s="6"/>
    </row>
    <row r="1991" spans="1:19" customFormat="1" x14ac:dyDescent="0.45">
      <c r="A1991">
        <v>465861</v>
      </c>
      <c r="B1991" t="s">
        <v>20202</v>
      </c>
      <c r="C1991" t="s">
        <v>20203</v>
      </c>
      <c r="D1991">
        <v>4</v>
      </c>
      <c r="F1991" s="126"/>
      <c r="G1991" s="7">
        <v>0</v>
      </c>
      <c r="H1991" s="7">
        <v>0</v>
      </c>
      <c r="I1991" s="7">
        <v>0</v>
      </c>
      <c r="J1991" s="7">
        <v>0</v>
      </c>
      <c r="K1991" s="3">
        <f t="shared" si="75"/>
        <v>0</v>
      </c>
      <c r="L1991" s="3"/>
      <c r="M1991" s="3">
        <f t="shared" si="76"/>
        <v>0</v>
      </c>
      <c r="O1991" s="5"/>
      <c r="S1991" s="6"/>
    </row>
    <row r="1992" spans="1:19" customFormat="1" x14ac:dyDescent="0.45">
      <c r="A1992">
        <v>466062</v>
      </c>
      <c r="B1992" t="s">
        <v>20204</v>
      </c>
      <c r="C1992" t="s">
        <v>20205</v>
      </c>
      <c r="D1992">
        <v>1</v>
      </c>
      <c r="F1992" s="126"/>
      <c r="K1992" s="3">
        <f t="shared" si="75"/>
        <v>0</v>
      </c>
      <c r="L1992" s="3"/>
      <c r="M1992" s="3">
        <f t="shared" si="76"/>
        <v>0</v>
      </c>
      <c r="O1992" s="5"/>
      <c r="S1992" s="6"/>
    </row>
    <row r="1993" spans="1:19" customFormat="1" x14ac:dyDescent="0.45">
      <c r="A1993">
        <v>466128</v>
      </c>
      <c r="B1993" t="s">
        <v>20206</v>
      </c>
      <c r="C1993" t="s">
        <v>20207</v>
      </c>
      <c r="D1993">
        <v>1</v>
      </c>
      <c r="F1993" s="126"/>
      <c r="G1993" s="7">
        <v>0</v>
      </c>
      <c r="H1993" s="7">
        <v>0</v>
      </c>
      <c r="I1993" s="7">
        <v>0</v>
      </c>
      <c r="J1993" s="7">
        <v>0</v>
      </c>
      <c r="K1993" s="3">
        <f t="shared" si="75"/>
        <v>0</v>
      </c>
      <c r="L1993" s="3"/>
      <c r="M1993" s="3">
        <f t="shared" si="76"/>
        <v>0</v>
      </c>
      <c r="O1993" s="5"/>
      <c r="S1993" s="6"/>
    </row>
    <row r="1994" spans="1:19" customFormat="1" x14ac:dyDescent="0.45">
      <c r="A1994">
        <v>466149</v>
      </c>
      <c r="B1994" t="s">
        <v>20208</v>
      </c>
      <c r="C1994" t="s">
        <v>20209</v>
      </c>
      <c r="D1994">
        <v>3</v>
      </c>
      <c r="F1994" s="126"/>
      <c r="G1994" s="7">
        <v>0</v>
      </c>
      <c r="H1994" s="7">
        <v>0</v>
      </c>
      <c r="I1994" s="7">
        <v>0</v>
      </c>
      <c r="J1994" s="7">
        <v>0</v>
      </c>
      <c r="K1994" s="3">
        <f t="shared" si="75"/>
        <v>0</v>
      </c>
      <c r="L1994" s="3"/>
      <c r="M1994" s="3">
        <f t="shared" si="76"/>
        <v>0</v>
      </c>
      <c r="O1994" s="5"/>
      <c r="S1994" s="6"/>
    </row>
    <row r="1995" spans="1:19" customFormat="1" x14ac:dyDescent="0.45">
      <c r="A1995">
        <v>466162</v>
      </c>
      <c r="B1995" t="s">
        <v>20210</v>
      </c>
      <c r="C1995" t="s">
        <v>20211</v>
      </c>
      <c r="D1995">
        <v>1</v>
      </c>
      <c r="F1995" s="126"/>
      <c r="G1995" s="7">
        <v>0</v>
      </c>
      <c r="H1995" s="7">
        <v>0</v>
      </c>
      <c r="I1995" s="7">
        <v>0</v>
      </c>
      <c r="J1995" s="7">
        <v>0</v>
      </c>
      <c r="K1995" s="3">
        <f t="shared" si="75"/>
        <v>0</v>
      </c>
      <c r="L1995" s="3"/>
      <c r="M1995" s="3">
        <f t="shared" si="76"/>
        <v>0</v>
      </c>
      <c r="O1995" s="5"/>
      <c r="S1995" s="6"/>
    </row>
    <row r="1996" spans="1:19" customFormat="1" x14ac:dyDescent="0.45">
      <c r="A1996">
        <v>466367</v>
      </c>
      <c r="B1996" t="s">
        <v>20212</v>
      </c>
      <c r="C1996" s="2" t="s">
        <v>20213</v>
      </c>
      <c r="D1996">
        <v>1</v>
      </c>
      <c r="F1996" s="126"/>
      <c r="G1996" s="3">
        <v>0</v>
      </c>
      <c r="H1996" s="3">
        <v>0</v>
      </c>
      <c r="I1996" s="3">
        <v>0</v>
      </c>
      <c r="J1996" s="3">
        <v>0</v>
      </c>
      <c r="K1996" s="3">
        <f t="shared" si="75"/>
        <v>0</v>
      </c>
      <c r="L1996" s="3"/>
      <c r="M1996" s="3">
        <f t="shared" si="76"/>
        <v>0</v>
      </c>
      <c r="O1996" s="5"/>
      <c r="S1996" s="6"/>
    </row>
    <row r="1997" spans="1:19" customFormat="1" x14ac:dyDescent="0.45">
      <c r="A1997">
        <v>466577</v>
      </c>
      <c r="B1997" t="s">
        <v>20214</v>
      </c>
      <c r="C1997" t="s">
        <v>20215</v>
      </c>
      <c r="D1997">
        <v>0</v>
      </c>
      <c r="E1997" t="s">
        <v>16561</v>
      </c>
      <c r="F1997" s="126"/>
      <c r="G1997" s="7">
        <v>0</v>
      </c>
      <c r="H1997" s="7">
        <v>0</v>
      </c>
      <c r="I1997" s="7">
        <v>0</v>
      </c>
      <c r="J1997" s="7">
        <v>0</v>
      </c>
      <c r="K1997" s="3">
        <f t="shared" si="75"/>
        <v>0</v>
      </c>
      <c r="L1997" s="3"/>
      <c r="M1997" s="3">
        <f t="shared" si="76"/>
        <v>0</v>
      </c>
      <c r="N1997" s="7"/>
      <c r="O1997" s="5"/>
      <c r="S1997" s="6"/>
    </row>
    <row r="1998" spans="1:19" customFormat="1" x14ac:dyDescent="0.45">
      <c r="A1998">
        <v>466588</v>
      </c>
      <c r="B1998" t="s">
        <v>20216</v>
      </c>
      <c r="C1998" t="s">
        <v>20217</v>
      </c>
      <c r="D1998">
        <v>0</v>
      </c>
      <c r="E1998" t="s">
        <v>16561</v>
      </c>
      <c r="F1998" s="126"/>
      <c r="G1998" s="7">
        <v>0</v>
      </c>
      <c r="H1998" s="7">
        <v>0</v>
      </c>
      <c r="I1998" s="7">
        <v>0</v>
      </c>
      <c r="J1998" s="7">
        <v>0</v>
      </c>
      <c r="K1998" s="3">
        <f t="shared" si="75"/>
        <v>0</v>
      </c>
      <c r="L1998" s="3"/>
      <c r="M1998" s="3">
        <f t="shared" si="76"/>
        <v>0</v>
      </c>
      <c r="N1998" s="7"/>
      <c r="O1998" s="5"/>
      <c r="S1998" s="6"/>
    </row>
    <row r="1999" spans="1:19" customFormat="1" x14ac:dyDescent="0.45">
      <c r="A1999">
        <v>466658</v>
      </c>
      <c r="B1999" t="s">
        <v>20218</v>
      </c>
      <c r="C1999" t="s">
        <v>16331</v>
      </c>
      <c r="D1999">
        <v>1</v>
      </c>
      <c r="E1999" t="s">
        <v>16331</v>
      </c>
      <c r="F1999" s="126"/>
      <c r="G1999" s="7">
        <v>0</v>
      </c>
      <c r="H1999" s="7">
        <v>0</v>
      </c>
      <c r="I1999" s="7">
        <v>0</v>
      </c>
      <c r="J1999" s="7">
        <v>0</v>
      </c>
      <c r="K1999" s="3">
        <f t="shared" si="75"/>
        <v>0</v>
      </c>
      <c r="L1999" s="3"/>
      <c r="M1999" s="3">
        <f t="shared" si="76"/>
        <v>0</v>
      </c>
      <c r="O1999" s="5"/>
      <c r="S1999" s="6"/>
    </row>
    <row r="2000" spans="1:19" customFormat="1" x14ac:dyDescent="0.45">
      <c r="A2000">
        <v>466675</v>
      </c>
      <c r="B2000" t="s">
        <v>20219</v>
      </c>
      <c r="C2000" t="s">
        <v>20220</v>
      </c>
      <c r="D2000">
        <v>1</v>
      </c>
      <c r="F2000" s="126"/>
      <c r="G2000" s="7">
        <v>0</v>
      </c>
      <c r="H2000" s="7">
        <v>0</v>
      </c>
      <c r="I2000" s="7">
        <v>0</v>
      </c>
      <c r="J2000" s="7">
        <v>0</v>
      </c>
      <c r="K2000" s="3">
        <f t="shared" si="75"/>
        <v>0</v>
      </c>
      <c r="L2000" s="3"/>
      <c r="M2000" s="3">
        <f t="shared" si="76"/>
        <v>0</v>
      </c>
      <c r="O2000" s="5"/>
      <c r="S2000" s="6"/>
    </row>
    <row r="2001" spans="1:22" customFormat="1" x14ac:dyDescent="0.45">
      <c r="A2001">
        <v>466728</v>
      </c>
      <c r="B2001" t="s">
        <v>20221</v>
      </c>
      <c r="C2001" t="s">
        <v>20222</v>
      </c>
      <c r="D2001">
        <v>27</v>
      </c>
      <c r="F2001" s="126"/>
      <c r="G2001" s="7">
        <v>0</v>
      </c>
      <c r="H2001" s="7">
        <v>0</v>
      </c>
      <c r="I2001" s="7">
        <v>0</v>
      </c>
      <c r="J2001" s="7">
        <v>0</v>
      </c>
      <c r="K2001" s="3">
        <f t="shared" si="75"/>
        <v>0</v>
      </c>
      <c r="L2001" s="3"/>
      <c r="M2001" s="3">
        <f t="shared" si="76"/>
        <v>0</v>
      </c>
      <c r="N2001" s="7"/>
      <c r="O2001" s="5"/>
      <c r="S2001" s="6"/>
    </row>
    <row r="2002" spans="1:22" customFormat="1" x14ac:dyDescent="0.45">
      <c r="A2002">
        <v>466832</v>
      </c>
      <c r="B2002" t="s">
        <v>20223</v>
      </c>
      <c r="C2002" t="s">
        <v>16331</v>
      </c>
      <c r="D2002">
        <v>2</v>
      </c>
      <c r="E2002" t="s">
        <v>16331</v>
      </c>
      <c r="F2002" s="126"/>
      <c r="G2002" s="7">
        <v>0</v>
      </c>
      <c r="H2002" s="7">
        <v>0</v>
      </c>
      <c r="I2002" s="7">
        <v>0</v>
      </c>
      <c r="J2002" s="7">
        <v>0</v>
      </c>
      <c r="K2002" s="3">
        <f t="shared" si="75"/>
        <v>0</v>
      </c>
      <c r="L2002" s="3"/>
      <c r="M2002" s="3">
        <f t="shared" si="76"/>
        <v>0</v>
      </c>
      <c r="O2002" s="5"/>
      <c r="S2002" s="6"/>
    </row>
    <row r="2003" spans="1:22" customFormat="1" x14ac:dyDescent="0.45">
      <c r="A2003">
        <v>467035</v>
      </c>
      <c r="B2003" t="s">
        <v>20224</v>
      </c>
      <c r="C2003" t="s">
        <v>20225</v>
      </c>
      <c r="D2003">
        <v>2</v>
      </c>
      <c r="F2003" s="126"/>
      <c r="G2003" s="7">
        <v>0</v>
      </c>
      <c r="H2003" s="7">
        <v>0</v>
      </c>
      <c r="I2003" s="7">
        <v>0</v>
      </c>
      <c r="J2003" s="7">
        <v>0</v>
      </c>
      <c r="K2003" s="3">
        <f t="shared" si="75"/>
        <v>0</v>
      </c>
      <c r="L2003" s="3"/>
      <c r="M2003" s="3">
        <f t="shared" si="76"/>
        <v>0</v>
      </c>
      <c r="O2003" s="5"/>
      <c r="S2003" s="6"/>
    </row>
    <row r="2004" spans="1:22" customFormat="1" x14ac:dyDescent="0.45">
      <c r="A2004">
        <v>467126</v>
      </c>
      <c r="B2004" t="s">
        <v>20226</v>
      </c>
      <c r="C2004" t="s">
        <v>20227</v>
      </c>
      <c r="D2004">
        <v>1</v>
      </c>
      <c r="F2004" s="126"/>
      <c r="G2004" s="7">
        <v>0</v>
      </c>
      <c r="H2004" s="7">
        <v>0</v>
      </c>
      <c r="I2004" s="7">
        <v>0</v>
      </c>
      <c r="J2004" s="7">
        <v>0</v>
      </c>
      <c r="K2004" s="3">
        <f t="shared" si="75"/>
        <v>0</v>
      </c>
      <c r="L2004" s="3"/>
      <c r="M2004" s="3">
        <f t="shared" si="76"/>
        <v>0</v>
      </c>
      <c r="O2004" s="5"/>
      <c r="S2004" s="6"/>
    </row>
    <row r="2005" spans="1:22" customFormat="1" x14ac:dyDescent="0.45">
      <c r="A2005">
        <v>467134</v>
      </c>
      <c r="B2005" t="s">
        <v>20228</v>
      </c>
      <c r="C2005" t="s">
        <v>20229</v>
      </c>
      <c r="D2005">
        <v>1</v>
      </c>
      <c r="F2005" s="126"/>
      <c r="G2005" s="7">
        <v>0</v>
      </c>
      <c r="H2005" s="7">
        <v>0</v>
      </c>
      <c r="I2005" s="7">
        <v>0</v>
      </c>
      <c r="J2005" s="7">
        <v>0</v>
      </c>
      <c r="K2005" s="3">
        <f t="shared" si="75"/>
        <v>0</v>
      </c>
      <c r="L2005" s="3"/>
      <c r="M2005" s="3">
        <f t="shared" si="76"/>
        <v>0</v>
      </c>
      <c r="N2005" s="7"/>
      <c r="O2005" s="5"/>
      <c r="S2005" s="6"/>
    </row>
    <row r="2006" spans="1:22" customFormat="1" x14ac:dyDescent="0.45">
      <c r="A2006">
        <v>467173</v>
      </c>
      <c r="B2006" t="s">
        <v>20230</v>
      </c>
      <c r="C2006" t="s">
        <v>20231</v>
      </c>
      <c r="D2006">
        <v>2</v>
      </c>
      <c r="F2006" s="126"/>
      <c r="K2006" s="3">
        <f t="shared" si="75"/>
        <v>0</v>
      </c>
      <c r="L2006" s="3"/>
      <c r="M2006" s="3">
        <f t="shared" si="76"/>
        <v>0</v>
      </c>
      <c r="O2006" s="5"/>
      <c r="S2006" s="6"/>
    </row>
    <row r="2007" spans="1:22" customFormat="1" x14ac:dyDescent="0.45">
      <c r="A2007">
        <v>467410</v>
      </c>
      <c r="B2007" t="s">
        <v>20232</v>
      </c>
      <c r="C2007" t="s">
        <v>17491</v>
      </c>
      <c r="D2007">
        <v>0</v>
      </c>
      <c r="E2007" t="s">
        <v>16561</v>
      </c>
      <c r="F2007" s="126"/>
      <c r="K2007" s="3">
        <f t="shared" si="75"/>
        <v>0</v>
      </c>
      <c r="L2007" s="3"/>
      <c r="M2007" s="3">
        <f t="shared" si="76"/>
        <v>0</v>
      </c>
      <c r="O2007" s="5"/>
      <c r="S2007" s="6"/>
    </row>
    <row r="2008" spans="1:22" customFormat="1" x14ac:dyDescent="0.45">
      <c r="A2008">
        <v>467705</v>
      </c>
      <c r="B2008" t="s">
        <v>20233</v>
      </c>
      <c r="C2008" t="s">
        <v>16331</v>
      </c>
      <c r="D2008">
        <v>3</v>
      </c>
      <c r="E2008" t="s">
        <v>16331</v>
      </c>
      <c r="F2008" s="126"/>
      <c r="G2008" s="7">
        <v>0</v>
      </c>
      <c r="H2008" s="7">
        <v>0</v>
      </c>
      <c r="I2008" s="7">
        <v>0</v>
      </c>
      <c r="J2008" s="7">
        <v>0</v>
      </c>
      <c r="K2008" s="3">
        <f t="shared" si="75"/>
        <v>0</v>
      </c>
      <c r="L2008" s="3"/>
      <c r="M2008" s="3">
        <f t="shared" si="76"/>
        <v>0</v>
      </c>
      <c r="O2008" s="5"/>
      <c r="S2008" s="6"/>
    </row>
    <row r="2009" spans="1:22" customFormat="1" x14ac:dyDescent="0.45">
      <c r="A2009">
        <v>467720</v>
      </c>
      <c r="B2009" t="s">
        <v>20234</v>
      </c>
      <c r="C2009" t="s">
        <v>20235</v>
      </c>
      <c r="D2009">
        <v>1</v>
      </c>
      <c r="F2009" s="126"/>
      <c r="G2009" s="7">
        <v>0</v>
      </c>
      <c r="H2009" s="7">
        <v>0</v>
      </c>
      <c r="I2009" s="7">
        <v>0</v>
      </c>
      <c r="J2009" s="7">
        <v>0</v>
      </c>
      <c r="K2009" s="3">
        <f t="shared" si="75"/>
        <v>0</v>
      </c>
      <c r="L2009" s="3"/>
      <c r="M2009" s="3">
        <f t="shared" si="76"/>
        <v>0</v>
      </c>
      <c r="O2009" s="5"/>
      <c r="S2009" s="6"/>
    </row>
    <row r="2010" spans="1:22" customFormat="1" x14ac:dyDescent="0.45">
      <c r="A2010">
        <v>467771</v>
      </c>
      <c r="B2010" t="s">
        <v>20236</v>
      </c>
      <c r="C2010" t="s">
        <v>20237</v>
      </c>
      <c r="D2010">
        <v>6</v>
      </c>
      <c r="F2010" s="126"/>
      <c r="G2010" s="7">
        <v>0</v>
      </c>
      <c r="H2010" s="7">
        <v>0</v>
      </c>
      <c r="I2010" s="7">
        <v>0</v>
      </c>
      <c r="J2010" s="7">
        <v>0</v>
      </c>
      <c r="K2010" s="3">
        <f t="shared" si="75"/>
        <v>0</v>
      </c>
      <c r="L2010" s="3"/>
      <c r="M2010" s="3">
        <f t="shared" si="76"/>
        <v>0</v>
      </c>
      <c r="N2010" s="7"/>
      <c r="O2010" s="5"/>
      <c r="S2010" s="6"/>
    </row>
    <row r="2011" spans="1:22" customFormat="1" x14ac:dyDescent="0.45">
      <c r="A2011">
        <v>467779</v>
      </c>
      <c r="B2011" t="s">
        <v>20238</v>
      </c>
      <c r="C2011" t="s">
        <v>20239</v>
      </c>
      <c r="D2011">
        <v>1</v>
      </c>
      <c r="F2011" s="126"/>
      <c r="G2011" s="7">
        <v>0</v>
      </c>
      <c r="H2011" s="7">
        <v>0</v>
      </c>
      <c r="I2011" s="7">
        <v>0</v>
      </c>
      <c r="J2011" s="7">
        <v>0</v>
      </c>
      <c r="K2011" s="3">
        <f t="shared" si="75"/>
        <v>0</v>
      </c>
      <c r="L2011" s="3"/>
      <c r="M2011" s="3">
        <f t="shared" si="76"/>
        <v>0</v>
      </c>
      <c r="O2011" s="5"/>
      <c r="S2011" s="6"/>
    </row>
    <row r="2012" spans="1:22" customFormat="1" x14ac:dyDescent="0.45">
      <c r="A2012">
        <v>467847</v>
      </c>
      <c r="B2012" t="s">
        <v>20240</v>
      </c>
      <c r="C2012" t="s">
        <v>20241</v>
      </c>
      <c r="D2012">
        <v>2</v>
      </c>
      <c r="F2012" s="126"/>
      <c r="G2012" s="7">
        <v>0</v>
      </c>
      <c r="H2012" s="7">
        <v>0</v>
      </c>
      <c r="I2012" s="7">
        <v>0</v>
      </c>
      <c r="J2012" s="7">
        <v>0</v>
      </c>
      <c r="K2012" s="3">
        <f t="shared" si="75"/>
        <v>0</v>
      </c>
      <c r="L2012" s="3"/>
      <c r="M2012" s="3">
        <f t="shared" si="76"/>
        <v>0</v>
      </c>
      <c r="N2012" s="7"/>
      <c r="O2012" s="5"/>
      <c r="S2012" s="6"/>
    </row>
    <row r="2013" spans="1:22" x14ac:dyDescent="0.45">
      <c r="A2013" s="124">
        <v>136414</v>
      </c>
      <c r="B2013" s="124" t="s">
        <v>20242</v>
      </c>
      <c r="C2013" s="124" t="s">
        <v>20068</v>
      </c>
      <c r="D2013" s="124">
        <v>282</v>
      </c>
      <c r="E2013" s="124" t="s">
        <v>16417</v>
      </c>
      <c r="F2013" s="126">
        <v>1.2200000000000001E-2</v>
      </c>
      <c r="G2013" s="126">
        <v>0.02</v>
      </c>
      <c r="H2013" s="126">
        <v>4.0000000000000001E-3</v>
      </c>
      <c r="I2013" s="127">
        <v>0</v>
      </c>
      <c r="J2013" s="127">
        <v>0</v>
      </c>
      <c r="K2013" s="126">
        <f t="shared" si="75"/>
        <v>2.4E-2</v>
      </c>
      <c r="L2013" s="3"/>
      <c r="M2013" s="126">
        <f t="shared" si="76"/>
        <v>3.6200000000000003E-2</v>
      </c>
      <c r="N2013" s="135"/>
      <c r="O2013" s="125" t="s">
        <v>20070</v>
      </c>
      <c r="P2013" s="125" t="s">
        <v>20071</v>
      </c>
      <c r="Q2013" s="130">
        <v>74976000</v>
      </c>
      <c r="R2013" s="130" t="s">
        <v>16348</v>
      </c>
      <c r="S2013" s="130">
        <v>62439000</v>
      </c>
      <c r="T2013" s="130">
        <f>S2013/Q2013</f>
        <v>0.83278649167733676</v>
      </c>
      <c r="U2013" s="130"/>
      <c r="V2013" s="125" t="s">
        <v>20243</v>
      </c>
    </row>
    <row r="2014" spans="1:22" customFormat="1" x14ac:dyDescent="0.45">
      <c r="A2014">
        <v>467903</v>
      </c>
      <c r="B2014" t="s">
        <v>20244</v>
      </c>
      <c r="C2014" t="s">
        <v>20245</v>
      </c>
      <c r="D2014">
        <v>2</v>
      </c>
      <c r="F2014" s="126"/>
      <c r="K2014" s="3">
        <f t="shared" si="75"/>
        <v>0</v>
      </c>
      <c r="L2014" s="3"/>
      <c r="M2014" s="3">
        <f t="shared" si="76"/>
        <v>0</v>
      </c>
      <c r="O2014" s="5"/>
      <c r="S2014" s="6"/>
    </row>
    <row r="2015" spans="1:22" customFormat="1" x14ac:dyDescent="0.45">
      <c r="A2015">
        <v>468059</v>
      </c>
      <c r="B2015" t="s">
        <v>20246</v>
      </c>
      <c r="C2015" t="s">
        <v>16331</v>
      </c>
      <c r="D2015">
        <v>1</v>
      </c>
      <c r="E2015" t="s">
        <v>16331</v>
      </c>
      <c r="F2015" s="126"/>
      <c r="G2015" s="7">
        <v>0</v>
      </c>
      <c r="H2015" s="7">
        <v>0</v>
      </c>
      <c r="I2015" s="7">
        <v>0</v>
      </c>
      <c r="J2015" s="7">
        <v>0</v>
      </c>
      <c r="K2015" s="3">
        <f t="shared" si="75"/>
        <v>0</v>
      </c>
      <c r="L2015" s="3"/>
      <c r="M2015" s="3">
        <f t="shared" si="76"/>
        <v>0</v>
      </c>
      <c r="O2015" s="5"/>
      <c r="S2015" s="6"/>
    </row>
    <row r="2016" spans="1:22" customFormat="1" x14ac:dyDescent="0.45">
      <c r="A2016">
        <v>468116</v>
      </c>
      <c r="B2016" t="s">
        <v>20247</v>
      </c>
      <c r="C2016" t="s">
        <v>16331</v>
      </c>
      <c r="D2016">
        <v>4</v>
      </c>
      <c r="E2016" t="s">
        <v>16331</v>
      </c>
      <c r="F2016" s="126"/>
      <c r="G2016" s="7">
        <v>0</v>
      </c>
      <c r="H2016" s="7">
        <v>0</v>
      </c>
      <c r="I2016" s="7">
        <v>0</v>
      </c>
      <c r="J2016" s="7">
        <v>0</v>
      </c>
      <c r="K2016" s="3">
        <f t="shared" si="75"/>
        <v>0</v>
      </c>
      <c r="L2016" s="3"/>
      <c r="M2016" s="3">
        <f t="shared" si="76"/>
        <v>0</v>
      </c>
      <c r="O2016" s="5"/>
      <c r="S2016" s="6"/>
    </row>
    <row r="2017" spans="1:19" customFormat="1" x14ac:dyDescent="0.45">
      <c r="A2017">
        <v>468119</v>
      </c>
      <c r="B2017" t="s">
        <v>20248</v>
      </c>
      <c r="C2017" t="s">
        <v>20249</v>
      </c>
      <c r="D2017">
        <v>4</v>
      </c>
      <c r="F2017" s="126"/>
      <c r="G2017" s="3">
        <v>0</v>
      </c>
      <c r="H2017" s="3">
        <v>0</v>
      </c>
      <c r="I2017" s="3">
        <v>0</v>
      </c>
      <c r="J2017" s="3">
        <v>0</v>
      </c>
      <c r="K2017" s="3">
        <f t="shared" si="75"/>
        <v>0</v>
      </c>
      <c r="L2017" s="3"/>
      <c r="M2017" s="3">
        <f t="shared" si="76"/>
        <v>0</v>
      </c>
      <c r="O2017" s="5"/>
      <c r="S2017" s="6"/>
    </row>
    <row r="2018" spans="1:19" customFormat="1" x14ac:dyDescent="0.45">
      <c r="A2018">
        <v>468321</v>
      </c>
      <c r="B2018" t="s">
        <v>20250</v>
      </c>
      <c r="C2018" t="s">
        <v>20251</v>
      </c>
      <c r="D2018">
        <v>10</v>
      </c>
      <c r="F2018" s="126"/>
      <c r="G2018" s="3">
        <v>0</v>
      </c>
      <c r="H2018" s="3">
        <v>0</v>
      </c>
      <c r="I2018" s="3">
        <v>0</v>
      </c>
      <c r="J2018" s="3">
        <v>0</v>
      </c>
      <c r="K2018" s="3">
        <f t="shared" si="75"/>
        <v>0</v>
      </c>
      <c r="L2018" s="3"/>
      <c r="M2018" s="3">
        <f t="shared" si="76"/>
        <v>0</v>
      </c>
      <c r="O2018" s="5"/>
      <c r="S2018" s="6"/>
    </row>
    <row r="2019" spans="1:19" customFormat="1" x14ac:dyDescent="0.45">
      <c r="A2019">
        <v>468445</v>
      </c>
      <c r="B2019" t="s">
        <v>20252</v>
      </c>
      <c r="C2019" t="s">
        <v>16331</v>
      </c>
      <c r="D2019">
        <v>2</v>
      </c>
      <c r="E2019" t="s">
        <v>16331</v>
      </c>
      <c r="F2019" s="126"/>
      <c r="G2019" s="7">
        <v>0</v>
      </c>
      <c r="H2019" s="7">
        <v>0</v>
      </c>
      <c r="I2019" s="7">
        <v>0</v>
      </c>
      <c r="J2019" s="7">
        <v>0</v>
      </c>
      <c r="K2019" s="3">
        <f t="shared" si="75"/>
        <v>0</v>
      </c>
      <c r="L2019" s="3"/>
      <c r="M2019" s="3">
        <f t="shared" si="76"/>
        <v>0</v>
      </c>
      <c r="O2019" s="5"/>
      <c r="S2019" s="6"/>
    </row>
    <row r="2020" spans="1:19" customFormat="1" x14ac:dyDescent="0.45">
      <c r="A2020">
        <v>468452</v>
      </c>
      <c r="B2020" t="s">
        <v>20253</v>
      </c>
      <c r="C2020" t="s">
        <v>16331</v>
      </c>
      <c r="D2020">
        <v>1</v>
      </c>
      <c r="E2020" t="s">
        <v>16331</v>
      </c>
      <c r="F2020" s="126"/>
      <c r="G2020" s="7">
        <v>0</v>
      </c>
      <c r="H2020" s="7">
        <v>0</v>
      </c>
      <c r="I2020" s="7">
        <v>0</v>
      </c>
      <c r="J2020" s="7">
        <v>0</v>
      </c>
      <c r="K2020" s="3">
        <f t="shared" si="75"/>
        <v>0</v>
      </c>
      <c r="L2020" s="3"/>
      <c r="M2020" s="3">
        <f t="shared" si="76"/>
        <v>0</v>
      </c>
      <c r="O2020" s="5"/>
      <c r="S2020" s="6"/>
    </row>
    <row r="2021" spans="1:19" customFormat="1" x14ac:dyDescent="0.45">
      <c r="A2021">
        <v>468541</v>
      </c>
      <c r="B2021" t="s">
        <v>20254</v>
      </c>
      <c r="C2021" t="s">
        <v>20255</v>
      </c>
      <c r="D2021">
        <v>2</v>
      </c>
      <c r="F2021" s="126"/>
      <c r="G2021" s="7">
        <v>0</v>
      </c>
      <c r="H2021" s="7">
        <v>0</v>
      </c>
      <c r="I2021" s="7">
        <v>0</v>
      </c>
      <c r="J2021" s="7">
        <v>0</v>
      </c>
      <c r="K2021" s="3">
        <f t="shared" si="75"/>
        <v>0</v>
      </c>
      <c r="L2021" s="3"/>
      <c r="M2021" s="3">
        <f t="shared" si="76"/>
        <v>0</v>
      </c>
      <c r="O2021" s="5"/>
      <c r="S2021" s="6"/>
    </row>
    <row r="2022" spans="1:19" customFormat="1" x14ac:dyDescent="0.45">
      <c r="A2022">
        <v>468636</v>
      </c>
      <c r="B2022" t="s">
        <v>20256</v>
      </c>
      <c r="C2022" t="s">
        <v>20257</v>
      </c>
      <c r="D2022">
        <v>4</v>
      </c>
      <c r="F2022" s="126"/>
      <c r="G2022" s="7">
        <v>0</v>
      </c>
      <c r="H2022" s="7">
        <v>0</v>
      </c>
      <c r="I2022" s="7">
        <v>0</v>
      </c>
      <c r="J2022" s="7">
        <v>0</v>
      </c>
      <c r="K2022" s="3">
        <f t="shared" si="75"/>
        <v>0</v>
      </c>
      <c r="L2022" s="3"/>
      <c r="M2022" s="3">
        <f t="shared" si="76"/>
        <v>0</v>
      </c>
      <c r="O2022" s="5"/>
      <c r="S2022" s="6"/>
    </row>
    <row r="2023" spans="1:19" customFormat="1" x14ac:dyDescent="0.45">
      <c r="A2023">
        <v>468797</v>
      </c>
      <c r="B2023" t="s">
        <v>20258</v>
      </c>
      <c r="C2023" t="s">
        <v>20259</v>
      </c>
      <c r="D2023">
        <v>3</v>
      </c>
      <c r="F2023" s="126"/>
      <c r="G2023" s="7">
        <v>0</v>
      </c>
      <c r="H2023" s="7">
        <v>0</v>
      </c>
      <c r="I2023" s="7">
        <v>0</v>
      </c>
      <c r="J2023" s="7">
        <v>0</v>
      </c>
      <c r="K2023" s="3">
        <f t="shared" si="75"/>
        <v>0</v>
      </c>
      <c r="L2023" s="3"/>
      <c r="M2023" s="3">
        <f t="shared" si="76"/>
        <v>0</v>
      </c>
      <c r="O2023" s="5"/>
      <c r="S2023" s="6"/>
    </row>
    <row r="2024" spans="1:19" customFormat="1" x14ac:dyDescent="0.45">
      <c r="A2024">
        <v>468805</v>
      </c>
      <c r="B2024" t="s">
        <v>20260</v>
      </c>
      <c r="C2024" t="s">
        <v>20261</v>
      </c>
      <c r="D2024">
        <v>2</v>
      </c>
      <c r="F2024" s="126"/>
      <c r="G2024" s="7">
        <v>0</v>
      </c>
      <c r="H2024" s="7">
        <v>0</v>
      </c>
      <c r="I2024" s="7">
        <v>0</v>
      </c>
      <c r="J2024" s="7">
        <v>0</v>
      </c>
      <c r="K2024" s="3">
        <f t="shared" si="75"/>
        <v>0</v>
      </c>
      <c r="L2024" s="3"/>
      <c r="M2024" s="3">
        <f t="shared" si="76"/>
        <v>0</v>
      </c>
      <c r="O2024" s="5"/>
      <c r="S2024" s="6"/>
    </row>
    <row r="2025" spans="1:19" customFormat="1" x14ac:dyDescent="0.45">
      <c r="A2025">
        <v>468821</v>
      </c>
      <c r="B2025" t="s">
        <v>20262</v>
      </c>
      <c r="C2025" t="s">
        <v>20263</v>
      </c>
      <c r="D2025">
        <v>2</v>
      </c>
      <c r="F2025" s="126"/>
      <c r="G2025" s="7">
        <v>0</v>
      </c>
      <c r="H2025" s="7">
        <v>0</v>
      </c>
      <c r="I2025" s="7">
        <v>0</v>
      </c>
      <c r="J2025" s="7">
        <v>0</v>
      </c>
      <c r="K2025" s="3">
        <f t="shared" si="75"/>
        <v>0</v>
      </c>
      <c r="L2025" s="3"/>
      <c r="M2025" s="3">
        <f t="shared" si="76"/>
        <v>0</v>
      </c>
      <c r="O2025" s="5"/>
      <c r="S2025" s="6"/>
    </row>
    <row r="2026" spans="1:19" customFormat="1" x14ac:dyDescent="0.45">
      <c r="A2026">
        <v>468942</v>
      </c>
      <c r="B2026" t="s">
        <v>20264</v>
      </c>
      <c r="C2026" t="s">
        <v>20265</v>
      </c>
      <c r="D2026">
        <v>1</v>
      </c>
      <c r="F2026" s="126"/>
      <c r="G2026" s="7">
        <v>0</v>
      </c>
      <c r="H2026" s="7">
        <v>0</v>
      </c>
      <c r="I2026" s="7">
        <v>0</v>
      </c>
      <c r="J2026" s="7">
        <v>0</v>
      </c>
      <c r="K2026" s="3">
        <f t="shared" si="75"/>
        <v>0</v>
      </c>
      <c r="L2026" s="3"/>
      <c r="M2026" s="3">
        <f t="shared" si="76"/>
        <v>0</v>
      </c>
      <c r="O2026" s="5"/>
      <c r="S2026" s="6"/>
    </row>
    <row r="2027" spans="1:19" customFormat="1" x14ac:dyDescent="0.45">
      <c r="A2027">
        <v>469024</v>
      </c>
      <c r="B2027" t="s">
        <v>20266</v>
      </c>
      <c r="C2027" t="s">
        <v>16331</v>
      </c>
      <c r="D2027">
        <v>1</v>
      </c>
      <c r="E2027" t="s">
        <v>16331</v>
      </c>
      <c r="F2027" s="126"/>
      <c r="G2027" s="7">
        <v>0</v>
      </c>
      <c r="H2027" s="7">
        <v>0</v>
      </c>
      <c r="I2027" s="7">
        <v>0</v>
      </c>
      <c r="J2027" s="7">
        <v>0</v>
      </c>
      <c r="K2027" s="3">
        <f t="shared" si="75"/>
        <v>0</v>
      </c>
      <c r="L2027" s="3"/>
      <c r="M2027" s="3">
        <f t="shared" si="76"/>
        <v>0</v>
      </c>
      <c r="O2027" s="5"/>
      <c r="S2027" s="6"/>
    </row>
    <row r="2028" spans="1:19" customFormat="1" x14ac:dyDescent="0.45">
      <c r="A2028">
        <v>469027</v>
      </c>
      <c r="B2028" t="s">
        <v>20267</v>
      </c>
      <c r="C2028" s="2" t="s">
        <v>20268</v>
      </c>
      <c r="D2028">
        <v>1</v>
      </c>
      <c r="F2028" s="126"/>
      <c r="G2028" s="3">
        <v>0</v>
      </c>
      <c r="H2028" s="3">
        <v>0</v>
      </c>
      <c r="I2028" s="3">
        <v>0</v>
      </c>
      <c r="J2028" s="3">
        <v>0</v>
      </c>
      <c r="K2028" s="3">
        <f t="shared" ref="K2028:K2091" si="77">SUM(G2028:J2028)</f>
        <v>0</v>
      </c>
      <c r="L2028" s="3"/>
      <c r="M2028" s="3">
        <f t="shared" ref="M2028:M2091" si="78">K2028+F2028</f>
        <v>0</v>
      </c>
      <c r="O2028" s="5"/>
      <c r="S2028" s="6"/>
    </row>
    <row r="2029" spans="1:19" customFormat="1" x14ac:dyDescent="0.45">
      <c r="A2029">
        <v>469073</v>
      </c>
      <c r="B2029" t="s">
        <v>20269</v>
      </c>
      <c r="C2029" t="s">
        <v>20270</v>
      </c>
      <c r="D2029">
        <v>2</v>
      </c>
      <c r="F2029" s="126"/>
      <c r="K2029" s="3">
        <f t="shared" si="77"/>
        <v>0</v>
      </c>
      <c r="L2029" s="3"/>
      <c r="M2029" s="3">
        <f t="shared" si="78"/>
        <v>0</v>
      </c>
      <c r="O2029" s="5"/>
      <c r="S2029" s="6"/>
    </row>
    <row r="2030" spans="1:19" customFormat="1" x14ac:dyDescent="0.45">
      <c r="A2030">
        <v>469077</v>
      </c>
      <c r="B2030" t="s">
        <v>20271</v>
      </c>
      <c r="C2030" t="s">
        <v>20272</v>
      </c>
      <c r="D2030">
        <v>2</v>
      </c>
      <c r="F2030" s="126"/>
      <c r="G2030" s="7">
        <v>0</v>
      </c>
      <c r="H2030" s="7">
        <v>0</v>
      </c>
      <c r="I2030" s="7">
        <v>0</v>
      </c>
      <c r="J2030" s="7">
        <v>0</v>
      </c>
      <c r="K2030" s="3">
        <f t="shared" si="77"/>
        <v>0</v>
      </c>
      <c r="L2030" s="3"/>
      <c r="M2030" s="3">
        <f t="shared" si="78"/>
        <v>0</v>
      </c>
      <c r="O2030" s="5"/>
      <c r="S2030" s="6"/>
    </row>
    <row r="2031" spans="1:19" customFormat="1" x14ac:dyDescent="0.45">
      <c r="A2031">
        <v>469147</v>
      </c>
      <c r="B2031" t="s">
        <v>20273</v>
      </c>
      <c r="C2031" t="s">
        <v>16331</v>
      </c>
      <c r="D2031">
        <v>1</v>
      </c>
      <c r="E2031" t="s">
        <v>16331</v>
      </c>
      <c r="F2031" s="126"/>
      <c r="G2031" s="7">
        <v>0</v>
      </c>
      <c r="H2031" s="7">
        <v>0</v>
      </c>
      <c r="I2031" s="7">
        <v>0</v>
      </c>
      <c r="J2031" s="7">
        <v>0</v>
      </c>
      <c r="K2031" s="3">
        <f t="shared" si="77"/>
        <v>0</v>
      </c>
      <c r="L2031" s="3"/>
      <c r="M2031" s="3">
        <f t="shared" si="78"/>
        <v>0</v>
      </c>
      <c r="N2031" s="7"/>
      <c r="O2031" s="5"/>
      <c r="S2031" s="6"/>
    </row>
    <row r="2032" spans="1:19" customFormat="1" x14ac:dyDescent="0.45">
      <c r="A2032">
        <v>469162</v>
      </c>
      <c r="B2032" t="s">
        <v>20274</v>
      </c>
      <c r="C2032" t="s">
        <v>20275</v>
      </c>
      <c r="D2032">
        <v>3</v>
      </c>
      <c r="F2032" s="126"/>
      <c r="G2032" s="3">
        <v>0</v>
      </c>
      <c r="H2032" s="3">
        <v>0</v>
      </c>
      <c r="I2032" s="3">
        <v>0</v>
      </c>
      <c r="J2032" s="3">
        <v>0</v>
      </c>
      <c r="K2032" s="3">
        <f t="shared" si="77"/>
        <v>0</v>
      </c>
      <c r="L2032" s="3"/>
      <c r="M2032" s="3">
        <f t="shared" si="78"/>
        <v>0</v>
      </c>
      <c r="O2032" s="5"/>
      <c r="S2032" s="6"/>
    </row>
    <row r="2033" spans="1:22" customFormat="1" x14ac:dyDescent="0.45">
      <c r="A2033">
        <v>469175</v>
      </c>
      <c r="B2033" t="s">
        <v>20276</v>
      </c>
      <c r="C2033" t="s">
        <v>20277</v>
      </c>
      <c r="D2033">
        <v>4</v>
      </c>
      <c r="F2033" s="126"/>
      <c r="G2033" s="7">
        <v>0</v>
      </c>
      <c r="H2033" s="7">
        <v>0</v>
      </c>
      <c r="I2033" s="7">
        <v>0</v>
      </c>
      <c r="J2033" s="7">
        <v>0</v>
      </c>
      <c r="K2033" s="3">
        <f t="shared" si="77"/>
        <v>0</v>
      </c>
      <c r="L2033" s="3"/>
      <c r="M2033" s="3">
        <f t="shared" si="78"/>
        <v>0</v>
      </c>
      <c r="O2033" s="5"/>
      <c r="S2033" s="6"/>
    </row>
    <row r="2034" spans="1:22" customFormat="1" x14ac:dyDescent="0.45">
      <c r="A2034">
        <v>469399</v>
      </c>
      <c r="B2034" t="s">
        <v>20278</v>
      </c>
      <c r="C2034" t="s">
        <v>20279</v>
      </c>
      <c r="D2034">
        <v>1</v>
      </c>
      <c r="F2034" s="126"/>
      <c r="G2034" s="7">
        <v>0</v>
      </c>
      <c r="H2034" s="7">
        <v>0</v>
      </c>
      <c r="I2034" s="7">
        <v>0</v>
      </c>
      <c r="J2034" s="7">
        <v>0</v>
      </c>
      <c r="K2034" s="3">
        <f t="shared" si="77"/>
        <v>0</v>
      </c>
      <c r="L2034" s="3"/>
      <c r="M2034" s="3">
        <f t="shared" si="78"/>
        <v>0</v>
      </c>
      <c r="O2034" s="5"/>
      <c r="S2034" s="6"/>
    </row>
    <row r="2035" spans="1:22" customFormat="1" x14ac:dyDescent="0.45">
      <c r="A2035">
        <v>469482</v>
      </c>
      <c r="B2035" t="s">
        <v>20280</v>
      </c>
      <c r="C2035" t="s">
        <v>16331</v>
      </c>
      <c r="D2035">
        <v>11</v>
      </c>
      <c r="E2035" t="s">
        <v>16331</v>
      </c>
      <c r="F2035" s="126"/>
      <c r="K2035" s="3">
        <f t="shared" si="77"/>
        <v>0</v>
      </c>
      <c r="L2035" s="3"/>
      <c r="M2035" s="3">
        <f t="shared" si="78"/>
        <v>0</v>
      </c>
      <c r="O2035" s="5"/>
      <c r="S2035" s="6"/>
    </row>
    <row r="2036" spans="1:22" customFormat="1" x14ac:dyDescent="0.45">
      <c r="A2036">
        <v>469500</v>
      </c>
      <c r="B2036" t="s">
        <v>20281</v>
      </c>
      <c r="C2036" t="s">
        <v>20282</v>
      </c>
      <c r="D2036">
        <v>3</v>
      </c>
      <c r="F2036" s="126"/>
      <c r="G2036" s="3">
        <v>0</v>
      </c>
      <c r="H2036" s="3">
        <v>0</v>
      </c>
      <c r="I2036" s="3">
        <v>0</v>
      </c>
      <c r="J2036" s="3">
        <v>0</v>
      </c>
      <c r="K2036" s="3">
        <f t="shared" si="77"/>
        <v>0</v>
      </c>
      <c r="L2036" s="3"/>
      <c r="M2036" s="3">
        <f t="shared" si="78"/>
        <v>0</v>
      </c>
      <c r="O2036" s="5"/>
      <c r="S2036" s="6"/>
    </row>
    <row r="2037" spans="1:22" customFormat="1" x14ac:dyDescent="0.45">
      <c r="A2037">
        <v>469507</v>
      </c>
      <c r="B2037" t="s">
        <v>20283</v>
      </c>
      <c r="C2037" s="2" t="s">
        <v>20284</v>
      </c>
      <c r="D2037">
        <v>1</v>
      </c>
      <c r="F2037" s="126"/>
      <c r="G2037" s="3">
        <v>0</v>
      </c>
      <c r="H2037" s="3">
        <v>0</v>
      </c>
      <c r="I2037" s="3">
        <v>0</v>
      </c>
      <c r="J2037" s="3">
        <v>0</v>
      </c>
      <c r="K2037" s="3">
        <f t="shared" si="77"/>
        <v>0</v>
      </c>
      <c r="L2037" s="3"/>
      <c r="M2037" s="3">
        <f t="shared" si="78"/>
        <v>0</v>
      </c>
      <c r="O2037" s="5"/>
      <c r="S2037" s="6"/>
    </row>
    <row r="2038" spans="1:22" customFormat="1" x14ac:dyDescent="0.45">
      <c r="A2038">
        <v>469508</v>
      </c>
      <c r="B2038" t="s">
        <v>20285</v>
      </c>
      <c r="C2038" t="s">
        <v>20286</v>
      </c>
      <c r="D2038">
        <v>1</v>
      </c>
      <c r="F2038" s="126"/>
      <c r="K2038" s="3">
        <f t="shared" si="77"/>
        <v>0</v>
      </c>
      <c r="L2038" s="3"/>
      <c r="M2038" s="3">
        <f t="shared" si="78"/>
        <v>0</v>
      </c>
      <c r="O2038" s="5"/>
      <c r="S2038" s="6"/>
    </row>
    <row r="2039" spans="1:22" customFormat="1" x14ac:dyDescent="0.45">
      <c r="A2039">
        <v>469547</v>
      </c>
      <c r="B2039" t="s">
        <v>20287</v>
      </c>
      <c r="C2039" t="s">
        <v>20288</v>
      </c>
      <c r="D2039">
        <v>17</v>
      </c>
      <c r="F2039" s="126"/>
      <c r="G2039" s="7">
        <v>0</v>
      </c>
      <c r="H2039" s="7">
        <v>0</v>
      </c>
      <c r="I2039" s="7">
        <v>0</v>
      </c>
      <c r="J2039" s="7">
        <v>0</v>
      </c>
      <c r="K2039" s="3">
        <f t="shared" si="77"/>
        <v>0</v>
      </c>
      <c r="L2039" s="3"/>
      <c r="M2039" s="3">
        <f t="shared" si="78"/>
        <v>0</v>
      </c>
      <c r="O2039" s="5"/>
      <c r="S2039" s="6"/>
    </row>
    <row r="2040" spans="1:22" customFormat="1" x14ac:dyDescent="0.45">
      <c r="A2040">
        <v>469658</v>
      </c>
      <c r="B2040" t="s">
        <v>20289</v>
      </c>
      <c r="C2040" t="s">
        <v>20290</v>
      </c>
      <c r="D2040">
        <v>1</v>
      </c>
      <c r="F2040" s="126"/>
      <c r="G2040" s="7">
        <v>0</v>
      </c>
      <c r="H2040" s="7">
        <v>0</v>
      </c>
      <c r="I2040" s="7">
        <v>0</v>
      </c>
      <c r="J2040" s="7">
        <v>0</v>
      </c>
      <c r="K2040" s="3">
        <f t="shared" si="77"/>
        <v>0</v>
      </c>
      <c r="L2040" s="3"/>
      <c r="M2040" s="3">
        <f t="shared" si="78"/>
        <v>0</v>
      </c>
      <c r="O2040" s="5"/>
      <c r="S2040" s="6"/>
    </row>
    <row r="2041" spans="1:22" customFormat="1" x14ac:dyDescent="0.45">
      <c r="A2041">
        <v>469662</v>
      </c>
      <c r="B2041" t="s">
        <v>20291</v>
      </c>
      <c r="C2041" t="s">
        <v>16331</v>
      </c>
      <c r="D2041">
        <v>1</v>
      </c>
      <c r="E2041" t="s">
        <v>16331</v>
      </c>
      <c r="F2041" s="126"/>
      <c r="G2041" s="7">
        <v>0</v>
      </c>
      <c r="H2041" s="7">
        <v>0</v>
      </c>
      <c r="I2041" s="7">
        <v>0</v>
      </c>
      <c r="J2041" s="7">
        <v>0</v>
      </c>
      <c r="K2041" s="3">
        <f t="shared" si="77"/>
        <v>0</v>
      </c>
      <c r="L2041" s="3"/>
      <c r="M2041" s="3">
        <f t="shared" si="78"/>
        <v>0</v>
      </c>
      <c r="O2041" s="5"/>
      <c r="S2041" s="6"/>
    </row>
    <row r="2042" spans="1:22" customFormat="1" x14ac:dyDescent="0.45">
      <c r="A2042">
        <v>469909</v>
      </c>
      <c r="B2042" t="s">
        <v>20292</v>
      </c>
      <c r="C2042" t="s">
        <v>20293</v>
      </c>
      <c r="D2042">
        <v>1</v>
      </c>
      <c r="F2042" s="126"/>
      <c r="G2042" s="7">
        <v>0</v>
      </c>
      <c r="H2042" s="7">
        <v>0</v>
      </c>
      <c r="I2042" s="7">
        <v>0</v>
      </c>
      <c r="J2042" s="7">
        <v>0</v>
      </c>
      <c r="K2042" s="3">
        <f t="shared" si="77"/>
        <v>0</v>
      </c>
      <c r="L2042" s="3"/>
      <c r="M2042" s="3">
        <f t="shared" si="78"/>
        <v>0</v>
      </c>
      <c r="O2042" s="5"/>
      <c r="S2042" s="6"/>
    </row>
    <row r="2043" spans="1:22" customFormat="1" x14ac:dyDescent="0.45">
      <c r="A2043">
        <v>469955</v>
      </c>
      <c r="B2043" t="s">
        <v>20294</v>
      </c>
      <c r="C2043" t="s">
        <v>20295</v>
      </c>
      <c r="D2043">
        <v>21</v>
      </c>
      <c r="F2043" s="126"/>
      <c r="G2043" s="7">
        <v>0</v>
      </c>
      <c r="H2043" s="7">
        <v>0</v>
      </c>
      <c r="I2043" s="7">
        <v>0</v>
      </c>
      <c r="J2043" s="7">
        <v>0</v>
      </c>
      <c r="K2043" s="3">
        <f t="shared" si="77"/>
        <v>0</v>
      </c>
      <c r="L2043" s="3"/>
      <c r="M2043" s="3">
        <f t="shared" si="78"/>
        <v>0</v>
      </c>
      <c r="O2043" s="5"/>
      <c r="S2043" s="6"/>
    </row>
    <row r="2044" spans="1:22" customFormat="1" x14ac:dyDescent="0.45">
      <c r="A2044">
        <v>469998</v>
      </c>
      <c r="B2044" t="s">
        <v>20296</v>
      </c>
      <c r="C2044" t="s">
        <v>20297</v>
      </c>
      <c r="D2044">
        <v>2</v>
      </c>
      <c r="F2044" s="126"/>
      <c r="K2044" s="3">
        <f t="shared" si="77"/>
        <v>0</v>
      </c>
      <c r="L2044" s="3"/>
      <c r="M2044" s="3">
        <f t="shared" si="78"/>
        <v>0</v>
      </c>
      <c r="O2044" s="5"/>
      <c r="S2044" s="6"/>
    </row>
    <row r="2045" spans="1:22" customFormat="1" x14ac:dyDescent="0.45">
      <c r="A2045">
        <v>470092</v>
      </c>
      <c r="B2045" t="s">
        <v>20298</v>
      </c>
      <c r="C2045" t="s">
        <v>16331</v>
      </c>
      <c r="D2045">
        <v>1</v>
      </c>
      <c r="E2045" t="s">
        <v>16331</v>
      </c>
      <c r="F2045" s="126"/>
      <c r="G2045" s="7">
        <v>0</v>
      </c>
      <c r="H2045" s="7">
        <v>0</v>
      </c>
      <c r="I2045" s="7">
        <v>0</v>
      </c>
      <c r="J2045" s="7">
        <v>0</v>
      </c>
      <c r="K2045" s="3">
        <f t="shared" si="77"/>
        <v>0</v>
      </c>
      <c r="L2045" s="3"/>
      <c r="M2045" s="3">
        <f t="shared" si="78"/>
        <v>0</v>
      </c>
      <c r="O2045" s="5"/>
      <c r="S2045" s="6"/>
    </row>
    <row r="2046" spans="1:22" customFormat="1" x14ac:dyDescent="0.45">
      <c r="A2046">
        <v>470102</v>
      </c>
      <c r="B2046" t="s">
        <v>20299</v>
      </c>
      <c r="C2046" t="s">
        <v>20300</v>
      </c>
      <c r="D2046">
        <v>1</v>
      </c>
      <c r="F2046" s="126"/>
      <c r="G2046" s="7">
        <v>0</v>
      </c>
      <c r="H2046" s="7">
        <v>0</v>
      </c>
      <c r="I2046" s="7">
        <v>0</v>
      </c>
      <c r="J2046" s="7">
        <v>0</v>
      </c>
      <c r="K2046" s="3">
        <f t="shared" si="77"/>
        <v>0</v>
      </c>
      <c r="L2046" s="3"/>
      <c r="M2046" s="3">
        <f t="shared" si="78"/>
        <v>0</v>
      </c>
      <c r="O2046" s="5"/>
      <c r="S2046" s="6"/>
    </row>
    <row r="2047" spans="1:22" customFormat="1" x14ac:dyDescent="0.45">
      <c r="A2047">
        <v>470448</v>
      </c>
      <c r="B2047" t="s">
        <v>20301</v>
      </c>
      <c r="C2047" t="s">
        <v>16331</v>
      </c>
      <c r="D2047">
        <v>1</v>
      </c>
      <c r="E2047" t="s">
        <v>16331</v>
      </c>
      <c r="F2047" s="126"/>
      <c r="G2047" s="7">
        <v>0</v>
      </c>
      <c r="H2047" s="7">
        <v>0</v>
      </c>
      <c r="I2047" s="7">
        <v>0</v>
      </c>
      <c r="J2047" s="7">
        <v>0</v>
      </c>
      <c r="K2047" s="3">
        <f t="shared" si="77"/>
        <v>0</v>
      </c>
      <c r="L2047" s="3"/>
      <c r="M2047" s="3">
        <f t="shared" si="78"/>
        <v>0</v>
      </c>
      <c r="O2047" s="5"/>
      <c r="S2047" s="6"/>
    </row>
    <row r="2048" spans="1:22" x14ac:dyDescent="0.45">
      <c r="A2048" s="124">
        <v>137569</v>
      </c>
      <c r="B2048" s="124" t="s">
        <v>20302</v>
      </c>
      <c r="C2048" s="124" t="s">
        <v>20068</v>
      </c>
      <c r="D2048" s="124">
        <v>4</v>
      </c>
      <c r="E2048" s="124" t="s">
        <v>16417</v>
      </c>
      <c r="F2048" s="126">
        <v>1.2200000000000001E-2</v>
      </c>
      <c r="G2048" s="126">
        <v>0.02</v>
      </c>
      <c r="H2048" s="126">
        <v>4.0000000000000001E-3</v>
      </c>
      <c r="I2048" s="127">
        <v>0</v>
      </c>
      <c r="J2048" s="127">
        <v>0</v>
      </c>
      <c r="K2048" s="126">
        <f t="shared" si="77"/>
        <v>2.4E-2</v>
      </c>
      <c r="L2048" s="3"/>
      <c r="M2048" s="126">
        <f t="shared" si="78"/>
        <v>3.6200000000000003E-2</v>
      </c>
      <c r="N2048" s="135" t="s">
        <v>20303</v>
      </c>
      <c r="O2048" s="125" t="s">
        <v>20070</v>
      </c>
      <c r="P2048" s="125" t="s">
        <v>20071</v>
      </c>
      <c r="Q2048" s="130">
        <v>74976000</v>
      </c>
      <c r="R2048" s="130" t="s">
        <v>16348</v>
      </c>
      <c r="S2048" s="130">
        <v>62439000</v>
      </c>
      <c r="T2048" s="130">
        <f>S2048/Q2048</f>
        <v>0.83278649167733676</v>
      </c>
      <c r="U2048" s="130"/>
      <c r="V2048" s="125" t="s">
        <v>20304</v>
      </c>
    </row>
    <row r="2049" spans="1:22" customFormat="1" x14ac:dyDescent="0.45">
      <c r="A2049">
        <v>470611</v>
      </c>
      <c r="B2049" t="s">
        <v>20305</v>
      </c>
      <c r="C2049" t="s">
        <v>20306</v>
      </c>
      <c r="D2049">
        <v>2</v>
      </c>
      <c r="F2049" s="126"/>
      <c r="G2049" s="7">
        <v>0</v>
      </c>
      <c r="H2049" s="7">
        <v>0</v>
      </c>
      <c r="I2049" s="7">
        <v>0</v>
      </c>
      <c r="J2049" s="7">
        <v>0</v>
      </c>
      <c r="K2049" s="3">
        <f t="shared" si="77"/>
        <v>0</v>
      </c>
      <c r="L2049" s="3"/>
      <c r="M2049" s="3">
        <f t="shared" si="78"/>
        <v>0</v>
      </c>
      <c r="O2049" s="5"/>
      <c r="S2049" s="6"/>
    </row>
    <row r="2050" spans="1:22" customFormat="1" x14ac:dyDescent="0.45">
      <c r="A2050">
        <v>470648</v>
      </c>
      <c r="B2050" t="s">
        <v>20307</v>
      </c>
      <c r="C2050" t="s">
        <v>20308</v>
      </c>
      <c r="D2050">
        <v>2</v>
      </c>
      <c r="F2050" s="126"/>
      <c r="G2050" s="7">
        <v>0</v>
      </c>
      <c r="H2050" s="7">
        <v>0</v>
      </c>
      <c r="I2050" s="7">
        <v>0</v>
      </c>
      <c r="J2050" s="7">
        <v>0</v>
      </c>
      <c r="K2050" s="3">
        <f t="shared" si="77"/>
        <v>0</v>
      </c>
      <c r="L2050" s="3"/>
      <c r="M2050" s="3">
        <f t="shared" si="78"/>
        <v>0</v>
      </c>
      <c r="O2050" s="5"/>
      <c r="S2050" s="6"/>
    </row>
    <row r="2051" spans="1:22" customFormat="1" x14ac:dyDescent="0.45">
      <c r="A2051">
        <v>470707</v>
      </c>
      <c r="B2051" t="s">
        <v>20309</v>
      </c>
      <c r="C2051" t="s">
        <v>16331</v>
      </c>
      <c r="D2051">
        <v>3</v>
      </c>
      <c r="E2051" t="s">
        <v>16331</v>
      </c>
      <c r="F2051" s="126"/>
      <c r="G2051" s="7">
        <v>0</v>
      </c>
      <c r="H2051" s="7">
        <v>0</v>
      </c>
      <c r="I2051" s="7">
        <v>0</v>
      </c>
      <c r="J2051" s="23">
        <v>0</v>
      </c>
      <c r="K2051" s="3">
        <f t="shared" si="77"/>
        <v>0</v>
      </c>
      <c r="L2051" s="3"/>
      <c r="M2051" s="3">
        <f t="shared" si="78"/>
        <v>0</v>
      </c>
      <c r="O2051" s="5"/>
      <c r="S2051" s="6"/>
    </row>
    <row r="2052" spans="1:22" customFormat="1" x14ac:dyDescent="0.45">
      <c r="A2052">
        <v>470730</v>
      </c>
      <c r="B2052" t="s">
        <v>20310</v>
      </c>
      <c r="C2052" t="s">
        <v>16331</v>
      </c>
      <c r="D2052">
        <v>1</v>
      </c>
      <c r="E2052" t="s">
        <v>16331</v>
      </c>
      <c r="F2052" s="126"/>
      <c r="G2052" s="7">
        <v>0</v>
      </c>
      <c r="H2052" s="7">
        <v>0</v>
      </c>
      <c r="I2052" s="7">
        <v>0</v>
      </c>
      <c r="J2052" s="7">
        <v>0</v>
      </c>
      <c r="K2052" s="3">
        <f t="shared" si="77"/>
        <v>0</v>
      </c>
      <c r="L2052" s="3"/>
      <c r="M2052" s="3">
        <f t="shared" si="78"/>
        <v>0</v>
      </c>
      <c r="O2052" s="5"/>
      <c r="S2052" s="6"/>
    </row>
    <row r="2053" spans="1:22" customFormat="1" x14ac:dyDescent="0.45">
      <c r="A2053">
        <v>470835</v>
      </c>
      <c r="B2053" t="s">
        <v>20311</v>
      </c>
      <c r="C2053" t="s">
        <v>20312</v>
      </c>
      <c r="D2053">
        <v>1</v>
      </c>
      <c r="F2053" s="126"/>
      <c r="G2053" s="7">
        <v>0</v>
      </c>
      <c r="H2053" s="7">
        <v>0</v>
      </c>
      <c r="I2053" s="7">
        <v>0</v>
      </c>
      <c r="J2053" s="7">
        <v>0</v>
      </c>
      <c r="K2053" s="3">
        <f t="shared" si="77"/>
        <v>0</v>
      </c>
      <c r="L2053" s="3"/>
      <c r="M2053" s="3">
        <f t="shared" si="78"/>
        <v>0</v>
      </c>
      <c r="O2053" s="5"/>
      <c r="S2053" s="6"/>
    </row>
    <row r="2054" spans="1:22" customFormat="1" x14ac:dyDescent="0.45">
      <c r="A2054">
        <v>470952</v>
      </c>
      <c r="B2054" t="s">
        <v>20313</v>
      </c>
      <c r="C2054" t="s">
        <v>16331</v>
      </c>
      <c r="D2054">
        <v>2</v>
      </c>
      <c r="E2054" t="s">
        <v>16331</v>
      </c>
      <c r="F2054" s="126"/>
      <c r="G2054" s="7">
        <v>0</v>
      </c>
      <c r="H2054" s="7">
        <v>0</v>
      </c>
      <c r="I2054" s="7">
        <v>0</v>
      </c>
      <c r="J2054" s="7">
        <v>0</v>
      </c>
      <c r="K2054" s="3">
        <f t="shared" si="77"/>
        <v>0</v>
      </c>
      <c r="L2054" s="3"/>
      <c r="M2054" s="3">
        <f t="shared" si="78"/>
        <v>0</v>
      </c>
      <c r="O2054" s="5"/>
      <c r="S2054" s="6"/>
    </row>
    <row r="2055" spans="1:22" customFormat="1" x14ac:dyDescent="0.45">
      <c r="A2055">
        <v>471003</v>
      </c>
      <c r="B2055" t="s">
        <v>20314</v>
      </c>
      <c r="C2055" t="s">
        <v>20315</v>
      </c>
      <c r="D2055">
        <v>0</v>
      </c>
      <c r="E2055" t="s">
        <v>16561</v>
      </c>
      <c r="F2055" s="126"/>
      <c r="G2055" s="7">
        <v>0</v>
      </c>
      <c r="H2055" s="7">
        <v>0</v>
      </c>
      <c r="I2055" s="7">
        <v>0</v>
      </c>
      <c r="J2055" s="7">
        <v>0</v>
      </c>
      <c r="K2055" s="3">
        <f t="shared" si="77"/>
        <v>0</v>
      </c>
      <c r="L2055" s="3"/>
      <c r="M2055" s="3">
        <f t="shared" si="78"/>
        <v>0</v>
      </c>
      <c r="N2055" s="7"/>
      <c r="O2055" s="5"/>
      <c r="S2055" s="6"/>
    </row>
    <row r="2056" spans="1:22" customFormat="1" x14ac:dyDescent="0.45">
      <c r="A2056">
        <v>471048</v>
      </c>
      <c r="B2056" t="s">
        <v>20316</v>
      </c>
      <c r="C2056" t="s">
        <v>20317</v>
      </c>
      <c r="D2056">
        <v>127</v>
      </c>
      <c r="E2056" t="s">
        <v>16593</v>
      </c>
      <c r="F2056" s="126"/>
      <c r="G2056" s="7">
        <v>0</v>
      </c>
      <c r="H2056" s="7">
        <v>0</v>
      </c>
      <c r="I2056" s="7">
        <v>0</v>
      </c>
      <c r="J2056" s="7">
        <v>0</v>
      </c>
      <c r="K2056" s="3">
        <f t="shared" si="77"/>
        <v>0</v>
      </c>
      <c r="L2056" s="3"/>
      <c r="M2056" s="3">
        <f t="shared" si="78"/>
        <v>0</v>
      </c>
      <c r="N2056" s="7"/>
      <c r="O2056" s="5"/>
      <c r="S2056" s="6"/>
    </row>
    <row r="2057" spans="1:22" customFormat="1" x14ac:dyDescent="0.45">
      <c r="A2057">
        <v>471109</v>
      </c>
      <c r="B2057" t="s">
        <v>20318</v>
      </c>
      <c r="C2057" t="s">
        <v>16331</v>
      </c>
      <c r="D2057">
        <v>1</v>
      </c>
      <c r="E2057" t="s">
        <v>16331</v>
      </c>
      <c r="F2057" s="126"/>
      <c r="G2057" s="7">
        <v>0</v>
      </c>
      <c r="H2057" s="7">
        <v>0</v>
      </c>
      <c r="I2057" s="7">
        <v>0</v>
      </c>
      <c r="J2057" s="7">
        <v>0</v>
      </c>
      <c r="K2057" s="3">
        <f t="shared" si="77"/>
        <v>0</v>
      </c>
      <c r="L2057" s="3"/>
      <c r="M2057" s="3">
        <f t="shared" si="78"/>
        <v>0</v>
      </c>
      <c r="O2057" s="5"/>
      <c r="S2057" s="6"/>
    </row>
    <row r="2058" spans="1:22" x14ac:dyDescent="0.45">
      <c r="A2058" s="124">
        <v>147103</v>
      </c>
      <c r="B2058" s="124" t="s">
        <v>20319</v>
      </c>
      <c r="C2058" s="124" t="s">
        <v>20068</v>
      </c>
      <c r="D2058" s="124">
        <v>172</v>
      </c>
      <c r="E2058" s="124" t="s">
        <v>16417</v>
      </c>
      <c r="F2058" s="126">
        <v>1.2200000000000001E-2</v>
      </c>
      <c r="G2058" s="126">
        <v>0.02</v>
      </c>
      <c r="H2058" s="126">
        <v>4.0000000000000001E-3</v>
      </c>
      <c r="I2058" s="127">
        <v>0</v>
      </c>
      <c r="J2058" s="127">
        <v>0</v>
      </c>
      <c r="K2058" s="126">
        <f t="shared" si="77"/>
        <v>2.4E-2</v>
      </c>
      <c r="L2058" s="3"/>
      <c r="M2058" s="126">
        <f t="shared" si="78"/>
        <v>3.6200000000000003E-2</v>
      </c>
      <c r="N2058" s="135"/>
      <c r="O2058" s="125" t="s">
        <v>20070</v>
      </c>
      <c r="P2058" s="125" t="s">
        <v>20071</v>
      </c>
      <c r="Q2058" s="130">
        <f>(2355+39877)*1000</f>
        <v>42232000</v>
      </c>
      <c r="R2058" s="130" t="s">
        <v>16348</v>
      </c>
      <c r="S2058" s="130">
        <v>26398000</v>
      </c>
      <c r="T2058" s="129">
        <f>S2058/Q2058</f>
        <v>0.62507103618109494</v>
      </c>
      <c r="U2058" s="130"/>
      <c r="V2058" s="125" t="s">
        <v>20320</v>
      </c>
    </row>
    <row r="2059" spans="1:22" customFormat="1" x14ac:dyDescent="0.45">
      <c r="A2059">
        <v>471184</v>
      </c>
      <c r="B2059" t="s">
        <v>20321</v>
      </c>
      <c r="C2059" t="s">
        <v>18231</v>
      </c>
      <c r="D2059">
        <v>11</v>
      </c>
      <c r="F2059" s="126"/>
      <c r="G2059" s="7">
        <v>0</v>
      </c>
      <c r="H2059" s="7">
        <v>0</v>
      </c>
      <c r="I2059" s="7">
        <v>0</v>
      </c>
      <c r="J2059" s="7">
        <v>0</v>
      </c>
      <c r="K2059" s="3">
        <f t="shared" si="77"/>
        <v>0</v>
      </c>
      <c r="L2059" s="3"/>
      <c r="M2059" s="3">
        <f t="shared" si="78"/>
        <v>0</v>
      </c>
      <c r="O2059" s="5"/>
      <c r="S2059" s="6"/>
    </row>
    <row r="2060" spans="1:22" customFormat="1" x14ac:dyDescent="0.45">
      <c r="A2060">
        <v>471207</v>
      </c>
      <c r="B2060" t="s">
        <v>20322</v>
      </c>
      <c r="C2060" t="s">
        <v>16331</v>
      </c>
      <c r="D2060">
        <v>6</v>
      </c>
      <c r="E2060" t="s">
        <v>16331</v>
      </c>
      <c r="F2060" s="126"/>
      <c r="G2060" s="7">
        <v>0</v>
      </c>
      <c r="H2060" s="7">
        <v>0</v>
      </c>
      <c r="I2060" s="7">
        <v>0</v>
      </c>
      <c r="J2060" s="7">
        <v>0</v>
      </c>
      <c r="K2060" s="3">
        <f t="shared" si="77"/>
        <v>0</v>
      </c>
      <c r="L2060" s="3"/>
      <c r="M2060" s="3">
        <f t="shared" si="78"/>
        <v>0</v>
      </c>
      <c r="O2060" s="5"/>
      <c r="S2060" s="6"/>
    </row>
    <row r="2061" spans="1:22" customFormat="1" x14ac:dyDescent="0.45">
      <c r="A2061">
        <v>471375</v>
      </c>
      <c r="B2061" t="s">
        <v>20323</v>
      </c>
      <c r="C2061" t="s">
        <v>20324</v>
      </c>
      <c r="D2061">
        <v>9</v>
      </c>
      <c r="F2061" s="126"/>
      <c r="G2061" s="7">
        <v>0</v>
      </c>
      <c r="H2061" s="7">
        <v>0</v>
      </c>
      <c r="I2061" s="7">
        <v>0</v>
      </c>
      <c r="J2061" s="7">
        <v>0</v>
      </c>
      <c r="K2061" s="3">
        <f t="shared" si="77"/>
        <v>0</v>
      </c>
      <c r="L2061" s="3"/>
      <c r="M2061" s="3">
        <f t="shared" si="78"/>
        <v>0</v>
      </c>
      <c r="N2061" s="7"/>
      <c r="O2061" s="5"/>
      <c r="S2061" s="6"/>
    </row>
    <row r="2062" spans="1:22" customFormat="1" x14ac:dyDescent="0.45">
      <c r="A2062">
        <v>471394</v>
      </c>
      <c r="B2062" t="s">
        <v>20325</v>
      </c>
      <c r="C2062" t="s">
        <v>20326</v>
      </c>
      <c r="D2062">
        <v>14</v>
      </c>
      <c r="F2062" s="126"/>
      <c r="G2062" s="3">
        <v>0</v>
      </c>
      <c r="H2062" s="3">
        <v>0</v>
      </c>
      <c r="I2062" s="3">
        <v>0</v>
      </c>
      <c r="J2062" s="3">
        <v>0</v>
      </c>
      <c r="K2062" s="3">
        <f t="shared" si="77"/>
        <v>0</v>
      </c>
      <c r="L2062" s="3"/>
      <c r="M2062" s="3">
        <f t="shared" si="78"/>
        <v>0</v>
      </c>
      <c r="O2062" s="5"/>
      <c r="S2062" s="6"/>
    </row>
    <row r="2063" spans="1:22" customFormat="1" x14ac:dyDescent="0.45">
      <c r="A2063">
        <v>471417</v>
      </c>
      <c r="B2063" t="s">
        <v>20327</v>
      </c>
      <c r="C2063" t="s">
        <v>20328</v>
      </c>
      <c r="D2063">
        <v>0</v>
      </c>
      <c r="E2063" t="s">
        <v>16561</v>
      </c>
      <c r="F2063" s="126"/>
      <c r="G2063" s="7">
        <v>0</v>
      </c>
      <c r="H2063" s="7">
        <v>0</v>
      </c>
      <c r="I2063" s="7">
        <v>0</v>
      </c>
      <c r="J2063" s="7">
        <v>0</v>
      </c>
      <c r="K2063" s="3">
        <f t="shared" si="77"/>
        <v>0</v>
      </c>
      <c r="L2063" s="3"/>
      <c r="M2063" s="3">
        <f t="shared" si="78"/>
        <v>0</v>
      </c>
      <c r="O2063" s="5"/>
      <c r="S2063" s="6"/>
    </row>
    <row r="2064" spans="1:22" customFormat="1" x14ac:dyDescent="0.45">
      <c r="A2064">
        <v>471535</v>
      </c>
      <c r="B2064" t="s">
        <v>20329</v>
      </c>
      <c r="C2064" t="s">
        <v>20330</v>
      </c>
      <c r="D2064">
        <v>1</v>
      </c>
      <c r="F2064" s="126"/>
      <c r="G2064" s="7">
        <v>0</v>
      </c>
      <c r="H2064" s="3">
        <v>0</v>
      </c>
      <c r="I2064" s="3">
        <v>0</v>
      </c>
      <c r="J2064">
        <v>0</v>
      </c>
      <c r="K2064" s="3">
        <f t="shared" si="77"/>
        <v>0</v>
      </c>
      <c r="L2064" s="3"/>
      <c r="M2064" s="3">
        <f t="shared" si="78"/>
        <v>0</v>
      </c>
      <c r="O2064" s="5"/>
      <c r="S2064" s="6"/>
    </row>
    <row r="2065" spans="1:19" customFormat="1" x14ac:dyDescent="0.45">
      <c r="A2065">
        <v>471575</v>
      </c>
      <c r="B2065" t="s">
        <v>20331</v>
      </c>
      <c r="C2065" t="s">
        <v>16331</v>
      </c>
      <c r="D2065">
        <v>2</v>
      </c>
      <c r="E2065" t="s">
        <v>16331</v>
      </c>
      <c r="F2065" s="126"/>
      <c r="G2065" s="7">
        <v>0</v>
      </c>
      <c r="H2065" s="7">
        <v>0</v>
      </c>
      <c r="I2065" s="7">
        <v>0</v>
      </c>
      <c r="J2065" s="7">
        <v>0</v>
      </c>
      <c r="K2065" s="3">
        <f t="shared" si="77"/>
        <v>0</v>
      </c>
      <c r="L2065" s="3"/>
      <c r="M2065" s="3">
        <f t="shared" si="78"/>
        <v>0</v>
      </c>
      <c r="O2065" s="5"/>
      <c r="S2065" s="6"/>
    </row>
    <row r="2066" spans="1:19" customFormat="1" x14ac:dyDescent="0.45">
      <c r="A2066">
        <v>471974</v>
      </c>
      <c r="B2066" t="s">
        <v>20332</v>
      </c>
      <c r="C2066" t="s">
        <v>20333</v>
      </c>
      <c r="D2066">
        <v>1</v>
      </c>
      <c r="F2066" s="126"/>
      <c r="G2066" s="7">
        <v>0</v>
      </c>
      <c r="H2066" s="7">
        <v>0</v>
      </c>
      <c r="I2066" s="7">
        <v>0</v>
      </c>
      <c r="J2066" s="7">
        <v>0</v>
      </c>
      <c r="K2066" s="3">
        <f t="shared" si="77"/>
        <v>0</v>
      </c>
      <c r="L2066" s="3"/>
      <c r="M2066" s="3">
        <f t="shared" si="78"/>
        <v>0</v>
      </c>
      <c r="O2066" s="5"/>
      <c r="S2066" s="6"/>
    </row>
    <row r="2067" spans="1:19" customFormat="1" x14ac:dyDescent="0.45">
      <c r="A2067">
        <v>472031</v>
      </c>
      <c r="B2067" t="s">
        <v>20334</v>
      </c>
      <c r="C2067" t="s">
        <v>20335</v>
      </c>
      <c r="D2067">
        <v>4</v>
      </c>
      <c r="F2067" s="126"/>
      <c r="G2067" s="7">
        <v>0</v>
      </c>
      <c r="H2067" s="7">
        <v>0</v>
      </c>
      <c r="I2067" s="7">
        <v>0</v>
      </c>
      <c r="J2067" s="7">
        <v>0</v>
      </c>
      <c r="K2067" s="3">
        <f t="shared" si="77"/>
        <v>0</v>
      </c>
      <c r="L2067" s="3"/>
      <c r="M2067" s="3">
        <f t="shared" si="78"/>
        <v>0</v>
      </c>
      <c r="O2067" s="5"/>
      <c r="S2067" s="6"/>
    </row>
    <row r="2068" spans="1:19" customFormat="1" x14ac:dyDescent="0.45">
      <c r="A2068">
        <v>472086</v>
      </c>
      <c r="B2068" t="s">
        <v>20336</v>
      </c>
      <c r="C2068" t="s">
        <v>16331</v>
      </c>
      <c r="D2068">
        <v>1</v>
      </c>
      <c r="E2068" t="s">
        <v>16331</v>
      </c>
      <c r="F2068" s="126"/>
      <c r="G2068" s="7">
        <v>0</v>
      </c>
      <c r="H2068" s="7">
        <v>0</v>
      </c>
      <c r="I2068" s="7">
        <v>0</v>
      </c>
      <c r="J2068" s="7">
        <v>0</v>
      </c>
      <c r="K2068" s="3">
        <f t="shared" si="77"/>
        <v>0</v>
      </c>
      <c r="L2068" s="3"/>
      <c r="M2068" s="3">
        <f t="shared" si="78"/>
        <v>0</v>
      </c>
      <c r="O2068" s="5"/>
      <c r="S2068" s="6"/>
    </row>
    <row r="2069" spans="1:19" customFormat="1" x14ac:dyDescent="0.45">
      <c r="A2069">
        <v>472152</v>
      </c>
      <c r="B2069" t="s">
        <v>20337</v>
      </c>
      <c r="C2069" t="s">
        <v>20338</v>
      </c>
      <c r="D2069">
        <v>3</v>
      </c>
      <c r="F2069" s="126"/>
      <c r="G2069" s="3">
        <v>0</v>
      </c>
      <c r="H2069" s="3">
        <v>0</v>
      </c>
      <c r="I2069" s="3">
        <v>0</v>
      </c>
      <c r="J2069" s="3">
        <v>0</v>
      </c>
      <c r="K2069" s="3">
        <f t="shared" si="77"/>
        <v>0</v>
      </c>
      <c r="L2069" s="3"/>
      <c r="M2069" s="3">
        <f t="shared" si="78"/>
        <v>0</v>
      </c>
      <c r="O2069" s="5"/>
      <c r="S2069" s="6"/>
    </row>
    <row r="2070" spans="1:19" customFormat="1" x14ac:dyDescent="0.45">
      <c r="A2070">
        <v>472247</v>
      </c>
      <c r="B2070" t="s">
        <v>20339</v>
      </c>
      <c r="C2070" t="s">
        <v>20340</v>
      </c>
      <c r="D2070">
        <v>5</v>
      </c>
      <c r="F2070" s="126"/>
      <c r="G2070" s="7">
        <v>0</v>
      </c>
      <c r="H2070" s="7">
        <v>0</v>
      </c>
      <c r="I2070" s="7">
        <v>0</v>
      </c>
      <c r="J2070" s="7">
        <v>0</v>
      </c>
      <c r="K2070" s="3">
        <f t="shared" si="77"/>
        <v>0</v>
      </c>
      <c r="L2070" s="3"/>
      <c r="M2070" s="3">
        <f t="shared" si="78"/>
        <v>0</v>
      </c>
      <c r="O2070" s="5"/>
      <c r="S2070" s="6"/>
    </row>
    <row r="2071" spans="1:19" customFormat="1" x14ac:dyDescent="0.45">
      <c r="A2071">
        <v>472268</v>
      </c>
      <c r="B2071" t="s">
        <v>20341</v>
      </c>
      <c r="C2071" t="s">
        <v>20342</v>
      </c>
      <c r="D2071">
        <v>4</v>
      </c>
      <c r="F2071" s="126"/>
      <c r="G2071" s="7">
        <v>0</v>
      </c>
      <c r="H2071" s="7">
        <v>0</v>
      </c>
      <c r="I2071" s="7">
        <v>0</v>
      </c>
      <c r="J2071" s="7">
        <v>0</v>
      </c>
      <c r="K2071" s="3">
        <f t="shared" si="77"/>
        <v>0</v>
      </c>
      <c r="L2071" s="3"/>
      <c r="M2071" s="3">
        <f t="shared" si="78"/>
        <v>0</v>
      </c>
      <c r="O2071" s="5"/>
      <c r="S2071" s="6"/>
    </row>
    <row r="2072" spans="1:19" customFormat="1" x14ac:dyDescent="0.45">
      <c r="A2072">
        <v>472446</v>
      </c>
      <c r="B2072" t="s">
        <v>20343</v>
      </c>
      <c r="C2072" t="s">
        <v>16331</v>
      </c>
      <c r="D2072">
        <v>1</v>
      </c>
      <c r="E2072" t="s">
        <v>16331</v>
      </c>
      <c r="F2072" s="126"/>
      <c r="G2072" s="7">
        <v>0</v>
      </c>
      <c r="H2072" s="7">
        <v>0</v>
      </c>
      <c r="I2072" s="7">
        <v>0</v>
      </c>
      <c r="J2072" s="7">
        <v>0</v>
      </c>
      <c r="K2072" s="3">
        <f t="shared" si="77"/>
        <v>0</v>
      </c>
      <c r="L2072" s="3"/>
      <c r="M2072" s="3">
        <f t="shared" si="78"/>
        <v>0</v>
      </c>
      <c r="O2072" s="5"/>
      <c r="S2072" s="6"/>
    </row>
    <row r="2073" spans="1:19" customFormat="1" x14ac:dyDescent="0.45">
      <c r="A2073">
        <v>472466</v>
      </c>
      <c r="B2073" t="s">
        <v>20344</v>
      </c>
      <c r="C2073" t="s">
        <v>16331</v>
      </c>
      <c r="D2073">
        <v>5</v>
      </c>
      <c r="E2073" t="s">
        <v>16331</v>
      </c>
      <c r="F2073" s="126"/>
      <c r="K2073" s="3">
        <f t="shared" si="77"/>
        <v>0</v>
      </c>
      <c r="L2073" s="3"/>
      <c r="M2073" s="3">
        <f t="shared" si="78"/>
        <v>0</v>
      </c>
      <c r="O2073" s="5"/>
      <c r="S2073" s="6"/>
    </row>
    <row r="2074" spans="1:19" customFormat="1" x14ac:dyDescent="0.45">
      <c r="A2074">
        <v>472635</v>
      </c>
      <c r="B2074" t="s">
        <v>20345</v>
      </c>
      <c r="C2074" t="s">
        <v>16331</v>
      </c>
      <c r="D2074">
        <v>0</v>
      </c>
      <c r="E2074" t="s">
        <v>16331</v>
      </c>
      <c r="F2074" s="126"/>
      <c r="K2074" s="3">
        <f t="shared" si="77"/>
        <v>0</v>
      </c>
      <c r="L2074" s="3"/>
      <c r="M2074" s="3">
        <f t="shared" si="78"/>
        <v>0</v>
      </c>
      <c r="O2074" s="5"/>
      <c r="S2074" s="6"/>
    </row>
    <row r="2075" spans="1:19" customFormat="1" x14ac:dyDescent="0.45">
      <c r="A2075">
        <v>472637</v>
      </c>
      <c r="B2075" t="s">
        <v>20346</v>
      </c>
      <c r="C2075" t="s">
        <v>20347</v>
      </c>
      <c r="D2075">
        <v>1</v>
      </c>
      <c r="F2075" s="126"/>
      <c r="G2075" s="7">
        <v>0</v>
      </c>
      <c r="H2075" s="7">
        <v>0</v>
      </c>
      <c r="I2075" s="7">
        <v>0</v>
      </c>
      <c r="J2075" s="7">
        <v>0</v>
      </c>
      <c r="K2075" s="3">
        <f t="shared" si="77"/>
        <v>0</v>
      </c>
      <c r="L2075" s="3"/>
      <c r="M2075" s="3">
        <f t="shared" si="78"/>
        <v>0</v>
      </c>
      <c r="O2075" s="5"/>
      <c r="S2075" s="6"/>
    </row>
    <row r="2076" spans="1:19" customFormat="1" x14ac:dyDescent="0.45">
      <c r="A2076">
        <v>472648</v>
      </c>
      <c r="B2076" t="s">
        <v>20348</v>
      </c>
      <c r="C2076" t="s">
        <v>20349</v>
      </c>
      <c r="D2076">
        <v>1</v>
      </c>
      <c r="F2076" s="126"/>
      <c r="G2076" s="7">
        <v>0</v>
      </c>
      <c r="H2076" s="7">
        <v>0</v>
      </c>
      <c r="I2076" s="7">
        <v>0</v>
      </c>
      <c r="J2076" s="7">
        <v>0</v>
      </c>
      <c r="K2076" s="3">
        <f t="shared" si="77"/>
        <v>0</v>
      </c>
      <c r="L2076" s="3"/>
      <c r="M2076" s="3">
        <f t="shared" si="78"/>
        <v>0</v>
      </c>
      <c r="O2076" s="5"/>
      <c r="S2076" s="6"/>
    </row>
    <row r="2077" spans="1:19" customFormat="1" x14ac:dyDescent="0.45">
      <c r="A2077">
        <v>472650</v>
      </c>
      <c r="B2077" t="s">
        <v>20350</v>
      </c>
      <c r="C2077" t="s">
        <v>16331</v>
      </c>
      <c r="D2077">
        <v>1</v>
      </c>
      <c r="E2077" t="s">
        <v>16331</v>
      </c>
      <c r="F2077" s="126"/>
      <c r="G2077" s="7">
        <v>0</v>
      </c>
      <c r="H2077" s="7">
        <v>0</v>
      </c>
      <c r="I2077" s="7">
        <v>0</v>
      </c>
      <c r="J2077" s="7">
        <v>0</v>
      </c>
      <c r="K2077" s="3">
        <f t="shared" si="77"/>
        <v>0</v>
      </c>
      <c r="L2077" s="3"/>
      <c r="M2077" s="3">
        <f t="shared" si="78"/>
        <v>0</v>
      </c>
      <c r="O2077" s="5"/>
      <c r="S2077" s="6"/>
    </row>
    <row r="2078" spans="1:19" customFormat="1" x14ac:dyDescent="0.45">
      <c r="A2078">
        <v>472777</v>
      </c>
      <c r="B2078" t="s">
        <v>20351</v>
      </c>
      <c r="C2078" t="s">
        <v>20352</v>
      </c>
      <c r="D2078">
        <v>2</v>
      </c>
      <c r="F2078" s="126"/>
      <c r="G2078" s="7">
        <v>0</v>
      </c>
      <c r="H2078" s="7">
        <v>0</v>
      </c>
      <c r="I2078" s="7">
        <v>0</v>
      </c>
      <c r="J2078" s="7">
        <v>0</v>
      </c>
      <c r="K2078" s="3">
        <f t="shared" si="77"/>
        <v>0</v>
      </c>
      <c r="L2078" s="3"/>
      <c r="M2078" s="3">
        <f t="shared" si="78"/>
        <v>0</v>
      </c>
      <c r="O2078" s="5"/>
      <c r="S2078" s="6"/>
    </row>
    <row r="2079" spans="1:19" customFormat="1" x14ac:dyDescent="0.45">
      <c r="A2079">
        <v>472779</v>
      </c>
      <c r="B2079" t="s">
        <v>20353</v>
      </c>
      <c r="C2079" t="s">
        <v>16331</v>
      </c>
      <c r="D2079">
        <v>1</v>
      </c>
      <c r="E2079" t="s">
        <v>16331</v>
      </c>
      <c r="F2079" s="126"/>
      <c r="K2079" s="3">
        <f t="shared" si="77"/>
        <v>0</v>
      </c>
      <c r="L2079" s="3"/>
      <c r="M2079" s="3">
        <f t="shared" si="78"/>
        <v>0</v>
      </c>
      <c r="O2079" s="5"/>
      <c r="S2079" s="6"/>
    </row>
    <row r="2080" spans="1:19" customFormat="1" x14ac:dyDescent="0.45">
      <c r="A2080">
        <v>472781</v>
      </c>
      <c r="B2080" t="s">
        <v>20354</v>
      </c>
      <c r="C2080" t="s">
        <v>20355</v>
      </c>
      <c r="D2080">
        <v>4</v>
      </c>
      <c r="F2080" s="126"/>
      <c r="K2080" s="3">
        <f t="shared" si="77"/>
        <v>0</v>
      </c>
      <c r="L2080" s="3"/>
      <c r="M2080" s="3">
        <f t="shared" si="78"/>
        <v>0</v>
      </c>
      <c r="O2080" s="5"/>
      <c r="S2080" s="6"/>
    </row>
    <row r="2081" spans="1:19" customFormat="1" x14ac:dyDescent="0.45">
      <c r="A2081">
        <v>472792</v>
      </c>
      <c r="B2081" t="s">
        <v>20356</v>
      </c>
      <c r="C2081" t="s">
        <v>20357</v>
      </c>
      <c r="D2081">
        <v>6</v>
      </c>
      <c r="F2081" s="126"/>
      <c r="G2081" s="7">
        <v>0</v>
      </c>
      <c r="H2081" s="7">
        <v>0</v>
      </c>
      <c r="I2081" s="7">
        <v>0</v>
      </c>
      <c r="J2081" s="7">
        <v>0</v>
      </c>
      <c r="K2081" s="3">
        <f t="shared" si="77"/>
        <v>0</v>
      </c>
      <c r="L2081" s="3"/>
      <c r="M2081" s="3">
        <f t="shared" si="78"/>
        <v>0</v>
      </c>
      <c r="O2081" s="5"/>
      <c r="S2081" s="6"/>
    </row>
    <row r="2082" spans="1:19" customFormat="1" x14ac:dyDescent="0.45">
      <c r="A2082">
        <v>472913</v>
      </c>
      <c r="B2082" t="s">
        <v>20358</v>
      </c>
      <c r="C2082" t="s">
        <v>20359</v>
      </c>
      <c r="D2082">
        <v>5</v>
      </c>
      <c r="F2082" s="126"/>
      <c r="G2082" s="3">
        <v>0</v>
      </c>
      <c r="H2082" s="3">
        <v>0</v>
      </c>
      <c r="I2082" s="3">
        <v>0</v>
      </c>
      <c r="J2082" s="3">
        <v>0</v>
      </c>
      <c r="K2082" s="3">
        <f t="shared" si="77"/>
        <v>0</v>
      </c>
      <c r="L2082" s="3"/>
      <c r="M2082" s="3">
        <f t="shared" si="78"/>
        <v>0</v>
      </c>
      <c r="O2082" s="5"/>
      <c r="S2082" s="6"/>
    </row>
    <row r="2083" spans="1:19" customFormat="1" x14ac:dyDescent="0.45">
      <c r="A2083">
        <v>472929</v>
      </c>
      <c r="B2083" t="s">
        <v>20360</v>
      </c>
      <c r="C2083" t="s">
        <v>20361</v>
      </c>
      <c r="D2083">
        <v>27</v>
      </c>
      <c r="F2083" s="126"/>
      <c r="G2083" s="3">
        <v>0</v>
      </c>
      <c r="H2083" s="3">
        <v>0</v>
      </c>
      <c r="I2083" s="3">
        <v>0</v>
      </c>
      <c r="J2083" s="3">
        <v>0</v>
      </c>
      <c r="K2083" s="3">
        <f t="shared" si="77"/>
        <v>0</v>
      </c>
      <c r="L2083" s="3"/>
      <c r="M2083" s="3">
        <f t="shared" si="78"/>
        <v>0</v>
      </c>
      <c r="O2083" s="5"/>
      <c r="S2083" s="6"/>
    </row>
    <row r="2084" spans="1:19" customFormat="1" x14ac:dyDescent="0.45">
      <c r="A2084">
        <v>472971</v>
      </c>
      <c r="B2084" t="s">
        <v>20362</v>
      </c>
      <c r="C2084" t="s">
        <v>20363</v>
      </c>
      <c r="D2084">
        <v>1</v>
      </c>
      <c r="F2084" s="126"/>
      <c r="G2084" s="3">
        <v>0</v>
      </c>
      <c r="H2084" s="3">
        <v>0</v>
      </c>
      <c r="I2084" s="3">
        <v>0</v>
      </c>
      <c r="J2084" s="3">
        <v>0</v>
      </c>
      <c r="K2084" s="3">
        <f t="shared" si="77"/>
        <v>0</v>
      </c>
      <c r="L2084" s="3"/>
      <c r="M2084" s="3">
        <f t="shared" si="78"/>
        <v>0</v>
      </c>
      <c r="O2084" s="5"/>
      <c r="S2084" s="6"/>
    </row>
    <row r="2085" spans="1:19" customFormat="1" x14ac:dyDescent="0.45">
      <c r="A2085">
        <v>473759</v>
      </c>
      <c r="B2085" t="s">
        <v>20364</v>
      </c>
      <c r="C2085" t="s">
        <v>20365</v>
      </c>
      <c r="D2085">
        <v>1</v>
      </c>
      <c r="F2085" s="126"/>
      <c r="G2085" s="3">
        <v>0</v>
      </c>
      <c r="H2085" s="3">
        <v>0</v>
      </c>
      <c r="I2085" s="3">
        <v>0</v>
      </c>
      <c r="J2085" s="3">
        <v>0</v>
      </c>
      <c r="K2085" s="3">
        <f t="shared" si="77"/>
        <v>0</v>
      </c>
      <c r="L2085" s="3"/>
      <c r="M2085" s="3">
        <f t="shared" si="78"/>
        <v>0</v>
      </c>
      <c r="O2085" s="5"/>
      <c r="S2085" s="6"/>
    </row>
    <row r="2086" spans="1:19" customFormat="1" x14ac:dyDescent="0.45">
      <c r="A2086">
        <v>473863</v>
      </c>
      <c r="B2086" t="s">
        <v>20366</v>
      </c>
      <c r="C2086" t="s">
        <v>20367</v>
      </c>
      <c r="D2086">
        <v>3</v>
      </c>
      <c r="F2086" s="126"/>
      <c r="G2086" s="7">
        <v>0</v>
      </c>
      <c r="H2086" s="7">
        <v>0</v>
      </c>
      <c r="I2086" s="7">
        <v>0</v>
      </c>
      <c r="J2086" s="7">
        <v>0</v>
      </c>
      <c r="K2086" s="3">
        <f t="shared" si="77"/>
        <v>0</v>
      </c>
      <c r="L2086" s="3"/>
      <c r="M2086" s="3">
        <f t="shared" si="78"/>
        <v>0</v>
      </c>
      <c r="O2086" s="5"/>
      <c r="S2086" s="6"/>
    </row>
    <row r="2087" spans="1:19" customFormat="1" x14ac:dyDescent="0.45">
      <c r="A2087">
        <v>473931</v>
      </c>
      <c r="B2087" t="s">
        <v>20368</v>
      </c>
      <c r="C2087" t="s">
        <v>16331</v>
      </c>
      <c r="D2087">
        <v>1</v>
      </c>
      <c r="E2087" t="s">
        <v>16331</v>
      </c>
      <c r="F2087" s="126"/>
      <c r="K2087" s="3">
        <f t="shared" si="77"/>
        <v>0</v>
      </c>
      <c r="L2087" s="3"/>
      <c r="M2087" s="3">
        <f t="shared" si="78"/>
        <v>0</v>
      </c>
      <c r="O2087" s="5"/>
      <c r="S2087" s="6"/>
    </row>
    <row r="2088" spans="1:19" customFormat="1" x14ac:dyDescent="0.45">
      <c r="A2088">
        <v>474013</v>
      </c>
      <c r="B2088" t="s">
        <v>20369</v>
      </c>
      <c r="C2088" t="s">
        <v>20370</v>
      </c>
      <c r="D2088">
        <v>2</v>
      </c>
      <c r="F2088" s="126"/>
      <c r="K2088" s="3">
        <f t="shared" si="77"/>
        <v>0</v>
      </c>
      <c r="L2088" s="3"/>
      <c r="M2088" s="3">
        <f t="shared" si="78"/>
        <v>0</v>
      </c>
      <c r="O2088" s="5"/>
      <c r="S2088" s="6"/>
    </row>
    <row r="2089" spans="1:19" customFormat="1" x14ac:dyDescent="0.45">
      <c r="A2089">
        <v>474060</v>
      </c>
      <c r="B2089" t="s">
        <v>20371</v>
      </c>
      <c r="C2089" t="s">
        <v>16331</v>
      </c>
      <c r="D2089">
        <v>2</v>
      </c>
      <c r="E2089" t="s">
        <v>16331</v>
      </c>
      <c r="F2089" s="126"/>
      <c r="G2089" s="7">
        <v>0</v>
      </c>
      <c r="H2089" s="7">
        <v>0</v>
      </c>
      <c r="I2089" s="7">
        <v>0</v>
      </c>
      <c r="J2089" s="7">
        <v>0</v>
      </c>
      <c r="K2089" s="3">
        <f t="shared" si="77"/>
        <v>0</v>
      </c>
      <c r="L2089" s="3"/>
      <c r="M2089" s="3">
        <f t="shared" si="78"/>
        <v>0</v>
      </c>
      <c r="O2089" s="5"/>
      <c r="S2089" s="6"/>
    </row>
    <row r="2090" spans="1:19" customFormat="1" x14ac:dyDescent="0.45">
      <c r="A2090">
        <v>474097</v>
      </c>
      <c r="B2090" t="s">
        <v>20372</v>
      </c>
      <c r="C2090" t="s">
        <v>20373</v>
      </c>
      <c r="D2090">
        <v>4</v>
      </c>
      <c r="F2090" s="126"/>
      <c r="K2090" s="3">
        <f t="shared" si="77"/>
        <v>0</v>
      </c>
      <c r="L2090" s="3"/>
      <c r="M2090" s="3">
        <f t="shared" si="78"/>
        <v>0</v>
      </c>
      <c r="O2090" s="5"/>
      <c r="S2090" s="6"/>
    </row>
    <row r="2091" spans="1:19" customFormat="1" x14ac:dyDescent="0.45">
      <c r="A2091">
        <v>474163</v>
      </c>
      <c r="B2091" t="s">
        <v>20374</v>
      </c>
      <c r="C2091" t="s">
        <v>20375</v>
      </c>
      <c r="D2091">
        <v>12</v>
      </c>
      <c r="F2091" s="126"/>
      <c r="G2091" s="3">
        <v>0</v>
      </c>
      <c r="H2091" s="3">
        <v>0</v>
      </c>
      <c r="I2091" s="3">
        <v>0</v>
      </c>
      <c r="J2091" s="3">
        <v>0</v>
      </c>
      <c r="K2091" s="3">
        <f t="shared" si="77"/>
        <v>0</v>
      </c>
      <c r="L2091" s="3"/>
      <c r="M2091" s="3">
        <f t="shared" si="78"/>
        <v>0</v>
      </c>
      <c r="O2091" s="5"/>
      <c r="S2091" s="6"/>
    </row>
    <row r="2092" spans="1:19" customFormat="1" x14ac:dyDescent="0.45">
      <c r="A2092">
        <v>474277</v>
      </c>
      <c r="B2092" t="s">
        <v>20376</v>
      </c>
      <c r="C2092" t="s">
        <v>20377</v>
      </c>
      <c r="D2092">
        <v>1</v>
      </c>
      <c r="F2092" s="126"/>
      <c r="G2092" s="7">
        <v>0</v>
      </c>
      <c r="H2092" s="7">
        <v>0</v>
      </c>
      <c r="I2092" s="7">
        <v>0</v>
      </c>
      <c r="J2092" s="7">
        <v>0</v>
      </c>
      <c r="K2092" s="3">
        <f t="shared" ref="K2092:K2155" si="79">SUM(G2092:J2092)</f>
        <v>0</v>
      </c>
      <c r="L2092" s="3"/>
      <c r="M2092" s="3">
        <f t="shared" ref="M2092:M2120" si="80">K2092+F2092</f>
        <v>0</v>
      </c>
      <c r="N2092" s="7"/>
      <c r="O2092" s="5"/>
      <c r="S2092" s="6"/>
    </row>
    <row r="2093" spans="1:19" customFormat="1" x14ac:dyDescent="0.45">
      <c r="A2093">
        <v>474338</v>
      </c>
      <c r="B2093" t="s">
        <v>20378</v>
      </c>
      <c r="C2093" s="2" t="s">
        <v>20379</v>
      </c>
      <c r="D2093">
        <v>1</v>
      </c>
      <c r="F2093" s="126"/>
      <c r="G2093" s="3">
        <v>0</v>
      </c>
      <c r="H2093" s="3">
        <v>0</v>
      </c>
      <c r="I2093" s="3">
        <v>0</v>
      </c>
      <c r="J2093" s="3">
        <v>0</v>
      </c>
      <c r="K2093" s="3">
        <f t="shared" si="79"/>
        <v>0</v>
      </c>
      <c r="L2093" s="3"/>
      <c r="M2093" s="3">
        <f t="shared" si="80"/>
        <v>0</v>
      </c>
      <c r="O2093" s="5"/>
      <c r="S2093" s="6"/>
    </row>
    <row r="2094" spans="1:19" customFormat="1" x14ac:dyDescent="0.45">
      <c r="A2094">
        <v>474606</v>
      </c>
      <c r="B2094" t="s">
        <v>20380</v>
      </c>
      <c r="C2094" t="s">
        <v>20381</v>
      </c>
      <c r="D2094">
        <v>0</v>
      </c>
      <c r="E2094" t="s">
        <v>16561</v>
      </c>
      <c r="F2094" s="126"/>
      <c r="G2094" s="7">
        <v>0</v>
      </c>
      <c r="H2094" s="7">
        <v>0</v>
      </c>
      <c r="I2094" s="7">
        <v>0</v>
      </c>
      <c r="J2094" s="7">
        <v>0</v>
      </c>
      <c r="K2094" s="3">
        <f t="shared" si="79"/>
        <v>0</v>
      </c>
      <c r="L2094" s="3"/>
      <c r="M2094" s="3">
        <f t="shared" si="80"/>
        <v>0</v>
      </c>
      <c r="N2094" s="7"/>
      <c r="O2094" s="5"/>
      <c r="S2094" s="6"/>
    </row>
    <row r="2095" spans="1:19" customFormat="1" x14ac:dyDescent="0.45">
      <c r="A2095">
        <v>474740</v>
      </c>
      <c r="B2095" t="s">
        <v>20382</v>
      </c>
      <c r="C2095" t="s">
        <v>16331</v>
      </c>
      <c r="D2095">
        <v>10</v>
      </c>
      <c r="E2095" t="s">
        <v>16331</v>
      </c>
      <c r="F2095" s="126"/>
      <c r="G2095" s="7">
        <v>0</v>
      </c>
      <c r="H2095" s="7">
        <v>0</v>
      </c>
      <c r="I2095" s="7">
        <v>0</v>
      </c>
      <c r="J2095" s="7">
        <v>0</v>
      </c>
      <c r="K2095" s="3">
        <f t="shared" si="79"/>
        <v>0</v>
      </c>
      <c r="L2095" s="3"/>
      <c r="M2095" s="3">
        <f t="shared" si="80"/>
        <v>0</v>
      </c>
      <c r="O2095" s="5"/>
      <c r="S2095" s="6"/>
    </row>
    <row r="2096" spans="1:19" customFormat="1" x14ac:dyDescent="0.45">
      <c r="A2096">
        <v>474794</v>
      </c>
      <c r="B2096" t="s">
        <v>20383</v>
      </c>
      <c r="C2096" t="s">
        <v>19092</v>
      </c>
      <c r="D2096">
        <v>0</v>
      </c>
      <c r="E2096" t="s">
        <v>16561</v>
      </c>
      <c r="F2096" s="126"/>
      <c r="G2096" s="7">
        <v>0</v>
      </c>
      <c r="H2096" s="7">
        <v>0</v>
      </c>
      <c r="I2096" s="7">
        <v>0</v>
      </c>
      <c r="J2096" s="7">
        <v>0</v>
      </c>
      <c r="K2096" s="3">
        <f t="shared" si="79"/>
        <v>0</v>
      </c>
      <c r="L2096" s="3"/>
      <c r="M2096" s="3">
        <f t="shared" si="80"/>
        <v>0</v>
      </c>
      <c r="N2096" s="7"/>
      <c r="O2096" s="5"/>
      <c r="S2096" s="6"/>
    </row>
    <row r="2097" spans="1:22" customFormat="1" x14ac:dyDescent="0.45">
      <c r="A2097">
        <v>474799</v>
      </c>
      <c r="B2097" t="s">
        <v>20384</v>
      </c>
      <c r="C2097" t="s">
        <v>20385</v>
      </c>
      <c r="D2097">
        <v>1</v>
      </c>
      <c r="F2097" s="126"/>
      <c r="G2097" s="3">
        <v>0</v>
      </c>
      <c r="H2097" s="3">
        <v>0</v>
      </c>
      <c r="I2097" s="3">
        <v>0</v>
      </c>
      <c r="J2097" s="3">
        <v>0</v>
      </c>
      <c r="K2097" s="3">
        <f t="shared" si="79"/>
        <v>0</v>
      </c>
      <c r="L2097" s="3"/>
      <c r="M2097" s="3">
        <f t="shared" si="80"/>
        <v>0</v>
      </c>
      <c r="O2097" s="5"/>
      <c r="S2097" s="6"/>
    </row>
    <row r="2098" spans="1:22" customFormat="1" x14ac:dyDescent="0.45">
      <c r="A2098">
        <v>474850</v>
      </c>
      <c r="B2098" t="s">
        <v>20386</v>
      </c>
      <c r="C2098" t="s">
        <v>16331</v>
      </c>
      <c r="D2098">
        <v>3</v>
      </c>
      <c r="E2098" t="s">
        <v>16331</v>
      </c>
      <c r="F2098" s="126"/>
      <c r="G2098" s="7">
        <v>0</v>
      </c>
      <c r="H2098" s="7">
        <v>0</v>
      </c>
      <c r="I2098" s="7">
        <v>0</v>
      </c>
      <c r="J2098" s="7">
        <v>0</v>
      </c>
      <c r="K2098" s="3">
        <f t="shared" si="79"/>
        <v>0</v>
      </c>
      <c r="L2098" s="3"/>
      <c r="M2098" s="3">
        <f t="shared" si="80"/>
        <v>0</v>
      </c>
      <c r="O2098" s="5"/>
      <c r="S2098" s="6"/>
    </row>
    <row r="2099" spans="1:22" x14ac:dyDescent="0.45">
      <c r="A2099" s="124">
        <v>165169</v>
      </c>
      <c r="B2099" s="124" t="s">
        <v>20387</v>
      </c>
      <c r="C2099" s="124" t="s">
        <v>20068</v>
      </c>
      <c r="D2099" s="124">
        <v>231</v>
      </c>
      <c r="E2099" s="124" t="s">
        <v>16417</v>
      </c>
      <c r="F2099" s="126">
        <v>1.2200000000000001E-2</v>
      </c>
      <c r="G2099" s="126">
        <v>0.02</v>
      </c>
      <c r="H2099" s="126">
        <v>4.0000000000000001E-3</v>
      </c>
      <c r="I2099" s="127">
        <v>0</v>
      </c>
      <c r="J2099" s="127">
        <v>0</v>
      </c>
      <c r="K2099" s="126">
        <f t="shared" si="79"/>
        <v>2.4E-2</v>
      </c>
      <c r="L2099" s="3"/>
      <c r="M2099" s="126">
        <f t="shared" si="80"/>
        <v>3.6200000000000003E-2</v>
      </c>
      <c r="N2099" s="135"/>
      <c r="O2099" s="125" t="s">
        <v>20070</v>
      </c>
      <c r="P2099" s="125" t="s">
        <v>20071</v>
      </c>
      <c r="Q2099" s="130">
        <v>73339000</v>
      </c>
      <c r="R2099" s="130" t="s">
        <v>16348</v>
      </c>
      <c r="S2099" s="130">
        <v>71592000</v>
      </c>
      <c r="T2099" s="129">
        <f>S2099/Q2099</f>
        <v>0.97617911343214392</v>
      </c>
      <c r="U2099" s="130"/>
      <c r="V2099" s="125" t="s">
        <v>20072</v>
      </c>
    </row>
    <row r="2100" spans="1:22" customFormat="1" x14ac:dyDescent="0.45">
      <c r="A2100">
        <v>474901</v>
      </c>
      <c r="B2100" t="s">
        <v>20388</v>
      </c>
      <c r="C2100" s="2" t="s">
        <v>20389</v>
      </c>
      <c r="D2100">
        <v>1</v>
      </c>
      <c r="F2100" s="126"/>
      <c r="G2100" s="3">
        <v>0</v>
      </c>
      <c r="H2100" s="3">
        <v>0</v>
      </c>
      <c r="I2100" s="3">
        <v>0</v>
      </c>
      <c r="J2100" s="3">
        <v>0</v>
      </c>
      <c r="K2100" s="3">
        <f t="shared" si="79"/>
        <v>0</v>
      </c>
      <c r="L2100" s="3"/>
      <c r="M2100" s="3">
        <f t="shared" si="80"/>
        <v>0</v>
      </c>
      <c r="O2100" s="5"/>
      <c r="S2100" s="6"/>
    </row>
    <row r="2101" spans="1:22" customFormat="1" x14ac:dyDescent="0.45">
      <c r="A2101">
        <v>474925</v>
      </c>
      <c r="B2101" t="s">
        <v>20390</v>
      </c>
      <c r="C2101" t="s">
        <v>20391</v>
      </c>
      <c r="D2101">
        <v>1</v>
      </c>
      <c r="F2101" s="126"/>
      <c r="G2101" s="3">
        <v>0</v>
      </c>
      <c r="H2101" s="3">
        <v>0</v>
      </c>
      <c r="I2101" s="3">
        <v>0</v>
      </c>
      <c r="J2101" s="3">
        <v>0</v>
      </c>
      <c r="K2101" s="3">
        <f t="shared" si="79"/>
        <v>0</v>
      </c>
      <c r="L2101" s="3"/>
      <c r="M2101" s="3">
        <f t="shared" si="80"/>
        <v>0</v>
      </c>
      <c r="O2101" s="5"/>
      <c r="S2101" s="6"/>
    </row>
    <row r="2102" spans="1:22" customFormat="1" x14ac:dyDescent="0.45">
      <c r="A2102">
        <v>474928</v>
      </c>
      <c r="B2102" t="s">
        <v>20392</v>
      </c>
      <c r="C2102" t="s">
        <v>20393</v>
      </c>
      <c r="D2102">
        <v>3</v>
      </c>
      <c r="F2102" s="126"/>
      <c r="K2102" s="3">
        <f t="shared" si="79"/>
        <v>0</v>
      </c>
      <c r="L2102" s="3"/>
      <c r="M2102" s="3">
        <f t="shared" si="80"/>
        <v>0</v>
      </c>
      <c r="O2102" s="5"/>
      <c r="S2102" s="6"/>
    </row>
    <row r="2103" spans="1:22" customFormat="1" x14ac:dyDescent="0.45">
      <c r="A2103">
        <v>474932</v>
      </c>
      <c r="B2103" t="s">
        <v>20394</v>
      </c>
      <c r="C2103" t="s">
        <v>20395</v>
      </c>
      <c r="D2103">
        <v>4</v>
      </c>
      <c r="F2103" s="126"/>
      <c r="G2103" s="3">
        <v>0</v>
      </c>
      <c r="H2103" s="3">
        <v>0</v>
      </c>
      <c r="I2103" s="3">
        <v>0</v>
      </c>
      <c r="J2103" s="3">
        <v>0</v>
      </c>
      <c r="K2103" s="3">
        <f t="shared" si="79"/>
        <v>0</v>
      </c>
      <c r="L2103" s="3"/>
      <c r="M2103" s="3">
        <f t="shared" si="80"/>
        <v>0</v>
      </c>
      <c r="O2103" s="5"/>
      <c r="S2103" s="6"/>
    </row>
    <row r="2104" spans="1:22" customFormat="1" x14ac:dyDescent="0.45">
      <c r="A2104">
        <v>475009</v>
      </c>
      <c r="B2104" t="s">
        <v>20396</v>
      </c>
      <c r="C2104" t="s">
        <v>16331</v>
      </c>
      <c r="D2104">
        <v>1</v>
      </c>
      <c r="E2104" t="s">
        <v>16331</v>
      </c>
      <c r="F2104" s="126"/>
      <c r="G2104" s="7">
        <v>0</v>
      </c>
      <c r="H2104" s="7">
        <v>0</v>
      </c>
      <c r="I2104" s="7">
        <v>0</v>
      </c>
      <c r="J2104" s="7">
        <v>0</v>
      </c>
      <c r="K2104" s="3">
        <f t="shared" si="79"/>
        <v>0</v>
      </c>
      <c r="L2104" s="3"/>
      <c r="M2104" s="3">
        <f t="shared" si="80"/>
        <v>0</v>
      </c>
      <c r="O2104" s="5"/>
      <c r="S2104" s="6"/>
    </row>
    <row r="2105" spans="1:22" customFormat="1" x14ac:dyDescent="0.45">
      <c r="A2105">
        <v>475010</v>
      </c>
      <c r="B2105" t="s">
        <v>20397</v>
      </c>
      <c r="C2105" t="s">
        <v>20398</v>
      </c>
      <c r="D2105">
        <v>2</v>
      </c>
      <c r="F2105" s="126"/>
      <c r="G2105" s="3">
        <v>0</v>
      </c>
      <c r="H2105" s="3">
        <v>0</v>
      </c>
      <c r="I2105" s="3">
        <v>0</v>
      </c>
      <c r="J2105" s="3">
        <v>0</v>
      </c>
      <c r="K2105" s="3">
        <f t="shared" si="79"/>
        <v>0</v>
      </c>
      <c r="L2105" s="3"/>
      <c r="M2105" s="3">
        <f t="shared" si="80"/>
        <v>0</v>
      </c>
      <c r="O2105" s="5"/>
      <c r="S2105" s="6"/>
    </row>
    <row r="2106" spans="1:22" customFormat="1" x14ac:dyDescent="0.45">
      <c r="A2106">
        <v>475285</v>
      </c>
      <c r="B2106" t="s">
        <v>20399</v>
      </c>
      <c r="C2106" t="s">
        <v>20400</v>
      </c>
      <c r="D2106">
        <v>0</v>
      </c>
      <c r="E2106" t="s">
        <v>16561</v>
      </c>
      <c r="F2106" s="126"/>
      <c r="K2106" s="3">
        <f t="shared" si="79"/>
        <v>0</v>
      </c>
      <c r="L2106" s="3"/>
      <c r="M2106" s="3">
        <f t="shared" si="80"/>
        <v>0</v>
      </c>
      <c r="O2106" s="5"/>
      <c r="S2106" s="6"/>
    </row>
    <row r="2107" spans="1:22" customFormat="1" x14ac:dyDescent="0.45">
      <c r="A2107">
        <v>475332</v>
      </c>
      <c r="B2107" t="s">
        <v>20401</v>
      </c>
      <c r="C2107" t="s">
        <v>20402</v>
      </c>
      <c r="D2107">
        <v>3</v>
      </c>
      <c r="F2107" s="126"/>
      <c r="G2107" s="7">
        <v>0</v>
      </c>
      <c r="H2107" s="7">
        <v>0</v>
      </c>
      <c r="I2107" s="7">
        <v>0</v>
      </c>
      <c r="J2107" s="7">
        <v>0</v>
      </c>
      <c r="K2107" s="3">
        <f t="shared" si="79"/>
        <v>0</v>
      </c>
      <c r="L2107" s="3"/>
      <c r="M2107" s="3">
        <f t="shared" si="80"/>
        <v>0</v>
      </c>
      <c r="O2107" s="5"/>
      <c r="S2107" s="6"/>
    </row>
    <row r="2108" spans="1:22" customFormat="1" x14ac:dyDescent="0.45">
      <c r="A2108">
        <v>475370</v>
      </c>
      <c r="B2108" t="s">
        <v>20403</v>
      </c>
      <c r="C2108" t="s">
        <v>20404</v>
      </c>
      <c r="D2108">
        <v>0</v>
      </c>
      <c r="E2108" t="s">
        <v>16561</v>
      </c>
      <c r="F2108" s="126"/>
      <c r="G2108" s="7">
        <v>0</v>
      </c>
      <c r="H2108" s="7">
        <v>0</v>
      </c>
      <c r="I2108" s="7">
        <v>0</v>
      </c>
      <c r="J2108" s="7">
        <v>0</v>
      </c>
      <c r="K2108" s="3">
        <f t="shared" si="79"/>
        <v>0</v>
      </c>
      <c r="L2108" s="3"/>
      <c r="M2108" s="3">
        <f t="shared" si="80"/>
        <v>0</v>
      </c>
      <c r="N2108" s="7"/>
      <c r="O2108" s="5"/>
      <c r="S2108" s="6"/>
    </row>
    <row r="2109" spans="1:22" customFormat="1" x14ac:dyDescent="0.45">
      <c r="A2109">
        <v>475453</v>
      </c>
      <c r="B2109" t="s">
        <v>20405</v>
      </c>
      <c r="C2109" t="s">
        <v>16331</v>
      </c>
      <c r="D2109">
        <v>1</v>
      </c>
      <c r="E2109" t="s">
        <v>16331</v>
      </c>
      <c r="F2109" s="126"/>
      <c r="G2109" s="7">
        <v>0</v>
      </c>
      <c r="H2109" s="7">
        <v>0</v>
      </c>
      <c r="I2109" s="7">
        <v>0</v>
      </c>
      <c r="J2109" s="7">
        <v>0</v>
      </c>
      <c r="K2109" s="3">
        <f t="shared" si="79"/>
        <v>0</v>
      </c>
      <c r="L2109" s="3"/>
      <c r="M2109" s="3">
        <f t="shared" si="80"/>
        <v>0</v>
      </c>
      <c r="O2109" s="5"/>
      <c r="S2109" s="6"/>
    </row>
    <row r="2110" spans="1:22" customFormat="1" x14ac:dyDescent="0.45">
      <c r="A2110">
        <v>475464</v>
      </c>
      <c r="B2110" t="s">
        <v>20406</v>
      </c>
      <c r="C2110" t="s">
        <v>16331</v>
      </c>
      <c r="D2110">
        <v>1</v>
      </c>
      <c r="E2110" t="s">
        <v>16331</v>
      </c>
      <c r="F2110" s="126"/>
      <c r="G2110" s="7">
        <v>0</v>
      </c>
      <c r="H2110" s="7">
        <v>0</v>
      </c>
      <c r="I2110" s="7">
        <v>0</v>
      </c>
      <c r="J2110" s="7">
        <v>0</v>
      </c>
      <c r="K2110" s="3">
        <f t="shared" si="79"/>
        <v>0</v>
      </c>
      <c r="L2110" s="3"/>
      <c r="M2110" s="3">
        <f t="shared" si="80"/>
        <v>0</v>
      </c>
      <c r="O2110" s="5"/>
      <c r="S2110" s="6"/>
    </row>
    <row r="2111" spans="1:22" customFormat="1" x14ac:dyDescent="0.45">
      <c r="A2111">
        <v>475615</v>
      </c>
      <c r="B2111" t="s">
        <v>20407</v>
      </c>
      <c r="C2111" t="s">
        <v>20408</v>
      </c>
      <c r="D2111">
        <v>2</v>
      </c>
      <c r="F2111" s="126"/>
      <c r="G2111" s="7">
        <v>0</v>
      </c>
      <c r="H2111" s="7">
        <v>0</v>
      </c>
      <c r="I2111" s="7">
        <v>0</v>
      </c>
      <c r="J2111" s="7">
        <v>0</v>
      </c>
      <c r="K2111" s="3">
        <f t="shared" si="79"/>
        <v>0</v>
      </c>
      <c r="L2111" s="3"/>
      <c r="M2111" s="3">
        <f t="shared" si="80"/>
        <v>0</v>
      </c>
      <c r="N2111" s="7"/>
      <c r="O2111" s="5"/>
      <c r="S2111" s="6"/>
    </row>
    <row r="2112" spans="1:22" customFormat="1" x14ac:dyDescent="0.45">
      <c r="A2112">
        <v>475657</v>
      </c>
      <c r="B2112" t="s">
        <v>20409</v>
      </c>
      <c r="C2112" t="s">
        <v>20410</v>
      </c>
      <c r="D2112">
        <v>1</v>
      </c>
      <c r="F2112" s="126"/>
      <c r="G2112" s="19"/>
      <c r="H2112" s="19"/>
      <c r="I2112" s="19"/>
      <c r="J2112" s="19"/>
      <c r="K2112" s="3">
        <f t="shared" si="79"/>
        <v>0</v>
      </c>
      <c r="L2112" s="3"/>
      <c r="M2112" s="3">
        <f t="shared" si="80"/>
        <v>0</v>
      </c>
      <c r="O2112" s="5"/>
      <c r="S2112" s="6"/>
    </row>
    <row r="2113" spans="1:19" customFormat="1" x14ac:dyDescent="0.45">
      <c r="A2113">
        <v>475683</v>
      </c>
      <c r="B2113" t="s">
        <v>20411</v>
      </c>
      <c r="C2113" t="s">
        <v>16331</v>
      </c>
      <c r="D2113">
        <v>1</v>
      </c>
      <c r="E2113" t="s">
        <v>16331</v>
      </c>
      <c r="F2113" s="126"/>
      <c r="G2113" s="7">
        <v>0</v>
      </c>
      <c r="H2113" s="7">
        <v>0</v>
      </c>
      <c r="I2113" s="7">
        <v>0</v>
      </c>
      <c r="J2113" s="7">
        <v>0</v>
      </c>
      <c r="K2113" s="3">
        <f t="shared" si="79"/>
        <v>0</v>
      </c>
      <c r="L2113" s="3"/>
      <c r="M2113" s="3">
        <f t="shared" si="80"/>
        <v>0</v>
      </c>
      <c r="O2113" s="5"/>
      <c r="S2113" s="6"/>
    </row>
    <row r="2114" spans="1:19" customFormat="1" x14ac:dyDescent="0.45">
      <c r="A2114">
        <v>475700</v>
      </c>
      <c r="B2114" t="s">
        <v>20412</v>
      </c>
      <c r="C2114" t="s">
        <v>20413</v>
      </c>
      <c r="D2114">
        <v>1</v>
      </c>
      <c r="F2114" s="126"/>
      <c r="G2114" s="7">
        <v>0</v>
      </c>
      <c r="H2114" s="7">
        <v>0</v>
      </c>
      <c r="I2114" s="7">
        <v>0</v>
      </c>
      <c r="J2114" s="7">
        <v>0</v>
      </c>
      <c r="K2114" s="3">
        <f t="shared" si="79"/>
        <v>0</v>
      </c>
      <c r="L2114" s="3"/>
      <c r="M2114" s="3">
        <f t="shared" si="80"/>
        <v>0</v>
      </c>
      <c r="O2114" s="5"/>
      <c r="S2114" s="6"/>
    </row>
    <row r="2115" spans="1:19" customFormat="1" x14ac:dyDescent="0.45">
      <c r="A2115">
        <v>475709</v>
      </c>
      <c r="B2115" t="s">
        <v>20414</v>
      </c>
      <c r="C2115" t="s">
        <v>20415</v>
      </c>
      <c r="D2115">
        <v>1</v>
      </c>
      <c r="F2115" s="126"/>
      <c r="K2115" s="3">
        <f t="shared" si="79"/>
        <v>0</v>
      </c>
      <c r="L2115" s="3"/>
      <c r="M2115" s="3">
        <f t="shared" si="80"/>
        <v>0</v>
      </c>
      <c r="O2115" s="5"/>
      <c r="S2115" s="6"/>
    </row>
    <row r="2116" spans="1:19" customFormat="1" x14ac:dyDescent="0.45">
      <c r="A2116">
        <v>475743</v>
      </c>
      <c r="B2116" t="s">
        <v>20416</v>
      </c>
      <c r="C2116" t="s">
        <v>20417</v>
      </c>
      <c r="D2116">
        <v>24</v>
      </c>
      <c r="F2116" s="126"/>
      <c r="G2116" s="7">
        <v>0</v>
      </c>
      <c r="H2116" s="7">
        <v>0</v>
      </c>
      <c r="I2116" s="7">
        <v>0</v>
      </c>
      <c r="J2116" s="7">
        <v>0</v>
      </c>
      <c r="K2116" s="3">
        <f t="shared" si="79"/>
        <v>0</v>
      </c>
      <c r="L2116" s="3"/>
      <c r="M2116" s="3">
        <f t="shared" si="80"/>
        <v>0</v>
      </c>
      <c r="N2116" s="7"/>
      <c r="O2116" s="5"/>
      <c r="S2116" s="6"/>
    </row>
    <row r="2117" spans="1:19" customFormat="1" x14ac:dyDescent="0.45">
      <c r="A2117">
        <v>475826</v>
      </c>
      <c r="B2117" t="s">
        <v>20418</v>
      </c>
      <c r="C2117" t="s">
        <v>20419</v>
      </c>
      <c r="D2117">
        <v>1</v>
      </c>
      <c r="F2117" s="126"/>
      <c r="G2117" s="7">
        <v>0</v>
      </c>
      <c r="H2117" s="7">
        <v>0</v>
      </c>
      <c r="I2117" s="7">
        <v>0</v>
      </c>
      <c r="J2117" s="7">
        <v>0</v>
      </c>
      <c r="K2117" s="3">
        <f t="shared" si="79"/>
        <v>0</v>
      </c>
      <c r="L2117" s="3"/>
      <c r="M2117" s="3">
        <f t="shared" si="80"/>
        <v>0</v>
      </c>
      <c r="O2117" s="5"/>
      <c r="S2117" s="6"/>
    </row>
    <row r="2118" spans="1:19" customFormat="1" x14ac:dyDescent="0.45">
      <c r="A2118">
        <v>475828</v>
      </c>
      <c r="B2118" t="s">
        <v>20420</v>
      </c>
      <c r="C2118" t="s">
        <v>16331</v>
      </c>
      <c r="D2118">
        <v>0</v>
      </c>
      <c r="E2118" t="s">
        <v>16331</v>
      </c>
      <c r="F2118" s="126"/>
      <c r="G2118" s="7">
        <v>0</v>
      </c>
      <c r="H2118" s="7">
        <v>0</v>
      </c>
      <c r="I2118" s="7">
        <v>0</v>
      </c>
      <c r="J2118" s="7">
        <v>0</v>
      </c>
      <c r="K2118" s="3">
        <f t="shared" si="79"/>
        <v>0</v>
      </c>
      <c r="L2118" s="3"/>
      <c r="M2118" s="3">
        <f t="shared" si="80"/>
        <v>0</v>
      </c>
      <c r="O2118" s="5"/>
      <c r="S2118" s="6"/>
    </row>
    <row r="2119" spans="1:19" customFormat="1" x14ac:dyDescent="0.45">
      <c r="A2119">
        <v>475945</v>
      </c>
      <c r="B2119" t="s">
        <v>20421</v>
      </c>
      <c r="C2119" t="s">
        <v>20422</v>
      </c>
      <c r="D2119">
        <v>1</v>
      </c>
      <c r="F2119" s="126"/>
      <c r="G2119" s="7">
        <v>0</v>
      </c>
      <c r="H2119" s="7">
        <v>0</v>
      </c>
      <c r="I2119" s="7">
        <v>0</v>
      </c>
      <c r="J2119" s="7">
        <v>0</v>
      </c>
      <c r="K2119" s="3">
        <f t="shared" si="79"/>
        <v>0</v>
      </c>
      <c r="L2119" s="3"/>
      <c r="M2119" s="3">
        <f t="shared" si="80"/>
        <v>0</v>
      </c>
      <c r="O2119" s="5"/>
      <c r="S2119" s="6"/>
    </row>
    <row r="2120" spans="1:19" customFormat="1" x14ac:dyDescent="0.45">
      <c r="A2120">
        <v>475953</v>
      </c>
      <c r="B2120" t="s">
        <v>20423</v>
      </c>
      <c r="C2120" t="s">
        <v>20424</v>
      </c>
      <c r="D2120">
        <v>0</v>
      </c>
      <c r="E2120" t="s">
        <v>16561</v>
      </c>
      <c r="F2120" s="126"/>
      <c r="G2120" s="7">
        <v>0</v>
      </c>
      <c r="H2120" s="7">
        <v>0</v>
      </c>
      <c r="I2120" s="7">
        <v>0</v>
      </c>
      <c r="J2120" s="7">
        <v>0</v>
      </c>
      <c r="K2120" s="3">
        <f t="shared" si="79"/>
        <v>0</v>
      </c>
      <c r="L2120" s="3"/>
      <c r="M2120" s="3">
        <f t="shared" si="80"/>
        <v>0</v>
      </c>
      <c r="N2120" s="7"/>
      <c r="O2120" s="5"/>
      <c r="S2120" s="6"/>
    </row>
    <row r="2121" spans="1:19" customFormat="1" x14ac:dyDescent="0.45">
      <c r="A2121">
        <v>475973</v>
      </c>
      <c r="B2121" t="s">
        <v>20425</v>
      </c>
      <c r="C2121" t="s">
        <v>17055</v>
      </c>
      <c r="D2121">
        <v>311</v>
      </c>
      <c r="E2121" t="s">
        <v>16334</v>
      </c>
      <c r="F2121" s="126">
        <v>2.2000000000000001E-3</v>
      </c>
      <c r="G2121" s="7">
        <v>0</v>
      </c>
      <c r="H2121" s="33">
        <v>0</v>
      </c>
      <c r="I2121" s="4">
        <v>0</v>
      </c>
      <c r="J2121" s="4">
        <v>0</v>
      </c>
      <c r="K2121" s="3">
        <f t="shared" si="79"/>
        <v>0</v>
      </c>
      <c r="L2121" s="3"/>
      <c r="M2121" s="3">
        <v>0</v>
      </c>
      <c r="O2121" s="2" t="s">
        <v>19931</v>
      </c>
      <c r="S2121" s="6"/>
    </row>
    <row r="2122" spans="1:19" customFormat="1" x14ac:dyDescent="0.45">
      <c r="A2122">
        <v>476035</v>
      </c>
      <c r="B2122" t="s">
        <v>20426</v>
      </c>
      <c r="C2122" t="s">
        <v>16331</v>
      </c>
      <c r="D2122">
        <v>1</v>
      </c>
      <c r="E2122" t="s">
        <v>16331</v>
      </c>
      <c r="F2122" s="126"/>
      <c r="G2122" s="7">
        <v>0</v>
      </c>
      <c r="H2122" s="7">
        <v>0</v>
      </c>
      <c r="I2122" s="7">
        <v>0</v>
      </c>
      <c r="J2122" s="7">
        <v>0</v>
      </c>
      <c r="K2122" s="3">
        <f t="shared" si="79"/>
        <v>0</v>
      </c>
      <c r="L2122" s="3"/>
      <c r="M2122" s="3">
        <f t="shared" ref="M2122:M2185" si="81">K2122+F2122</f>
        <v>0</v>
      </c>
      <c r="N2122" s="7"/>
      <c r="O2122" s="5"/>
      <c r="S2122" s="6"/>
    </row>
    <row r="2123" spans="1:19" customFormat="1" x14ac:dyDescent="0.45">
      <c r="A2123">
        <v>476104</v>
      </c>
      <c r="B2123" t="s">
        <v>20427</v>
      </c>
      <c r="C2123" t="s">
        <v>20428</v>
      </c>
      <c r="D2123">
        <v>3</v>
      </c>
      <c r="F2123" s="126"/>
      <c r="G2123" s="3">
        <v>0</v>
      </c>
      <c r="H2123" s="3">
        <v>0</v>
      </c>
      <c r="I2123" s="3">
        <v>0</v>
      </c>
      <c r="J2123" s="3">
        <v>0</v>
      </c>
      <c r="K2123" s="3">
        <f t="shared" si="79"/>
        <v>0</v>
      </c>
      <c r="L2123" s="3"/>
      <c r="M2123" s="3">
        <f t="shared" si="81"/>
        <v>0</v>
      </c>
      <c r="O2123" s="5"/>
      <c r="S2123" s="6"/>
    </row>
    <row r="2124" spans="1:19" customFormat="1" x14ac:dyDescent="0.45">
      <c r="A2124">
        <v>476116</v>
      </c>
      <c r="B2124" t="s">
        <v>20429</v>
      </c>
      <c r="C2124" s="2" t="s">
        <v>20430</v>
      </c>
      <c r="D2124">
        <v>9</v>
      </c>
      <c r="F2124" s="126"/>
      <c r="G2124" s="7">
        <v>0</v>
      </c>
      <c r="H2124" s="7">
        <v>0</v>
      </c>
      <c r="I2124" s="7">
        <v>0</v>
      </c>
      <c r="J2124" s="7">
        <v>0</v>
      </c>
      <c r="K2124" s="3">
        <f t="shared" si="79"/>
        <v>0</v>
      </c>
      <c r="L2124" s="3"/>
      <c r="M2124" s="3">
        <f t="shared" si="81"/>
        <v>0</v>
      </c>
      <c r="O2124" s="5"/>
      <c r="S2124" s="6"/>
    </row>
    <row r="2125" spans="1:19" customFormat="1" x14ac:dyDescent="0.45">
      <c r="A2125">
        <v>476155</v>
      </c>
      <c r="B2125" t="s">
        <v>20431</v>
      </c>
      <c r="C2125" t="s">
        <v>20432</v>
      </c>
      <c r="D2125">
        <v>1</v>
      </c>
      <c r="F2125" s="126"/>
      <c r="G2125" s="3">
        <v>0</v>
      </c>
      <c r="H2125" s="3">
        <v>0</v>
      </c>
      <c r="I2125" s="3">
        <v>0</v>
      </c>
      <c r="J2125" s="3">
        <v>0</v>
      </c>
      <c r="K2125" s="3">
        <f t="shared" si="79"/>
        <v>0</v>
      </c>
      <c r="L2125" s="3"/>
      <c r="M2125" s="3">
        <f t="shared" si="81"/>
        <v>0</v>
      </c>
      <c r="O2125" s="5"/>
      <c r="S2125" s="6"/>
    </row>
    <row r="2126" spans="1:19" customFormat="1" x14ac:dyDescent="0.45">
      <c r="A2126">
        <v>476326</v>
      </c>
      <c r="B2126" t="s">
        <v>20433</v>
      </c>
      <c r="C2126" t="s">
        <v>20434</v>
      </c>
      <c r="D2126">
        <v>2</v>
      </c>
      <c r="F2126" s="126"/>
      <c r="G2126" s="3">
        <v>0</v>
      </c>
      <c r="H2126" s="3">
        <v>0</v>
      </c>
      <c r="I2126" s="3">
        <v>0</v>
      </c>
      <c r="J2126" s="3">
        <v>0</v>
      </c>
      <c r="K2126" s="3">
        <f t="shared" si="79"/>
        <v>0</v>
      </c>
      <c r="L2126" s="3"/>
      <c r="M2126" s="3">
        <f t="shared" si="81"/>
        <v>0</v>
      </c>
      <c r="O2126" s="5"/>
      <c r="S2126" s="6"/>
    </row>
    <row r="2127" spans="1:19" customFormat="1" x14ac:dyDescent="0.45">
      <c r="A2127">
        <v>476417</v>
      </c>
      <c r="B2127" t="s">
        <v>20435</v>
      </c>
      <c r="C2127" t="s">
        <v>16331</v>
      </c>
      <c r="D2127">
        <v>5</v>
      </c>
      <c r="E2127" t="s">
        <v>16331</v>
      </c>
      <c r="F2127" s="126"/>
      <c r="G2127" s="7">
        <v>0</v>
      </c>
      <c r="H2127" s="7">
        <v>0</v>
      </c>
      <c r="I2127" s="7">
        <v>0</v>
      </c>
      <c r="J2127" s="7">
        <v>0</v>
      </c>
      <c r="K2127" s="3">
        <f t="shared" si="79"/>
        <v>0</v>
      </c>
      <c r="L2127" s="3"/>
      <c r="M2127" s="3">
        <f t="shared" si="81"/>
        <v>0</v>
      </c>
      <c r="O2127" s="5"/>
      <c r="S2127" s="6"/>
    </row>
    <row r="2128" spans="1:19" customFormat="1" x14ac:dyDescent="0.45">
      <c r="A2128">
        <v>476454</v>
      </c>
      <c r="B2128" t="s">
        <v>20436</v>
      </c>
      <c r="C2128" t="s">
        <v>16331</v>
      </c>
      <c r="D2128">
        <v>4</v>
      </c>
      <c r="E2128" t="s">
        <v>16331</v>
      </c>
      <c r="F2128" s="126"/>
      <c r="G2128" s="7">
        <v>0</v>
      </c>
      <c r="H2128" s="7">
        <v>0</v>
      </c>
      <c r="I2128" s="7">
        <v>0</v>
      </c>
      <c r="J2128" s="7">
        <v>0</v>
      </c>
      <c r="K2128" s="3">
        <f t="shared" si="79"/>
        <v>0</v>
      </c>
      <c r="L2128" s="3"/>
      <c r="M2128" s="3">
        <f t="shared" si="81"/>
        <v>0</v>
      </c>
      <c r="O2128" s="5"/>
      <c r="S2128" s="6"/>
    </row>
    <row r="2129" spans="1:22" customFormat="1" x14ac:dyDescent="0.45">
      <c r="A2129">
        <v>476495</v>
      </c>
      <c r="B2129" t="s">
        <v>20437</v>
      </c>
      <c r="C2129" t="s">
        <v>20438</v>
      </c>
      <c r="D2129">
        <v>7</v>
      </c>
      <c r="F2129" s="126"/>
      <c r="G2129" s="7">
        <v>0</v>
      </c>
      <c r="H2129" s="7">
        <v>0</v>
      </c>
      <c r="I2129" s="7">
        <v>0</v>
      </c>
      <c r="J2129" s="7">
        <v>0</v>
      </c>
      <c r="K2129" s="3">
        <f t="shared" si="79"/>
        <v>0</v>
      </c>
      <c r="L2129" s="3"/>
      <c r="M2129" s="3">
        <f t="shared" si="81"/>
        <v>0</v>
      </c>
      <c r="O2129" s="5"/>
      <c r="S2129" s="6"/>
    </row>
    <row r="2130" spans="1:22" customFormat="1" x14ac:dyDescent="0.45">
      <c r="A2130">
        <v>476681</v>
      </c>
      <c r="B2130" t="s">
        <v>20439</v>
      </c>
      <c r="C2130" t="s">
        <v>20440</v>
      </c>
      <c r="D2130">
        <v>2</v>
      </c>
      <c r="F2130" s="126"/>
      <c r="G2130" s="7">
        <v>0</v>
      </c>
      <c r="H2130" s="7">
        <v>0</v>
      </c>
      <c r="I2130" s="7">
        <v>0</v>
      </c>
      <c r="J2130" s="7">
        <v>0</v>
      </c>
      <c r="K2130" s="3">
        <f t="shared" si="79"/>
        <v>0</v>
      </c>
      <c r="L2130" s="3"/>
      <c r="M2130" s="3">
        <f t="shared" si="81"/>
        <v>0</v>
      </c>
      <c r="O2130" s="5"/>
      <c r="S2130" s="6"/>
    </row>
    <row r="2131" spans="1:22" customFormat="1" x14ac:dyDescent="0.45">
      <c r="A2131">
        <v>476748</v>
      </c>
      <c r="B2131" t="s">
        <v>20441</v>
      </c>
      <c r="C2131" t="s">
        <v>20442</v>
      </c>
      <c r="D2131">
        <v>3</v>
      </c>
      <c r="F2131" s="126"/>
      <c r="G2131" s="3">
        <v>0</v>
      </c>
      <c r="H2131" s="3">
        <v>0</v>
      </c>
      <c r="I2131" s="3">
        <v>0</v>
      </c>
      <c r="J2131" s="3">
        <v>0</v>
      </c>
      <c r="K2131" s="3">
        <f t="shared" si="79"/>
        <v>0</v>
      </c>
      <c r="L2131" s="3"/>
      <c r="M2131" s="3">
        <f t="shared" si="81"/>
        <v>0</v>
      </c>
      <c r="O2131" s="5"/>
      <c r="S2131" s="6"/>
    </row>
    <row r="2132" spans="1:22" customFormat="1" x14ac:dyDescent="0.45">
      <c r="A2132">
        <v>477155</v>
      </c>
      <c r="B2132" t="s">
        <v>20443</v>
      </c>
      <c r="C2132" t="s">
        <v>20444</v>
      </c>
      <c r="D2132">
        <v>2</v>
      </c>
      <c r="F2132" s="126"/>
      <c r="G2132" s="7">
        <v>0</v>
      </c>
      <c r="H2132" s="7">
        <v>0</v>
      </c>
      <c r="I2132" s="7">
        <v>0</v>
      </c>
      <c r="J2132" s="7">
        <v>0</v>
      </c>
      <c r="K2132" s="3">
        <f t="shared" si="79"/>
        <v>0</v>
      </c>
      <c r="L2132" s="3"/>
      <c r="M2132" s="3">
        <f t="shared" si="81"/>
        <v>0</v>
      </c>
      <c r="N2132" s="7"/>
      <c r="O2132" s="5"/>
      <c r="S2132" s="6"/>
    </row>
    <row r="2133" spans="1:22" customFormat="1" x14ac:dyDescent="0.45">
      <c r="A2133">
        <v>477194</v>
      </c>
      <c r="B2133" t="s">
        <v>20445</v>
      </c>
      <c r="C2133" t="s">
        <v>20446</v>
      </c>
      <c r="D2133">
        <v>1</v>
      </c>
      <c r="F2133" s="126"/>
      <c r="G2133" s="3">
        <v>0</v>
      </c>
      <c r="H2133" s="3">
        <v>0</v>
      </c>
      <c r="I2133" s="3">
        <v>0</v>
      </c>
      <c r="J2133" s="3">
        <v>0</v>
      </c>
      <c r="K2133" s="3">
        <f t="shared" si="79"/>
        <v>0</v>
      </c>
      <c r="L2133" s="3"/>
      <c r="M2133" s="3">
        <f t="shared" si="81"/>
        <v>0</v>
      </c>
      <c r="O2133" s="5"/>
      <c r="S2133" s="6"/>
    </row>
    <row r="2134" spans="1:22" customFormat="1" x14ac:dyDescent="0.45">
      <c r="A2134">
        <v>477293</v>
      </c>
      <c r="B2134" t="s">
        <v>20447</v>
      </c>
      <c r="C2134" t="s">
        <v>20448</v>
      </c>
      <c r="D2134">
        <v>6</v>
      </c>
      <c r="F2134" s="126"/>
      <c r="G2134" s="3">
        <v>0</v>
      </c>
      <c r="H2134" s="3">
        <v>0</v>
      </c>
      <c r="I2134" s="3">
        <v>0</v>
      </c>
      <c r="J2134" s="3">
        <v>0</v>
      </c>
      <c r="K2134" s="3">
        <f t="shared" si="79"/>
        <v>0</v>
      </c>
      <c r="L2134" s="3"/>
      <c r="M2134" s="3">
        <f t="shared" si="81"/>
        <v>0</v>
      </c>
      <c r="O2134" s="5"/>
      <c r="S2134" s="6"/>
    </row>
    <row r="2135" spans="1:22" x14ac:dyDescent="0.45">
      <c r="A2135" s="124">
        <v>180563</v>
      </c>
      <c r="B2135" s="124" t="s">
        <v>20449</v>
      </c>
      <c r="C2135" s="124" t="s">
        <v>20068</v>
      </c>
      <c r="D2135" s="124">
        <v>20</v>
      </c>
      <c r="E2135" s="124" t="s">
        <v>16417</v>
      </c>
      <c r="F2135" s="126">
        <v>1.2200000000000001E-2</v>
      </c>
      <c r="G2135" s="126">
        <v>0.02</v>
      </c>
      <c r="H2135" s="126">
        <v>4.0000000000000001E-3</v>
      </c>
      <c r="I2135" s="127">
        <v>0</v>
      </c>
      <c r="J2135" s="127">
        <v>0</v>
      </c>
      <c r="K2135" s="126">
        <f t="shared" si="79"/>
        <v>2.4E-2</v>
      </c>
      <c r="L2135" s="3"/>
      <c r="M2135" s="126">
        <f t="shared" si="81"/>
        <v>3.6200000000000003E-2</v>
      </c>
      <c r="N2135" s="135"/>
      <c r="O2135" s="125" t="s">
        <v>20070</v>
      </c>
      <c r="P2135" s="125" t="s">
        <v>20071</v>
      </c>
      <c r="Q2135" s="130">
        <v>74976000</v>
      </c>
      <c r="R2135" s="130" t="s">
        <v>16348</v>
      </c>
      <c r="S2135" s="130">
        <v>62439000</v>
      </c>
      <c r="T2135" s="129">
        <f>S2135/Q2135</f>
        <v>0.83278649167733676</v>
      </c>
      <c r="U2135" s="130"/>
      <c r="V2135" s="125" t="s">
        <v>20450</v>
      </c>
    </row>
    <row r="2136" spans="1:22" customFormat="1" x14ac:dyDescent="0.45">
      <c r="A2136">
        <v>477903</v>
      </c>
      <c r="B2136" t="s">
        <v>20451</v>
      </c>
      <c r="C2136" t="s">
        <v>20452</v>
      </c>
      <c r="D2136">
        <v>1</v>
      </c>
      <c r="F2136" s="126"/>
      <c r="G2136" s="3">
        <v>0</v>
      </c>
      <c r="H2136" s="3">
        <v>0</v>
      </c>
      <c r="I2136" s="3">
        <v>0</v>
      </c>
      <c r="J2136" s="3">
        <v>0</v>
      </c>
      <c r="K2136" s="3">
        <f t="shared" si="79"/>
        <v>0</v>
      </c>
      <c r="L2136" s="3"/>
      <c r="M2136" s="3">
        <f t="shared" si="81"/>
        <v>0</v>
      </c>
      <c r="O2136" s="5"/>
      <c r="S2136" s="6"/>
    </row>
    <row r="2137" spans="1:22" customFormat="1" x14ac:dyDescent="0.45">
      <c r="A2137">
        <v>478111</v>
      </c>
      <c r="B2137" t="s">
        <v>20453</v>
      </c>
      <c r="C2137" t="s">
        <v>20454</v>
      </c>
      <c r="D2137">
        <v>3</v>
      </c>
      <c r="F2137" s="126"/>
      <c r="G2137" s="7">
        <v>0</v>
      </c>
      <c r="H2137" s="7">
        <v>0</v>
      </c>
      <c r="I2137" s="7">
        <v>0</v>
      </c>
      <c r="J2137" s="7">
        <v>0</v>
      </c>
      <c r="K2137" s="3">
        <f t="shared" si="79"/>
        <v>0</v>
      </c>
      <c r="L2137" s="3"/>
      <c r="M2137" s="3">
        <f t="shared" si="81"/>
        <v>0</v>
      </c>
      <c r="O2137" s="5"/>
      <c r="S2137" s="6"/>
    </row>
    <row r="2138" spans="1:22" x14ac:dyDescent="0.45">
      <c r="A2138" s="124">
        <v>223074</v>
      </c>
      <c r="B2138" s="124" t="s">
        <v>20455</v>
      </c>
      <c r="C2138" s="124" t="s">
        <v>20456</v>
      </c>
      <c r="D2138" s="124">
        <v>171</v>
      </c>
      <c r="E2138" s="124" t="s">
        <v>16417</v>
      </c>
      <c r="F2138" s="126">
        <v>1.2200000000000001E-2</v>
      </c>
      <c r="G2138" s="126">
        <v>0.02</v>
      </c>
      <c r="H2138" s="126">
        <v>4.0000000000000001E-3</v>
      </c>
      <c r="I2138" s="127">
        <v>0</v>
      </c>
      <c r="J2138" s="127">
        <v>0</v>
      </c>
      <c r="K2138" s="126">
        <f t="shared" si="79"/>
        <v>2.4E-2</v>
      </c>
      <c r="L2138" s="3"/>
      <c r="M2138" s="126">
        <f t="shared" si="81"/>
        <v>3.6200000000000003E-2</v>
      </c>
      <c r="N2138" s="135" t="s">
        <v>20457</v>
      </c>
      <c r="O2138" s="125" t="s">
        <v>20070</v>
      </c>
      <c r="P2138" s="125" t="s">
        <v>20071</v>
      </c>
      <c r="Q2138" s="130">
        <v>73339000</v>
      </c>
      <c r="R2138" s="130" t="s">
        <v>16348</v>
      </c>
      <c r="S2138" s="130">
        <v>71592000</v>
      </c>
      <c r="T2138" s="129">
        <f>S2138/Q2138</f>
        <v>0.97617911343214392</v>
      </c>
      <c r="U2138" s="130"/>
      <c r="V2138" s="125" t="s">
        <v>20072</v>
      </c>
    </row>
    <row r="2139" spans="1:22" customFormat="1" x14ac:dyDescent="0.45">
      <c r="A2139">
        <v>478255</v>
      </c>
      <c r="B2139" t="s">
        <v>20458</v>
      </c>
      <c r="C2139" t="s">
        <v>20459</v>
      </c>
      <c r="D2139">
        <v>1</v>
      </c>
      <c r="F2139" s="126"/>
      <c r="G2139" s="7">
        <v>0</v>
      </c>
      <c r="H2139" s="7">
        <v>0</v>
      </c>
      <c r="I2139" s="7">
        <v>0</v>
      </c>
      <c r="J2139" s="7">
        <v>0</v>
      </c>
      <c r="K2139" s="3">
        <f t="shared" si="79"/>
        <v>0</v>
      </c>
      <c r="L2139" s="3"/>
      <c r="M2139" s="3">
        <f t="shared" si="81"/>
        <v>0</v>
      </c>
      <c r="O2139" s="5"/>
      <c r="S2139" s="6"/>
    </row>
    <row r="2140" spans="1:22" customFormat="1" x14ac:dyDescent="0.45">
      <c r="A2140">
        <v>478268</v>
      </c>
      <c r="B2140" t="s">
        <v>20460</v>
      </c>
      <c r="C2140" t="s">
        <v>20461</v>
      </c>
      <c r="D2140">
        <v>4</v>
      </c>
      <c r="F2140" s="126"/>
      <c r="G2140" s="7">
        <v>0</v>
      </c>
      <c r="H2140" s="7">
        <v>0</v>
      </c>
      <c r="I2140" s="7">
        <v>0</v>
      </c>
      <c r="J2140" s="7">
        <v>0</v>
      </c>
      <c r="K2140" s="3">
        <f t="shared" si="79"/>
        <v>0</v>
      </c>
      <c r="L2140" s="3"/>
      <c r="M2140" s="3">
        <f t="shared" si="81"/>
        <v>0</v>
      </c>
      <c r="O2140" s="5"/>
      <c r="S2140" s="6"/>
    </row>
    <row r="2141" spans="1:22" customFormat="1" x14ac:dyDescent="0.45">
      <c r="A2141">
        <v>478376</v>
      </c>
      <c r="B2141" t="s">
        <v>20462</v>
      </c>
      <c r="C2141" t="s">
        <v>20463</v>
      </c>
      <c r="D2141">
        <v>2</v>
      </c>
      <c r="F2141" s="126"/>
      <c r="G2141" s="3">
        <v>0</v>
      </c>
      <c r="H2141" s="3">
        <v>0</v>
      </c>
      <c r="I2141" s="3">
        <v>0</v>
      </c>
      <c r="J2141" s="3">
        <v>0</v>
      </c>
      <c r="K2141" s="3">
        <f t="shared" si="79"/>
        <v>0</v>
      </c>
      <c r="L2141" s="3"/>
      <c r="M2141" s="3">
        <f t="shared" si="81"/>
        <v>0</v>
      </c>
      <c r="O2141" s="5"/>
      <c r="S2141" s="6"/>
    </row>
    <row r="2142" spans="1:22" customFormat="1" x14ac:dyDescent="0.45">
      <c r="A2142">
        <v>478406</v>
      </c>
      <c r="B2142" t="s">
        <v>20464</v>
      </c>
      <c r="C2142" t="s">
        <v>20465</v>
      </c>
      <c r="D2142">
        <v>0</v>
      </c>
      <c r="E2142" t="s">
        <v>16561</v>
      </c>
      <c r="F2142" s="126"/>
      <c r="G2142" s="7">
        <v>0</v>
      </c>
      <c r="H2142" s="7">
        <v>0</v>
      </c>
      <c r="I2142" s="7">
        <v>0</v>
      </c>
      <c r="J2142" s="7">
        <v>0</v>
      </c>
      <c r="K2142" s="3">
        <f t="shared" si="79"/>
        <v>0</v>
      </c>
      <c r="L2142" s="3"/>
      <c r="M2142" s="3">
        <f t="shared" si="81"/>
        <v>0</v>
      </c>
      <c r="N2142" s="7"/>
      <c r="O2142" s="5"/>
      <c r="S2142" s="6"/>
    </row>
    <row r="2143" spans="1:22" customFormat="1" x14ac:dyDescent="0.45">
      <c r="A2143">
        <v>478519</v>
      </c>
      <c r="B2143" t="s">
        <v>20466</v>
      </c>
      <c r="C2143" t="s">
        <v>16331</v>
      </c>
      <c r="D2143">
        <v>1</v>
      </c>
      <c r="E2143" t="s">
        <v>16331</v>
      </c>
      <c r="F2143" s="126"/>
      <c r="G2143" s="7">
        <v>0</v>
      </c>
      <c r="H2143" s="7">
        <v>0</v>
      </c>
      <c r="I2143" s="7">
        <v>0</v>
      </c>
      <c r="J2143" s="7">
        <v>0</v>
      </c>
      <c r="K2143" s="3">
        <f t="shared" si="79"/>
        <v>0</v>
      </c>
      <c r="L2143" s="3"/>
      <c r="M2143" s="3">
        <f t="shared" si="81"/>
        <v>0</v>
      </c>
      <c r="O2143" s="5"/>
      <c r="S2143" s="6"/>
    </row>
    <row r="2144" spans="1:22" customFormat="1" x14ac:dyDescent="0.45">
      <c r="A2144">
        <v>478785</v>
      </c>
      <c r="B2144" t="s">
        <v>20467</v>
      </c>
      <c r="C2144" t="s">
        <v>20468</v>
      </c>
      <c r="D2144">
        <v>1</v>
      </c>
      <c r="F2144" s="126"/>
      <c r="G2144" s="7">
        <v>0</v>
      </c>
      <c r="H2144" s="7">
        <v>0</v>
      </c>
      <c r="I2144" s="7">
        <v>0</v>
      </c>
      <c r="J2144" s="7">
        <v>0</v>
      </c>
      <c r="K2144" s="3">
        <f t="shared" si="79"/>
        <v>0</v>
      </c>
      <c r="L2144" s="3"/>
      <c r="M2144" s="3">
        <f t="shared" si="81"/>
        <v>0</v>
      </c>
      <c r="O2144" s="5"/>
      <c r="S2144" s="6"/>
    </row>
    <row r="2145" spans="1:19" customFormat="1" x14ac:dyDescent="0.45">
      <c r="A2145">
        <v>478840</v>
      </c>
      <c r="B2145" t="s">
        <v>20469</v>
      </c>
      <c r="C2145" t="s">
        <v>16331</v>
      </c>
      <c r="D2145">
        <v>0</v>
      </c>
      <c r="E2145" t="s">
        <v>16331</v>
      </c>
      <c r="F2145" s="126"/>
      <c r="G2145" s="7">
        <v>0</v>
      </c>
      <c r="H2145" s="7">
        <v>0</v>
      </c>
      <c r="I2145" s="7">
        <v>0</v>
      </c>
      <c r="J2145" s="7">
        <v>0</v>
      </c>
      <c r="K2145" s="3">
        <f t="shared" si="79"/>
        <v>0</v>
      </c>
      <c r="L2145" s="3"/>
      <c r="M2145" s="3">
        <f t="shared" si="81"/>
        <v>0</v>
      </c>
      <c r="O2145" s="5"/>
      <c r="S2145" s="6"/>
    </row>
    <row r="2146" spans="1:19" customFormat="1" x14ac:dyDescent="0.45">
      <c r="A2146">
        <v>478923</v>
      </c>
      <c r="B2146" t="s">
        <v>20470</v>
      </c>
      <c r="C2146" t="s">
        <v>20471</v>
      </c>
      <c r="D2146">
        <v>6</v>
      </c>
      <c r="F2146" s="126"/>
      <c r="G2146" s="7">
        <v>0</v>
      </c>
      <c r="H2146" s="7">
        <v>0</v>
      </c>
      <c r="I2146" s="7">
        <v>0</v>
      </c>
      <c r="J2146" s="7">
        <v>0</v>
      </c>
      <c r="K2146" s="3">
        <f t="shared" si="79"/>
        <v>0</v>
      </c>
      <c r="L2146" s="3"/>
      <c r="M2146" s="3">
        <f t="shared" si="81"/>
        <v>0</v>
      </c>
      <c r="O2146" s="5"/>
      <c r="S2146" s="6"/>
    </row>
    <row r="2147" spans="1:19" customFormat="1" x14ac:dyDescent="0.45">
      <c r="A2147">
        <v>478956</v>
      </c>
      <c r="B2147" t="s">
        <v>20472</v>
      </c>
      <c r="C2147" s="2" t="s">
        <v>20473</v>
      </c>
      <c r="D2147">
        <v>1</v>
      </c>
      <c r="F2147" s="126"/>
      <c r="G2147" s="3">
        <v>0</v>
      </c>
      <c r="H2147" s="3">
        <v>0</v>
      </c>
      <c r="I2147" s="3">
        <v>0</v>
      </c>
      <c r="J2147" s="3">
        <v>0</v>
      </c>
      <c r="K2147" s="3">
        <f t="shared" si="79"/>
        <v>0</v>
      </c>
      <c r="L2147" s="3"/>
      <c r="M2147" s="3">
        <f t="shared" si="81"/>
        <v>0</v>
      </c>
      <c r="O2147" s="5"/>
      <c r="S2147" s="6"/>
    </row>
    <row r="2148" spans="1:19" customFormat="1" x14ac:dyDescent="0.45">
      <c r="A2148">
        <v>479172</v>
      </c>
      <c r="B2148" t="s">
        <v>20474</v>
      </c>
      <c r="C2148" t="s">
        <v>20475</v>
      </c>
      <c r="D2148">
        <v>2</v>
      </c>
      <c r="F2148" s="126"/>
      <c r="G2148" s="7">
        <v>0</v>
      </c>
      <c r="H2148" s="7">
        <v>0</v>
      </c>
      <c r="I2148" s="7">
        <v>0</v>
      </c>
      <c r="J2148" s="7">
        <v>0</v>
      </c>
      <c r="K2148" s="3">
        <f t="shared" si="79"/>
        <v>0</v>
      </c>
      <c r="L2148" s="3"/>
      <c r="M2148" s="3">
        <f t="shared" si="81"/>
        <v>0</v>
      </c>
      <c r="O2148" s="5"/>
      <c r="S2148" s="6"/>
    </row>
    <row r="2149" spans="1:19" customFormat="1" x14ac:dyDescent="0.45">
      <c r="A2149">
        <v>479175</v>
      </c>
      <c r="B2149" t="s">
        <v>20476</v>
      </c>
      <c r="C2149" t="s">
        <v>20477</v>
      </c>
      <c r="D2149">
        <v>16</v>
      </c>
      <c r="F2149" s="126"/>
      <c r="G2149" s="7">
        <v>0</v>
      </c>
      <c r="H2149" s="7">
        <v>0</v>
      </c>
      <c r="I2149" s="7">
        <v>0</v>
      </c>
      <c r="J2149" s="7">
        <v>0</v>
      </c>
      <c r="K2149" s="3">
        <f t="shared" si="79"/>
        <v>0</v>
      </c>
      <c r="L2149" s="3"/>
      <c r="M2149" s="3">
        <f t="shared" si="81"/>
        <v>0</v>
      </c>
      <c r="O2149" s="5"/>
      <c r="S2149" s="6"/>
    </row>
    <row r="2150" spans="1:19" customFormat="1" x14ac:dyDescent="0.45">
      <c r="A2150">
        <v>479203</v>
      </c>
      <c r="B2150" t="s">
        <v>20478</v>
      </c>
      <c r="C2150" t="s">
        <v>20479</v>
      </c>
      <c r="D2150">
        <v>0</v>
      </c>
      <c r="E2150" t="s">
        <v>16561</v>
      </c>
      <c r="F2150" s="126"/>
      <c r="K2150" s="3">
        <f t="shared" si="79"/>
        <v>0</v>
      </c>
      <c r="L2150" s="3"/>
      <c r="M2150" s="3">
        <f t="shared" si="81"/>
        <v>0</v>
      </c>
      <c r="O2150" s="5"/>
      <c r="S2150" s="6"/>
    </row>
    <row r="2151" spans="1:19" customFormat="1" x14ac:dyDescent="0.45">
      <c r="A2151">
        <v>479204</v>
      </c>
      <c r="B2151" t="s">
        <v>20480</v>
      </c>
      <c r="C2151" t="s">
        <v>16331</v>
      </c>
      <c r="D2151">
        <v>2</v>
      </c>
      <c r="E2151" t="s">
        <v>16331</v>
      </c>
      <c r="F2151" s="126"/>
      <c r="G2151" s="7">
        <v>0</v>
      </c>
      <c r="H2151" s="7">
        <v>0</v>
      </c>
      <c r="I2151" s="7">
        <v>0</v>
      </c>
      <c r="J2151" s="7">
        <v>0</v>
      </c>
      <c r="K2151" s="3">
        <f t="shared" si="79"/>
        <v>0</v>
      </c>
      <c r="L2151" s="3"/>
      <c r="M2151" s="3">
        <f t="shared" si="81"/>
        <v>0</v>
      </c>
      <c r="O2151" s="5"/>
      <c r="S2151" s="6"/>
    </row>
    <row r="2152" spans="1:19" customFormat="1" x14ac:dyDescent="0.45">
      <c r="A2152">
        <v>479220</v>
      </c>
      <c r="B2152" t="s">
        <v>20481</v>
      </c>
      <c r="C2152" t="s">
        <v>16331</v>
      </c>
      <c r="D2152">
        <v>0</v>
      </c>
      <c r="E2152" t="s">
        <v>16331</v>
      </c>
      <c r="F2152" s="126"/>
      <c r="K2152" s="3">
        <f t="shared" si="79"/>
        <v>0</v>
      </c>
      <c r="L2152" s="3"/>
      <c r="M2152" s="3">
        <f t="shared" si="81"/>
        <v>0</v>
      </c>
      <c r="O2152" s="5"/>
      <c r="S2152" s="6"/>
    </row>
    <row r="2153" spans="1:19" customFormat="1" x14ac:dyDescent="0.45">
      <c r="A2153">
        <v>479335</v>
      </c>
      <c r="B2153" t="s">
        <v>20482</v>
      </c>
      <c r="C2153" t="s">
        <v>20483</v>
      </c>
      <c r="D2153">
        <v>2</v>
      </c>
      <c r="F2153" s="126"/>
      <c r="G2153" s="7">
        <v>0</v>
      </c>
      <c r="H2153" s="7">
        <v>0</v>
      </c>
      <c r="I2153" s="7">
        <v>0</v>
      </c>
      <c r="J2153" s="7">
        <v>0</v>
      </c>
      <c r="K2153" s="3">
        <f t="shared" si="79"/>
        <v>0</v>
      </c>
      <c r="L2153" s="3"/>
      <c r="M2153" s="3">
        <f t="shared" si="81"/>
        <v>0</v>
      </c>
      <c r="O2153" s="5"/>
      <c r="S2153" s="6"/>
    </row>
    <row r="2154" spans="1:19" customFormat="1" x14ac:dyDescent="0.45">
      <c r="A2154">
        <v>479377</v>
      </c>
      <c r="B2154" t="s">
        <v>20484</v>
      </c>
      <c r="C2154" t="s">
        <v>20485</v>
      </c>
      <c r="D2154">
        <v>6</v>
      </c>
      <c r="F2154" s="126"/>
      <c r="G2154" s="7">
        <v>0</v>
      </c>
      <c r="H2154" s="7">
        <v>0</v>
      </c>
      <c r="I2154" s="7">
        <v>0</v>
      </c>
      <c r="J2154" s="7">
        <v>0</v>
      </c>
      <c r="K2154" s="3">
        <f t="shared" si="79"/>
        <v>0</v>
      </c>
      <c r="L2154" s="3"/>
      <c r="M2154" s="3">
        <f t="shared" si="81"/>
        <v>0</v>
      </c>
      <c r="N2154" s="7"/>
      <c r="O2154" s="5"/>
      <c r="S2154" s="6"/>
    </row>
    <row r="2155" spans="1:19" customFormat="1" x14ac:dyDescent="0.45">
      <c r="A2155">
        <v>479421</v>
      </c>
      <c r="B2155" t="s">
        <v>20486</v>
      </c>
      <c r="C2155" t="s">
        <v>20487</v>
      </c>
      <c r="D2155">
        <v>1</v>
      </c>
      <c r="F2155" s="126"/>
      <c r="G2155" s="7">
        <v>0</v>
      </c>
      <c r="H2155" s="7">
        <v>0</v>
      </c>
      <c r="I2155" s="7">
        <v>0</v>
      </c>
      <c r="J2155" s="7">
        <v>0</v>
      </c>
      <c r="K2155" s="3">
        <f t="shared" si="79"/>
        <v>0</v>
      </c>
      <c r="L2155" s="3"/>
      <c r="M2155" s="3">
        <f t="shared" si="81"/>
        <v>0</v>
      </c>
      <c r="O2155" s="5"/>
      <c r="S2155" s="6"/>
    </row>
    <row r="2156" spans="1:19" customFormat="1" x14ac:dyDescent="0.45">
      <c r="A2156">
        <v>479453</v>
      </c>
      <c r="B2156" t="s">
        <v>20488</v>
      </c>
      <c r="C2156" t="s">
        <v>16331</v>
      </c>
      <c r="D2156">
        <v>1</v>
      </c>
      <c r="E2156" t="s">
        <v>16331</v>
      </c>
      <c r="F2156" s="126"/>
      <c r="G2156" s="7">
        <v>0</v>
      </c>
      <c r="H2156" s="7">
        <v>0</v>
      </c>
      <c r="I2156" s="7">
        <v>0</v>
      </c>
      <c r="J2156" s="7">
        <v>0</v>
      </c>
      <c r="K2156" s="3">
        <f t="shared" ref="K2156:K2219" si="82">SUM(G2156:J2156)</f>
        <v>0</v>
      </c>
      <c r="L2156" s="3"/>
      <c r="M2156" s="3">
        <f t="shared" si="81"/>
        <v>0</v>
      </c>
      <c r="O2156" s="5"/>
      <c r="S2156" s="6"/>
    </row>
    <row r="2157" spans="1:19" customFormat="1" x14ac:dyDescent="0.45">
      <c r="A2157">
        <v>479501</v>
      </c>
      <c r="B2157" t="s">
        <v>20489</v>
      </c>
      <c r="C2157" t="s">
        <v>20490</v>
      </c>
      <c r="D2157">
        <v>1</v>
      </c>
      <c r="F2157" s="126"/>
      <c r="G2157" s="3">
        <v>0</v>
      </c>
      <c r="H2157" s="3">
        <v>0</v>
      </c>
      <c r="I2157" s="3">
        <v>0</v>
      </c>
      <c r="J2157" s="3">
        <v>0</v>
      </c>
      <c r="K2157" s="3">
        <f t="shared" si="82"/>
        <v>0</v>
      </c>
      <c r="L2157" s="3"/>
      <c r="M2157" s="3">
        <f t="shared" si="81"/>
        <v>0</v>
      </c>
      <c r="O2157" s="5"/>
      <c r="S2157" s="6"/>
    </row>
    <row r="2158" spans="1:19" customFormat="1" x14ac:dyDescent="0.45">
      <c r="A2158">
        <v>479512</v>
      </c>
      <c r="B2158" t="s">
        <v>20491</v>
      </c>
      <c r="C2158" t="s">
        <v>16331</v>
      </c>
      <c r="D2158">
        <v>2</v>
      </c>
      <c r="E2158" t="s">
        <v>16331</v>
      </c>
      <c r="F2158" s="126"/>
      <c r="G2158" s="7">
        <v>0</v>
      </c>
      <c r="H2158" s="7">
        <v>0</v>
      </c>
      <c r="I2158" s="7">
        <v>0</v>
      </c>
      <c r="J2158" s="7">
        <v>0</v>
      </c>
      <c r="K2158" s="3">
        <f t="shared" si="82"/>
        <v>0</v>
      </c>
      <c r="L2158" s="3"/>
      <c r="M2158" s="3">
        <f t="shared" si="81"/>
        <v>0</v>
      </c>
      <c r="O2158" s="5"/>
      <c r="S2158" s="6"/>
    </row>
    <row r="2159" spans="1:19" customFormat="1" x14ac:dyDescent="0.45">
      <c r="A2159">
        <v>479550</v>
      </c>
      <c r="B2159" t="s">
        <v>20492</v>
      </c>
      <c r="C2159" t="s">
        <v>20493</v>
      </c>
      <c r="D2159">
        <v>3</v>
      </c>
      <c r="F2159" s="126"/>
      <c r="G2159" s="3">
        <v>0</v>
      </c>
      <c r="H2159" s="3">
        <v>0</v>
      </c>
      <c r="I2159" s="3">
        <v>0</v>
      </c>
      <c r="J2159" s="3">
        <v>0</v>
      </c>
      <c r="K2159" s="3">
        <f t="shared" si="82"/>
        <v>0</v>
      </c>
      <c r="L2159" s="3"/>
      <c r="M2159" s="3">
        <f t="shared" si="81"/>
        <v>0</v>
      </c>
      <c r="O2159" s="5"/>
      <c r="S2159" s="6"/>
    </row>
    <row r="2160" spans="1:19" customFormat="1" x14ac:dyDescent="0.45">
      <c r="A2160">
        <v>479668</v>
      </c>
      <c r="B2160" t="s">
        <v>20494</v>
      </c>
      <c r="C2160" t="s">
        <v>20495</v>
      </c>
      <c r="D2160">
        <v>3</v>
      </c>
      <c r="F2160" s="126"/>
      <c r="G2160" s="7">
        <v>0</v>
      </c>
      <c r="H2160" s="7">
        <v>0</v>
      </c>
      <c r="I2160" s="7">
        <v>0</v>
      </c>
      <c r="J2160" s="7">
        <v>0</v>
      </c>
      <c r="K2160" s="3">
        <f t="shared" si="82"/>
        <v>0</v>
      </c>
      <c r="L2160" s="3"/>
      <c r="M2160" s="3">
        <f t="shared" si="81"/>
        <v>0</v>
      </c>
      <c r="O2160" s="5"/>
      <c r="S2160" s="6"/>
    </row>
    <row r="2161" spans="1:22" customFormat="1" x14ac:dyDescent="0.45">
      <c r="A2161">
        <v>479708</v>
      </c>
      <c r="B2161" t="s">
        <v>20496</v>
      </c>
      <c r="C2161" t="s">
        <v>20497</v>
      </c>
      <c r="D2161">
        <v>5</v>
      </c>
      <c r="F2161" s="126"/>
      <c r="G2161" s="7">
        <v>0</v>
      </c>
      <c r="H2161" s="7">
        <v>0</v>
      </c>
      <c r="I2161" s="7">
        <v>0</v>
      </c>
      <c r="J2161" s="7">
        <v>0</v>
      </c>
      <c r="K2161" s="3">
        <f t="shared" si="82"/>
        <v>0</v>
      </c>
      <c r="L2161" s="3"/>
      <c r="M2161" s="3">
        <f t="shared" si="81"/>
        <v>0</v>
      </c>
      <c r="O2161" s="5"/>
      <c r="S2161" s="6"/>
    </row>
    <row r="2162" spans="1:22" customFormat="1" x14ac:dyDescent="0.45">
      <c r="A2162">
        <v>479780</v>
      </c>
      <c r="B2162" t="s">
        <v>20498</v>
      </c>
      <c r="C2162" t="s">
        <v>20499</v>
      </c>
      <c r="D2162">
        <v>2</v>
      </c>
      <c r="F2162" s="126"/>
      <c r="G2162" s="7">
        <v>0</v>
      </c>
      <c r="H2162" s="7">
        <v>0</v>
      </c>
      <c r="I2162" s="7">
        <v>0</v>
      </c>
      <c r="J2162" s="7">
        <v>0</v>
      </c>
      <c r="K2162" s="3">
        <f t="shared" si="82"/>
        <v>0</v>
      </c>
      <c r="L2162" s="3"/>
      <c r="M2162" s="3">
        <f t="shared" si="81"/>
        <v>0</v>
      </c>
      <c r="O2162" s="5"/>
      <c r="S2162" s="6"/>
    </row>
    <row r="2163" spans="1:22" customFormat="1" x14ac:dyDescent="0.45">
      <c r="A2163">
        <v>479792</v>
      </c>
      <c r="B2163" t="s">
        <v>20500</v>
      </c>
      <c r="C2163" t="s">
        <v>20501</v>
      </c>
      <c r="D2163">
        <v>1</v>
      </c>
      <c r="F2163" s="126"/>
      <c r="G2163" s="7">
        <v>0</v>
      </c>
      <c r="H2163" s="7">
        <v>0</v>
      </c>
      <c r="I2163" s="7">
        <v>0</v>
      </c>
      <c r="J2163" s="7">
        <v>0</v>
      </c>
      <c r="K2163" s="3">
        <f t="shared" si="82"/>
        <v>0</v>
      </c>
      <c r="L2163" s="3"/>
      <c r="M2163" s="3">
        <f t="shared" si="81"/>
        <v>0</v>
      </c>
      <c r="O2163" s="5"/>
      <c r="S2163" s="6"/>
    </row>
    <row r="2164" spans="1:22" customFormat="1" x14ac:dyDescent="0.45">
      <c r="A2164">
        <v>479827</v>
      </c>
      <c r="B2164" t="s">
        <v>20502</v>
      </c>
      <c r="C2164" t="s">
        <v>16331</v>
      </c>
      <c r="D2164">
        <v>2</v>
      </c>
      <c r="E2164" t="s">
        <v>16331</v>
      </c>
      <c r="F2164" s="126"/>
      <c r="G2164" s="7">
        <v>0</v>
      </c>
      <c r="H2164" s="7">
        <v>0</v>
      </c>
      <c r="I2164" s="7">
        <v>0</v>
      </c>
      <c r="J2164" s="7">
        <v>0</v>
      </c>
      <c r="K2164" s="3">
        <f t="shared" si="82"/>
        <v>0</v>
      </c>
      <c r="L2164" s="3"/>
      <c r="M2164" s="3">
        <f t="shared" si="81"/>
        <v>0</v>
      </c>
      <c r="O2164" s="5"/>
      <c r="S2164" s="6"/>
    </row>
    <row r="2165" spans="1:22" customFormat="1" x14ac:dyDescent="0.45">
      <c r="A2165">
        <v>480069</v>
      </c>
      <c r="B2165" t="s">
        <v>20503</v>
      </c>
      <c r="C2165" t="s">
        <v>20504</v>
      </c>
      <c r="D2165">
        <v>5</v>
      </c>
      <c r="F2165" s="126"/>
      <c r="G2165" s="7">
        <v>0</v>
      </c>
      <c r="H2165" s="7">
        <v>0</v>
      </c>
      <c r="I2165" s="7">
        <v>0</v>
      </c>
      <c r="J2165" s="7">
        <v>0</v>
      </c>
      <c r="K2165" s="3">
        <f t="shared" si="82"/>
        <v>0</v>
      </c>
      <c r="L2165" s="3"/>
      <c r="M2165" s="3">
        <f t="shared" si="81"/>
        <v>0</v>
      </c>
      <c r="N2165" s="7"/>
      <c r="O2165" s="5"/>
      <c r="S2165" s="6"/>
    </row>
    <row r="2166" spans="1:22" customFormat="1" x14ac:dyDescent="0.45">
      <c r="A2166">
        <v>480111</v>
      </c>
      <c r="B2166" t="s">
        <v>20505</v>
      </c>
      <c r="C2166" t="s">
        <v>20506</v>
      </c>
      <c r="D2166">
        <v>1</v>
      </c>
      <c r="F2166" s="126"/>
      <c r="G2166" s="7">
        <v>0</v>
      </c>
      <c r="H2166" s="7">
        <v>0</v>
      </c>
      <c r="I2166" s="7">
        <v>0</v>
      </c>
      <c r="J2166" s="7">
        <v>0</v>
      </c>
      <c r="K2166" s="3">
        <f t="shared" si="82"/>
        <v>0</v>
      </c>
      <c r="L2166" s="3"/>
      <c r="M2166" s="3">
        <f t="shared" si="81"/>
        <v>0</v>
      </c>
      <c r="O2166" s="5"/>
      <c r="S2166" s="6"/>
    </row>
    <row r="2167" spans="1:22" customFormat="1" x14ac:dyDescent="0.45">
      <c r="A2167">
        <v>480202</v>
      </c>
      <c r="B2167" t="s">
        <v>20507</v>
      </c>
      <c r="C2167" t="s">
        <v>20508</v>
      </c>
      <c r="D2167">
        <v>2</v>
      </c>
      <c r="F2167" s="126"/>
      <c r="G2167" s="7">
        <v>0</v>
      </c>
      <c r="H2167" s="7">
        <v>0</v>
      </c>
      <c r="I2167" s="7">
        <v>0</v>
      </c>
      <c r="J2167" s="7">
        <v>0</v>
      </c>
      <c r="K2167" s="3">
        <f t="shared" si="82"/>
        <v>0</v>
      </c>
      <c r="L2167" s="3"/>
      <c r="M2167" s="3">
        <f t="shared" si="81"/>
        <v>0</v>
      </c>
      <c r="O2167" s="5"/>
      <c r="S2167" s="6"/>
    </row>
    <row r="2168" spans="1:22" customFormat="1" x14ac:dyDescent="0.45">
      <c r="A2168">
        <v>480405</v>
      </c>
      <c r="B2168" t="s">
        <v>20509</v>
      </c>
      <c r="C2168" t="s">
        <v>20510</v>
      </c>
      <c r="D2168">
        <v>2</v>
      </c>
      <c r="F2168" s="126"/>
      <c r="G2168" s="7">
        <v>0</v>
      </c>
      <c r="H2168" s="7">
        <v>0</v>
      </c>
      <c r="I2168" s="7">
        <v>0</v>
      </c>
      <c r="J2168" s="7">
        <v>0</v>
      </c>
      <c r="K2168" s="3">
        <f t="shared" si="82"/>
        <v>0</v>
      </c>
      <c r="L2168" s="3"/>
      <c r="M2168" s="3">
        <f t="shared" si="81"/>
        <v>0</v>
      </c>
      <c r="O2168" s="5"/>
      <c r="S2168" s="6"/>
    </row>
    <row r="2169" spans="1:22" customFormat="1" x14ac:dyDescent="0.45">
      <c r="A2169">
        <v>480455</v>
      </c>
      <c r="B2169" t="s">
        <v>20511</v>
      </c>
      <c r="C2169" t="s">
        <v>20512</v>
      </c>
      <c r="D2169">
        <v>2</v>
      </c>
      <c r="F2169" s="126"/>
      <c r="G2169" s="7">
        <v>0</v>
      </c>
      <c r="H2169" s="7">
        <v>0</v>
      </c>
      <c r="I2169" s="7">
        <v>0</v>
      </c>
      <c r="J2169" s="7">
        <v>0</v>
      </c>
      <c r="K2169" s="3">
        <f t="shared" si="82"/>
        <v>0</v>
      </c>
      <c r="L2169" s="3"/>
      <c r="M2169" s="3">
        <f t="shared" si="81"/>
        <v>0</v>
      </c>
      <c r="O2169" s="5"/>
      <c r="S2169" s="6"/>
    </row>
    <row r="2170" spans="1:22" customFormat="1" x14ac:dyDescent="0.45">
      <c r="A2170">
        <v>480676</v>
      </c>
      <c r="B2170" t="s">
        <v>20513</v>
      </c>
      <c r="C2170" t="s">
        <v>20514</v>
      </c>
      <c r="D2170">
        <v>7</v>
      </c>
      <c r="F2170" s="126"/>
      <c r="G2170" s="3">
        <v>0</v>
      </c>
      <c r="H2170" s="3">
        <v>0</v>
      </c>
      <c r="I2170" s="3">
        <v>0</v>
      </c>
      <c r="J2170" s="3">
        <v>0</v>
      </c>
      <c r="K2170" s="3">
        <f t="shared" si="82"/>
        <v>0</v>
      </c>
      <c r="L2170" s="3"/>
      <c r="M2170" s="3">
        <f t="shared" si="81"/>
        <v>0</v>
      </c>
      <c r="O2170" s="5"/>
      <c r="S2170" s="6"/>
    </row>
    <row r="2171" spans="1:22" customFormat="1" x14ac:dyDescent="0.45">
      <c r="A2171">
        <v>480864</v>
      </c>
      <c r="B2171" t="s">
        <v>20515</v>
      </c>
      <c r="C2171" t="s">
        <v>20516</v>
      </c>
      <c r="D2171">
        <v>1</v>
      </c>
      <c r="F2171" s="126"/>
      <c r="G2171" s="7">
        <v>0</v>
      </c>
      <c r="H2171" s="7">
        <v>0</v>
      </c>
      <c r="I2171" s="7">
        <v>0</v>
      </c>
      <c r="J2171" s="7">
        <v>0</v>
      </c>
      <c r="K2171" s="3">
        <f t="shared" si="82"/>
        <v>0</v>
      </c>
      <c r="L2171" s="3"/>
      <c r="M2171" s="3">
        <f t="shared" si="81"/>
        <v>0</v>
      </c>
      <c r="O2171" s="5"/>
      <c r="S2171" s="6"/>
    </row>
    <row r="2172" spans="1:22" customFormat="1" x14ac:dyDescent="0.45">
      <c r="A2172">
        <v>480909</v>
      </c>
      <c r="B2172" t="s">
        <v>20517</v>
      </c>
      <c r="C2172" t="s">
        <v>20518</v>
      </c>
      <c r="D2172">
        <v>1</v>
      </c>
      <c r="F2172" s="126"/>
      <c r="K2172" s="3">
        <f t="shared" si="82"/>
        <v>0</v>
      </c>
      <c r="L2172" s="3"/>
      <c r="M2172" s="3">
        <f t="shared" si="81"/>
        <v>0</v>
      </c>
      <c r="O2172" s="5"/>
      <c r="S2172" s="6"/>
    </row>
    <row r="2173" spans="1:22" customFormat="1" x14ac:dyDescent="0.45">
      <c r="A2173">
        <v>481012</v>
      </c>
      <c r="B2173" t="s">
        <v>20519</v>
      </c>
      <c r="C2173" t="s">
        <v>16331</v>
      </c>
      <c r="D2173">
        <v>1</v>
      </c>
      <c r="E2173" t="s">
        <v>16331</v>
      </c>
      <c r="F2173" s="126"/>
      <c r="G2173" s="7">
        <v>0</v>
      </c>
      <c r="H2173" s="7">
        <v>0</v>
      </c>
      <c r="I2173" s="7">
        <v>0</v>
      </c>
      <c r="J2173" s="7">
        <v>0</v>
      </c>
      <c r="K2173" s="3">
        <f t="shared" si="82"/>
        <v>0</v>
      </c>
      <c r="L2173" s="3"/>
      <c r="M2173" s="3">
        <f t="shared" si="81"/>
        <v>0</v>
      </c>
      <c r="N2173" s="7"/>
      <c r="O2173" s="5"/>
      <c r="S2173" s="6"/>
    </row>
    <row r="2174" spans="1:22" x14ac:dyDescent="0.45">
      <c r="A2174" s="124">
        <v>580531</v>
      </c>
      <c r="B2174" s="124" t="s">
        <v>20520</v>
      </c>
      <c r="C2174" s="124" t="s">
        <v>20068</v>
      </c>
      <c r="D2174" s="124">
        <v>181</v>
      </c>
      <c r="E2174" s="124" t="s">
        <v>16417</v>
      </c>
      <c r="F2174" s="126">
        <v>1.2200000000000001E-2</v>
      </c>
      <c r="G2174" s="126">
        <v>0.02</v>
      </c>
      <c r="H2174" s="126">
        <v>4.0000000000000001E-3</v>
      </c>
      <c r="I2174" s="127">
        <v>0</v>
      </c>
      <c r="J2174" s="127">
        <v>0</v>
      </c>
      <c r="K2174" s="126">
        <f t="shared" si="82"/>
        <v>2.4E-2</v>
      </c>
      <c r="L2174" s="3"/>
      <c r="M2174" s="126">
        <f t="shared" si="81"/>
        <v>3.6200000000000003E-2</v>
      </c>
      <c r="N2174" s="135"/>
      <c r="O2174" s="125" t="s">
        <v>20070</v>
      </c>
      <c r="Q2174" s="130">
        <v>73339000</v>
      </c>
      <c r="R2174" s="130" t="s">
        <v>16348</v>
      </c>
      <c r="S2174" s="130">
        <v>71592000</v>
      </c>
      <c r="T2174" s="129">
        <f>S2174/Q2174</f>
        <v>0.97617911343214392</v>
      </c>
      <c r="U2174" s="130"/>
      <c r="V2174" s="125" t="s">
        <v>20521</v>
      </c>
    </row>
    <row r="2175" spans="1:22" x14ac:dyDescent="0.45">
      <c r="A2175" s="124">
        <v>122169</v>
      </c>
      <c r="B2175" s="124" t="s">
        <v>20522</v>
      </c>
      <c r="C2175" s="124" t="s">
        <v>20523</v>
      </c>
      <c r="D2175" s="124">
        <v>20</v>
      </c>
      <c r="E2175" s="124" t="s">
        <v>16417</v>
      </c>
      <c r="F2175" s="126">
        <v>1.17E-2</v>
      </c>
      <c r="G2175" s="126"/>
      <c r="H2175" s="126">
        <v>0</v>
      </c>
      <c r="I2175" s="127">
        <v>0.01</v>
      </c>
      <c r="J2175" s="127">
        <v>5.0000000000000001E-3</v>
      </c>
      <c r="K2175" s="126">
        <f t="shared" si="82"/>
        <v>1.4999999999999999E-2</v>
      </c>
      <c r="L2175" s="3"/>
      <c r="M2175" s="126">
        <f t="shared" si="81"/>
        <v>2.6700000000000002E-2</v>
      </c>
      <c r="N2175" s="124" t="s">
        <v>26923</v>
      </c>
      <c r="O2175" s="125" t="s">
        <v>20524</v>
      </c>
      <c r="P2175" s="125" t="s">
        <v>20525</v>
      </c>
      <c r="Q2175" s="130">
        <v>2952000</v>
      </c>
      <c r="R2175" s="124" t="s">
        <v>16348</v>
      </c>
      <c r="S2175" s="130">
        <v>2313000</v>
      </c>
      <c r="T2175" s="129">
        <f>S2175/Q2175</f>
        <v>0.78353658536585369</v>
      </c>
      <c r="V2175" s="125" t="s">
        <v>20526</v>
      </c>
    </row>
    <row r="2176" spans="1:22" customFormat="1" x14ac:dyDescent="0.45">
      <c r="A2176">
        <v>481315</v>
      </c>
      <c r="B2176" t="s">
        <v>20527</v>
      </c>
      <c r="C2176" t="s">
        <v>20528</v>
      </c>
      <c r="D2176">
        <v>3</v>
      </c>
      <c r="F2176" s="126"/>
      <c r="G2176" s="3">
        <v>0</v>
      </c>
      <c r="H2176" s="3">
        <v>0</v>
      </c>
      <c r="I2176" s="3">
        <v>0</v>
      </c>
      <c r="J2176" s="3">
        <v>0</v>
      </c>
      <c r="K2176" s="3">
        <f t="shared" si="82"/>
        <v>0</v>
      </c>
      <c r="L2176" s="3"/>
      <c r="M2176" s="3">
        <f t="shared" si="81"/>
        <v>0</v>
      </c>
      <c r="O2176" s="5"/>
      <c r="S2176" s="6"/>
    </row>
    <row r="2177" spans="1:22" customFormat="1" x14ac:dyDescent="0.45">
      <c r="A2177">
        <v>481332</v>
      </c>
      <c r="B2177" t="s">
        <v>20529</v>
      </c>
      <c r="C2177" t="s">
        <v>20530</v>
      </c>
      <c r="D2177">
        <v>2</v>
      </c>
      <c r="F2177" s="126"/>
      <c r="G2177" s="7">
        <v>0</v>
      </c>
      <c r="H2177" s="7">
        <v>0</v>
      </c>
      <c r="I2177" s="7">
        <v>0</v>
      </c>
      <c r="J2177" s="7">
        <v>0</v>
      </c>
      <c r="K2177" s="3">
        <f t="shared" si="82"/>
        <v>0</v>
      </c>
      <c r="L2177" s="3"/>
      <c r="M2177" s="3">
        <f t="shared" si="81"/>
        <v>0</v>
      </c>
      <c r="O2177" s="5"/>
      <c r="S2177" s="6"/>
    </row>
    <row r="2178" spans="1:22" customFormat="1" x14ac:dyDescent="0.45">
      <c r="A2178">
        <v>481350</v>
      </c>
      <c r="B2178" t="s">
        <v>20531</v>
      </c>
      <c r="C2178" t="s">
        <v>20532</v>
      </c>
      <c r="D2178">
        <v>19</v>
      </c>
      <c r="F2178" s="126"/>
      <c r="G2178" s="3">
        <v>0</v>
      </c>
      <c r="H2178" s="3">
        <v>0</v>
      </c>
      <c r="I2178" s="3">
        <v>0</v>
      </c>
      <c r="J2178" s="3">
        <v>0</v>
      </c>
      <c r="K2178" s="3">
        <f t="shared" si="82"/>
        <v>0</v>
      </c>
      <c r="L2178" s="3"/>
      <c r="M2178" s="3">
        <f t="shared" si="81"/>
        <v>0</v>
      </c>
      <c r="O2178" s="5"/>
      <c r="S2178" s="6"/>
    </row>
    <row r="2179" spans="1:22" customFormat="1" x14ac:dyDescent="0.45">
      <c r="A2179">
        <v>481386</v>
      </c>
      <c r="B2179" t="s">
        <v>20533</v>
      </c>
      <c r="C2179" t="s">
        <v>20534</v>
      </c>
      <c r="D2179">
        <v>1</v>
      </c>
      <c r="F2179" s="126"/>
      <c r="G2179" s="7">
        <v>0</v>
      </c>
      <c r="H2179" s="7">
        <v>0</v>
      </c>
      <c r="I2179" s="7">
        <v>0</v>
      </c>
      <c r="J2179" s="7">
        <v>0</v>
      </c>
      <c r="K2179" s="3">
        <f t="shared" si="82"/>
        <v>0</v>
      </c>
      <c r="L2179" s="3"/>
      <c r="M2179" s="3">
        <f t="shared" si="81"/>
        <v>0</v>
      </c>
      <c r="O2179" s="5"/>
      <c r="S2179" s="6"/>
    </row>
    <row r="2180" spans="1:22" customFormat="1" x14ac:dyDescent="0.45">
      <c r="A2180">
        <v>481553</v>
      </c>
      <c r="B2180" t="s">
        <v>20535</v>
      </c>
      <c r="C2180" t="s">
        <v>16331</v>
      </c>
      <c r="D2180">
        <v>1</v>
      </c>
      <c r="E2180" t="s">
        <v>16331</v>
      </c>
      <c r="F2180" s="126"/>
      <c r="G2180" s="7">
        <v>0</v>
      </c>
      <c r="H2180" s="7">
        <v>0</v>
      </c>
      <c r="I2180" s="7">
        <v>0</v>
      </c>
      <c r="J2180" s="7">
        <v>0</v>
      </c>
      <c r="K2180" s="3">
        <f t="shared" si="82"/>
        <v>0</v>
      </c>
      <c r="L2180" s="3"/>
      <c r="M2180" s="3">
        <f t="shared" si="81"/>
        <v>0</v>
      </c>
      <c r="O2180" s="5"/>
      <c r="S2180" s="6"/>
    </row>
    <row r="2181" spans="1:22" x14ac:dyDescent="0.45">
      <c r="A2181" s="124">
        <v>464968</v>
      </c>
      <c r="B2181" s="124" t="s">
        <v>20536</v>
      </c>
      <c r="C2181" s="124" t="s">
        <v>20524</v>
      </c>
      <c r="D2181" s="124">
        <v>20</v>
      </c>
      <c r="E2181" s="124" t="s">
        <v>16417</v>
      </c>
      <c r="F2181" s="126">
        <v>1.17E-2</v>
      </c>
      <c r="G2181" s="135">
        <v>0.01</v>
      </c>
      <c r="H2181" s="137">
        <v>5.0000000000000001E-3</v>
      </c>
      <c r="I2181" s="127">
        <v>0</v>
      </c>
      <c r="J2181" s="127">
        <v>0</v>
      </c>
      <c r="K2181" s="126">
        <f t="shared" si="82"/>
        <v>1.4999999999999999E-2</v>
      </c>
      <c r="L2181" s="3"/>
      <c r="M2181" s="126">
        <f t="shared" si="81"/>
        <v>2.6700000000000002E-2</v>
      </c>
      <c r="O2181" s="125" t="s">
        <v>20524</v>
      </c>
      <c r="P2181" s="125" t="s">
        <v>20525</v>
      </c>
      <c r="Q2181" s="130">
        <v>2952000</v>
      </c>
      <c r="R2181" s="124" t="s">
        <v>16348</v>
      </c>
      <c r="S2181" s="130">
        <v>2313000</v>
      </c>
      <c r="T2181" s="129">
        <f>S2181/Q2181</f>
        <v>0.78353658536585369</v>
      </c>
      <c r="V2181" s="125" t="s">
        <v>20537</v>
      </c>
    </row>
    <row r="2182" spans="1:22" customFormat="1" x14ac:dyDescent="0.45">
      <c r="A2182">
        <v>481871</v>
      </c>
      <c r="B2182" t="s">
        <v>20538</v>
      </c>
      <c r="C2182" t="s">
        <v>20539</v>
      </c>
      <c r="D2182">
        <v>1</v>
      </c>
      <c r="F2182" s="126"/>
      <c r="G2182" s="7">
        <v>0</v>
      </c>
      <c r="H2182" s="7">
        <v>0</v>
      </c>
      <c r="I2182" s="7">
        <v>0</v>
      </c>
      <c r="J2182" s="7">
        <v>0</v>
      </c>
      <c r="K2182" s="3">
        <f t="shared" si="82"/>
        <v>0</v>
      </c>
      <c r="L2182" s="3"/>
      <c r="M2182" s="3">
        <f t="shared" si="81"/>
        <v>0</v>
      </c>
      <c r="O2182" s="5"/>
      <c r="S2182" s="6"/>
    </row>
    <row r="2183" spans="1:22" customFormat="1" x14ac:dyDescent="0.45">
      <c r="A2183">
        <v>482276</v>
      </c>
      <c r="B2183" t="s">
        <v>20540</v>
      </c>
      <c r="C2183" t="s">
        <v>16331</v>
      </c>
      <c r="D2183">
        <v>2</v>
      </c>
      <c r="E2183" t="s">
        <v>16331</v>
      </c>
      <c r="F2183" s="126"/>
      <c r="G2183" s="7">
        <v>0</v>
      </c>
      <c r="H2183" s="7">
        <v>0</v>
      </c>
      <c r="I2183" s="7">
        <v>0</v>
      </c>
      <c r="J2183" s="7">
        <v>0</v>
      </c>
      <c r="K2183" s="3">
        <f t="shared" si="82"/>
        <v>0</v>
      </c>
      <c r="L2183" s="3"/>
      <c r="M2183" s="3">
        <f t="shared" si="81"/>
        <v>0</v>
      </c>
      <c r="O2183" s="5"/>
      <c r="S2183" s="6"/>
    </row>
    <row r="2184" spans="1:22" customFormat="1" x14ac:dyDescent="0.45">
      <c r="A2184">
        <v>482278</v>
      </c>
      <c r="B2184" t="s">
        <v>20541</v>
      </c>
      <c r="C2184" t="s">
        <v>16331</v>
      </c>
      <c r="D2184">
        <v>2</v>
      </c>
      <c r="E2184" t="s">
        <v>16331</v>
      </c>
      <c r="F2184" s="126"/>
      <c r="G2184" s="7">
        <v>0</v>
      </c>
      <c r="H2184" s="7">
        <v>0</v>
      </c>
      <c r="I2184" s="7">
        <v>0</v>
      </c>
      <c r="J2184" s="7">
        <v>0</v>
      </c>
      <c r="K2184" s="3">
        <f t="shared" si="82"/>
        <v>0</v>
      </c>
      <c r="L2184" s="3"/>
      <c r="M2184" s="3">
        <f t="shared" si="81"/>
        <v>0</v>
      </c>
      <c r="O2184" s="5"/>
      <c r="S2184" s="6"/>
    </row>
    <row r="2185" spans="1:22" customFormat="1" x14ac:dyDescent="0.45">
      <c r="A2185">
        <v>482323</v>
      </c>
      <c r="B2185" t="s">
        <v>20542</v>
      </c>
      <c r="C2185" t="s">
        <v>16331</v>
      </c>
      <c r="D2185">
        <v>2</v>
      </c>
      <c r="E2185" t="s">
        <v>16331</v>
      </c>
      <c r="F2185" s="126"/>
      <c r="G2185" s="7">
        <v>0</v>
      </c>
      <c r="H2185" s="7">
        <v>0</v>
      </c>
      <c r="I2185" s="7">
        <v>0</v>
      </c>
      <c r="J2185" s="7">
        <v>0</v>
      </c>
      <c r="K2185" s="3">
        <f t="shared" si="82"/>
        <v>0</v>
      </c>
      <c r="L2185" s="3"/>
      <c r="M2185" s="3">
        <f t="shared" si="81"/>
        <v>0</v>
      </c>
      <c r="O2185" s="5"/>
      <c r="S2185" s="6"/>
    </row>
    <row r="2186" spans="1:22" customFormat="1" x14ac:dyDescent="0.45">
      <c r="A2186">
        <v>482324</v>
      </c>
      <c r="B2186" t="s">
        <v>20543</v>
      </c>
      <c r="C2186" t="s">
        <v>16331</v>
      </c>
      <c r="D2186">
        <v>1</v>
      </c>
      <c r="E2186" t="s">
        <v>16331</v>
      </c>
      <c r="F2186" s="126"/>
      <c r="G2186" s="7">
        <v>0</v>
      </c>
      <c r="H2186" s="7">
        <v>0</v>
      </c>
      <c r="I2186" s="7">
        <v>0</v>
      </c>
      <c r="J2186" s="7">
        <v>0</v>
      </c>
      <c r="K2186" s="3">
        <f t="shared" si="82"/>
        <v>0</v>
      </c>
      <c r="L2186" s="3"/>
      <c r="M2186" s="3">
        <f t="shared" ref="M2186:M2249" si="83">K2186+F2186</f>
        <v>0</v>
      </c>
      <c r="O2186" s="5"/>
      <c r="S2186" s="6"/>
    </row>
    <row r="2187" spans="1:22" customFormat="1" x14ac:dyDescent="0.45">
      <c r="A2187">
        <v>482388</v>
      </c>
      <c r="B2187" t="s">
        <v>20544</v>
      </c>
      <c r="C2187" t="s">
        <v>20545</v>
      </c>
      <c r="D2187">
        <v>6</v>
      </c>
      <c r="F2187" s="126"/>
      <c r="K2187" s="3">
        <f t="shared" si="82"/>
        <v>0</v>
      </c>
      <c r="L2187" s="3"/>
      <c r="M2187" s="3">
        <f t="shared" si="83"/>
        <v>0</v>
      </c>
      <c r="O2187" s="5"/>
      <c r="S2187" s="6"/>
    </row>
    <row r="2188" spans="1:22" customFormat="1" x14ac:dyDescent="0.45">
      <c r="A2188">
        <v>482410</v>
      </c>
      <c r="B2188" t="s">
        <v>20546</v>
      </c>
      <c r="C2188" t="s">
        <v>16331</v>
      </c>
      <c r="D2188">
        <v>1</v>
      </c>
      <c r="E2188" t="s">
        <v>16331</v>
      </c>
      <c r="F2188" s="126"/>
      <c r="G2188" s="7">
        <v>0</v>
      </c>
      <c r="H2188" s="7">
        <v>0</v>
      </c>
      <c r="I2188" s="7">
        <v>0</v>
      </c>
      <c r="J2188" s="7">
        <v>0</v>
      </c>
      <c r="K2188" s="3">
        <f t="shared" si="82"/>
        <v>0</v>
      </c>
      <c r="L2188" s="3"/>
      <c r="M2188" s="3">
        <f t="shared" si="83"/>
        <v>0</v>
      </c>
      <c r="O2188" s="5"/>
      <c r="S2188" s="6"/>
    </row>
    <row r="2189" spans="1:22" customFormat="1" x14ac:dyDescent="0.45">
      <c r="A2189">
        <v>482616</v>
      </c>
      <c r="B2189" t="s">
        <v>20547</v>
      </c>
      <c r="C2189" t="s">
        <v>20548</v>
      </c>
      <c r="D2189">
        <v>1</v>
      </c>
      <c r="F2189" s="126"/>
      <c r="G2189" s="7">
        <v>0</v>
      </c>
      <c r="H2189" s="7">
        <v>0</v>
      </c>
      <c r="I2189" s="7">
        <v>0</v>
      </c>
      <c r="J2189" s="7">
        <v>0</v>
      </c>
      <c r="K2189" s="3">
        <f t="shared" si="82"/>
        <v>0</v>
      </c>
      <c r="L2189" s="3"/>
      <c r="M2189" s="3">
        <f t="shared" si="83"/>
        <v>0</v>
      </c>
      <c r="O2189" s="5"/>
      <c r="S2189" s="6"/>
    </row>
    <row r="2190" spans="1:22" customFormat="1" x14ac:dyDescent="0.45">
      <c r="A2190">
        <v>482628</v>
      </c>
      <c r="B2190" t="s">
        <v>20549</v>
      </c>
      <c r="C2190" t="s">
        <v>20550</v>
      </c>
      <c r="D2190">
        <v>3</v>
      </c>
      <c r="F2190" s="126"/>
      <c r="G2190" s="3">
        <v>0</v>
      </c>
      <c r="H2190" s="3">
        <v>0</v>
      </c>
      <c r="I2190" s="3">
        <v>0</v>
      </c>
      <c r="J2190" s="3">
        <v>0</v>
      </c>
      <c r="K2190" s="3">
        <f t="shared" si="82"/>
        <v>0</v>
      </c>
      <c r="L2190" s="3"/>
      <c r="M2190" s="3">
        <f t="shared" si="83"/>
        <v>0</v>
      </c>
      <c r="O2190" s="5"/>
      <c r="S2190" s="6"/>
    </row>
    <row r="2191" spans="1:22" customFormat="1" x14ac:dyDescent="0.45">
      <c r="A2191">
        <v>482631</v>
      </c>
      <c r="B2191" t="s">
        <v>20551</v>
      </c>
      <c r="C2191" t="s">
        <v>20552</v>
      </c>
      <c r="D2191">
        <v>4</v>
      </c>
      <c r="F2191" s="126"/>
      <c r="K2191" s="3">
        <f t="shared" si="82"/>
        <v>0</v>
      </c>
      <c r="L2191" s="3"/>
      <c r="M2191" s="3">
        <f t="shared" si="83"/>
        <v>0</v>
      </c>
      <c r="O2191" s="5"/>
      <c r="S2191" s="6"/>
    </row>
    <row r="2192" spans="1:22" customFormat="1" x14ac:dyDescent="0.45">
      <c r="A2192">
        <v>482693</v>
      </c>
      <c r="B2192" t="s">
        <v>20553</v>
      </c>
      <c r="C2192" t="s">
        <v>20554</v>
      </c>
      <c r="D2192">
        <v>1</v>
      </c>
      <c r="F2192" s="126"/>
      <c r="G2192" s="7">
        <v>0</v>
      </c>
      <c r="H2192" s="7">
        <v>0</v>
      </c>
      <c r="I2192" s="7">
        <v>0</v>
      </c>
      <c r="J2192" s="7">
        <v>0</v>
      </c>
      <c r="K2192" s="3">
        <f t="shared" si="82"/>
        <v>0</v>
      </c>
      <c r="L2192" s="3"/>
      <c r="M2192" s="3">
        <f t="shared" si="83"/>
        <v>0</v>
      </c>
      <c r="O2192" s="5"/>
      <c r="S2192" s="6"/>
    </row>
    <row r="2193" spans="1:19" customFormat="1" x14ac:dyDescent="0.45">
      <c r="A2193">
        <v>483315</v>
      </c>
      <c r="B2193" t="s">
        <v>20555</v>
      </c>
      <c r="C2193" t="s">
        <v>20556</v>
      </c>
      <c r="D2193">
        <v>2</v>
      </c>
      <c r="F2193" s="126"/>
      <c r="K2193" s="3">
        <f t="shared" si="82"/>
        <v>0</v>
      </c>
      <c r="L2193" s="3"/>
      <c r="M2193" s="3">
        <f t="shared" si="83"/>
        <v>0</v>
      </c>
      <c r="O2193" s="5"/>
      <c r="S2193" s="6"/>
    </row>
    <row r="2194" spans="1:19" customFormat="1" x14ac:dyDescent="0.45">
      <c r="A2194">
        <v>483403</v>
      </c>
      <c r="B2194" t="s">
        <v>20557</v>
      </c>
      <c r="C2194" t="s">
        <v>20558</v>
      </c>
      <c r="D2194">
        <v>10</v>
      </c>
      <c r="F2194" s="126"/>
      <c r="G2194" s="3">
        <v>0</v>
      </c>
      <c r="H2194" s="3">
        <v>0</v>
      </c>
      <c r="I2194" s="3">
        <v>0</v>
      </c>
      <c r="J2194" s="3">
        <v>0</v>
      </c>
      <c r="K2194" s="3">
        <f t="shared" si="82"/>
        <v>0</v>
      </c>
      <c r="L2194" s="3"/>
      <c r="M2194" s="3">
        <f t="shared" si="83"/>
        <v>0</v>
      </c>
      <c r="O2194" s="5"/>
      <c r="S2194" s="6"/>
    </row>
    <row r="2195" spans="1:19" customFormat="1" x14ac:dyDescent="0.45">
      <c r="A2195">
        <v>483503</v>
      </c>
      <c r="B2195" t="s">
        <v>20559</v>
      </c>
      <c r="C2195" t="s">
        <v>20560</v>
      </c>
      <c r="D2195">
        <v>0</v>
      </c>
      <c r="E2195" t="s">
        <v>16561</v>
      </c>
      <c r="F2195" s="126"/>
      <c r="G2195" s="7">
        <v>0</v>
      </c>
      <c r="H2195" s="7">
        <v>0</v>
      </c>
      <c r="I2195" s="7">
        <v>0</v>
      </c>
      <c r="J2195" s="7">
        <v>0</v>
      </c>
      <c r="K2195" s="3">
        <f t="shared" si="82"/>
        <v>0</v>
      </c>
      <c r="L2195" s="3"/>
      <c r="M2195" s="3">
        <f t="shared" si="83"/>
        <v>0</v>
      </c>
      <c r="N2195" s="7"/>
      <c r="O2195" s="5"/>
      <c r="S2195" s="6"/>
    </row>
    <row r="2196" spans="1:19" customFormat="1" x14ac:dyDescent="0.45">
      <c r="A2196">
        <v>483710</v>
      </c>
      <c r="B2196" t="s">
        <v>20561</v>
      </c>
      <c r="C2196" t="s">
        <v>16331</v>
      </c>
      <c r="D2196">
        <v>3</v>
      </c>
      <c r="E2196" t="s">
        <v>16331</v>
      </c>
      <c r="F2196" s="126"/>
      <c r="G2196" s="7">
        <v>0</v>
      </c>
      <c r="H2196" s="7">
        <v>0</v>
      </c>
      <c r="I2196" s="7">
        <v>0</v>
      </c>
      <c r="J2196" s="7">
        <v>0</v>
      </c>
      <c r="K2196" s="3">
        <f t="shared" si="82"/>
        <v>0</v>
      </c>
      <c r="L2196" s="3"/>
      <c r="M2196" s="3">
        <f t="shared" si="83"/>
        <v>0</v>
      </c>
      <c r="O2196" s="5"/>
      <c r="S2196" s="6"/>
    </row>
    <row r="2197" spans="1:19" customFormat="1" x14ac:dyDescent="0.45">
      <c r="A2197">
        <v>483817</v>
      </c>
      <c r="B2197" t="s">
        <v>20562</v>
      </c>
      <c r="C2197" t="s">
        <v>20563</v>
      </c>
      <c r="D2197">
        <v>6</v>
      </c>
      <c r="F2197" s="126"/>
      <c r="G2197" s="7">
        <v>0</v>
      </c>
      <c r="H2197" s="7">
        <v>0</v>
      </c>
      <c r="I2197" s="7">
        <v>0</v>
      </c>
      <c r="J2197" s="7">
        <v>0</v>
      </c>
      <c r="K2197" s="3">
        <f t="shared" si="82"/>
        <v>0</v>
      </c>
      <c r="L2197" s="3"/>
      <c r="M2197" s="3">
        <f t="shared" si="83"/>
        <v>0</v>
      </c>
      <c r="O2197" s="5"/>
      <c r="S2197" s="6"/>
    </row>
    <row r="2198" spans="1:19" customFormat="1" x14ac:dyDescent="0.45">
      <c r="A2198">
        <v>483868</v>
      </c>
      <c r="B2198" t="s">
        <v>20564</v>
      </c>
      <c r="C2198" t="s">
        <v>20565</v>
      </c>
      <c r="D2198">
        <v>5</v>
      </c>
      <c r="F2198" s="126"/>
      <c r="G2198" s="7">
        <v>0</v>
      </c>
      <c r="H2198" s="7">
        <v>0</v>
      </c>
      <c r="I2198" s="7">
        <v>0</v>
      </c>
      <c r="J2198" s="7">
        <v>0</v>
      </c>
      <c r="K2198" s="3">
        <f t="shared" si="82"/>
        <v>0</v>
      </c>
      <c r="L2198" s="3"/>
      <c r="M2198" s="3">
        <f t="shared" si="83"/>
        <v>0</v>
      </c>
      <c r="N2198" s="7"/>
      <c r="O2198" s="5"/>
      <c r="S2198" s="6"/>
    </row>
    <row r="2199" spans="1:19" customFormat="1" x14ac:dyDescent="0.45">
      <c r="A2199">
        <v>483959</v>
      </c>
      <c r="B2199" t="s">
        <v>20566</v>
      </c>
      <c r="C2199" t="s">
        <v>16331</v>
      </c>
      <c r="D2199">
        <v>1</v>
      </c>
      <c r="E2199" t="s">
        <v>16331</v>
      </c>
      <c r="F2199" s="126"/>
      <c r="K2199" s="3">
        <f t="shared" si="82"/>
        <v>0</v>
      </c>
      <c r="L2199" s="3"/>
      <c r="M2199" s="3">
        <f t="shared" si="83"/>
        <v>0</v>
      </c>
      <c r="O2199" s="5"/>
      <c r="S2199" s="6"/>
    </row>
    <row r="2200" spans="1:19" customFormat="1" x14ac:dyDescent="0.45">
      <c r="A2200">
        <v>484213</v>
      </c>
      <c r="B2200" t="s">
        <v>20567</v>
      </c>
      <c r="C2200" t="s">
        <v>16331</v>
      </c>
      <c r="D2200">
        <v>1</v>
      </c>
      <c r="E2200" t="s">
        <v>16331</v>
      </c>
      <c r="F2200" s="126"/>
      <c r="G2200" s="7">
        <v>0</v>
      </c>
      <c r="H2200" s="7">
        <v>0</v>
      </c>
      <c r="I2200" s="7">
        <v>0</v>
      </c>
      <c r="J2200" s="7">
        <v>0</v>
      </c>
      <c r="K2200" s="3">
        <f t="shared" si="82"/>
        <v>0</v>
      </c>
      <c r="L2200" s="3"/>
      <c r="M2200" s="3">
        <f t="shared" si="83"/>
        <v>0</v>
      </c>
      <c r="O2200" s="5"/>
      <c r="S2200" s="6"/>
    </row>
    <row r="2201" spans="1:19" customFormat="1" x14ac:dyDescent="0.45">
      <c r="A2201">
        <v>484300</v>
      </c>
      <c r="B2201" t="s">
        <v>20568</v>
      </c>
      <c r="C2201" t="s">
        <v>20569</v>
      </c>
      <c r="D2201">
        <v>2</v>
      </c>
      <c r="F2201" s="126"/>
      <c r="G2201" s="7">
        <v>0</v>
      </c>
      <c r="H2201" s="7">
        <v>0</v>
      </c>
      <c r="I2201" s="7">
        <v>0</v>
      </c>
      <c r="J2201" s="7">
        <v>0</v>
      </c>
      <c r="K2201" s="3">
        <f t="shared" si="82"/>
        <v>0</v>
      </c>
      <c r="L2201" s="3"/>
      <c r="M2201" s="3">
        <f t="shared" si="83"/>
        <v>0</v>
      </c>
      <c r="O2201" s="5"/>
      <c r="S2201" s="6"/>
    </row>
    <row r="2202" spans="1:19" customFormat="1" x14ac:dyDescent="0.45">
      <c r="A2202">
        <v>484308</v>
      </c>
      <c r="B2202" t="s">
        <v>20570</v>
      </c>
      <c r="C2202" t="s">
        <v>20571</v>
      </c>
      <c r="D2202">
        <v>1</v>
      </c>
      <c r="F2202" s="126"/>
      <c r="G2202" s="7">
        <v>0</v>
      </c>
      <c r="H2202" s="7">
        <v>0</v>
      </c>
      <c r="I2202" s="7">
        <v>0</v>
      </c>
      <c r="J2202" s="7">
        <v>0</v>
      </c>
      <c r="K2202" s="3">
        <f t="shared" si="82"/>
        <v>0</v>
      </c>
      <c r="L2202" s="3"/>
      <c r="M2202" s="3">
        <f t="shared" si="83"/>
        <v>0</v>
      </c>
      <c r="O2202" s="5"/>
      <c r="S2202" s="6"/>
    </row>
    <row r="2203" spans="1:19" customFormat="1" x14ac:dyDescent="0.45">
      <c r="A2203">
        <v>484324</v>
      </c>
      <c r="B2203" t="s">
        <v>20572</v>
      </c>
      <c r="C2203" t="s">
        <v>20573</v>
      </c>
      <c r="D2203">
        <v>6</v>
      </c>
      <c r="F2203" s="126"/>
      <c r="G2203" s="7">
        <v>0</v>
      </c>
      <c r="H2203" s="7">
        <v>0</v>
      </c>
      <c r="I2203" s="7">
        <v>0</v>
      </c>
      <c r="J2203" s="7">
        <v>0</v>
      </c>
      <c r="K2203" s="3">
        <f t="shared" si="82"/>
        <v>0</v>
      </c>
      <c r="L2203" s="3"/>
      <c r="M2203" s="3">
        <f t="shared" si="83"/>
        <v>0</v>
      </c>
      <c r="O2203" s="5"/>
      <c r="S2203" s="6"/>
    </row>
    <row r="2204" spans="1:19" customFormat="1" x14ac:dyDescent="0.45">
      <c r="A2204">
        <v>484325</v>
      </c>
      <c r="B2204" t="s">
        <v>20574</v>
      </c>
      <c r="C2204" t="s">
        <v>20575</v>
      </c>
      <c r="D2204">
        <v>1</v>
      </c>
      <c r="F2204" s="126"/>
      <c r="G2204" s="3">
        <v>0</v>
      </c>
      <c r="H2204" s="3">
        <v>0</v>
      </c>
      <c r="I2204" s="3">
        <v>0</v>
      </c>
      <c r="J2204" s="3">
        <v>0</v>
      </c>
      <c r="K2204" s="3">
        <f t="shared" si="82"/>
        <v>0</v>
      </c>
      <c r="L2204" s="3"/>
      <c r="M2204" s="3">
        <f t="shared" si="83"/>
        <v>0</v>
      </c>
      <c r="O2204" s="5"/>
      <c r="S2204" s="6"/>
    </row>
    <row r="2205" spans="1:19" customFormat="1" x14ac:dyDescent="0.45">
      <c r="A2205">
        <v>484450</v>
      </c>
      <c r="B2205" t="s">
        <v>20576</v>
      </c>
      <c r="C2205" t="s">
        <v>20577</v>
      </c>
      <c r="D2205">
        <v>11</v>
      </c>
      <c r="F2205" s="126"/>
      <c r="G2205" s="7">
        <v>0</v>
      </c>
      <c r="H2205" s="7">
        <v>0</v>
      </c>
      <c r="I2205" s="7">
        <v>0</v>
      </c>
      <c r="J2205" s="7">
        <v>0</v>
      </c>
      <c r="K2205" s="3">
        <f t="shared" si="82"/>
        <v>0</v>
      </c>
      <c r="L2205" s="3"/>
      <c r="M2205" s="3">
        <f t="shared" si="83"/>
        <v>0</v>
      </c>
      <c r="N2205" s="7"/>
      <c r="O2205" s="5"/>
      <c r="S2205" s="6"/>
    </row>
    <row r="2206" spans="1:19" customFormat="1" x14ac:dyDescent="0.45">
      <c r="A2206">
        <v>484682</v>
      </c>
      <c r="B2206" t="s">
        <v>20578</v>
      </c>
      <c r="C2206" t="s">
        <v>20579</v>
      </c>
      <c r="D2206">
        <v>1</v>
      </c>
      <c r="F2206" s="126"/>
      <c r="G2206" s="7">
        <v>0</v>
      </c>
      <c r="H2206" s="7">
        <v>0</v>
      </c>
      <c r="I2206" s="7">
        <v>0</v>
      </c>
      <c r="J2206" s="7">
        <v>0</v>
      </c>
      <c r="K2206" s="3">
        <f t="shared" si="82"/>
        <v>0</v>
      </c>
      <c r="L2206" s="3"/>
      <c r="M2206" s="3">
        <f t="shared" si="83"/>
        <v>0</v>
      </c>
      <c r="O2206" s="5"/>
      <c r="S2206" s="6"/>
    </row>
    <row r="2207" spans="1:19" customFormat="1" x14ac:dyDescent="0.45">
      <c r="A2207">
        <v>484813</v>
      </c>
      <c r="B2207" t="s">
        <v>20580</v>
      </c>
      <c r="C2207" t="s">
        <v>20581</v>
      </c>
      <c r="D2207">
        <v>1</v>
      </c>
      <c r="F2207" s="126"/>
      <c r="G2207" s="19"/>
      <c r="H2207" s="19"/>
      <c r="I2207" s="19"/>
      <c r="J2207" s="19"/>
      <c r="K2207" s="3">
        <f t="shared" si="82"/>
        <v>0</v>
      </c>
      <c r="L2207" s="3"/>
      <c r="M2207" s="3">
        <f t="shared" si="83"/>
        <v>0</v>
      </c>
      <c r="O2207" s="5"/>
      <c r="S2207" s="6"/>
    </row>
    <row r="2208" spans="1:19" customFormat="1" x14ac:dyDescent="0.45">
      <c r="A2208">
        <v>484860</v>
      </c>
      <c r="B2208" t="s">
        <v>20582</v>
      </c>
      <c r="C2208" t="s">
        <v>20583</v>
      </c>
      <c r="D2208">
        <v>4</v>
      </c>
      <c r="F2208" s="126"/>
      <c r="G2208" s="7">
        <v>0</v>
      </c>
      <c r="H2208" s="7">
        <v>0</v>
      </c>
      <c r="I2208" s="7">
        <v>0</v>
      </c>
      <c r="J2208" s="7">
        <v>0</v>
      </c>
      <c r="K2208" s="3">
        <f t="shared" si="82"/>
        <v>0</v>
      </c>
      <c r="L2208" s="3"/>
      <c r="M2208" s="3">
        <f t="shared" si="83"/>
        <v>0</v>
      </c>
      <c r="O2208" s="5"/>
      <c r="S2208" s="6"/>
    </row>
    <row r="2209" spans="1:22" customFormat="1" x14ac:dyDescent="0.45">
      <c r="A2209">
        <v>484938</v>
      </c>
      <c r="B2209" t="s">
        <v>20584</v>
      </c>
      <c r="C2209" t="s">
        <v>20585</v>
      </c>
      <c r="D2209">
        <v>1</v>
      </c>
      <c r="F2209" s="126"/>
      <c r="G2209" s="7">
        <v>0</v>
      </c>
      <c r="H2209" s="7">
        <v>0</v>
      </c>
      <c r="I2209" s="7">
        <v>0</v>
      </c>
      <c r="J2209" s="7">
        <v>0</v>
      </c>
      <c r="K2209" s="3">
        <f t="shared" si="82"/>
        <v>0</v>
      </c>
      <c r="L2209" s="3"/>
      <c r="M2209" s="3">
        <f t="shared" si="83"/>
        <v>0</v>
      </c>
      <c r="O2209" s="5"/>
      <c r="S2209" s="6"/>
    </row>
    <row r="2210" spans="1:22" x14ac:dyDescent="0.45">
      <c r="A2210" s="124">
        <v>408210</v>
      </c>
      <c r="B2210" s="124" t="s">
        <v>20586</v>
      </c>
      <c r="C2210" s="124" t="s">
        <v>20587</v>
      </c>
      <c r="D2210" s="124">
        <v>4</v>
      </c>
      <c r="E2210" s="124" t="s">
        <v>16334</v>
      </c>
      <c r="F2210" s="126">
        <v>1.6999999999999999E-3</v>
      </c>
      <c r="G2210" s="126">
        <v>2.5000000000000001E-2</v>
      </c>
      <c r="H2210" s="126">
        <v>0.01</v>
      </c>
      <c r="I2210" s="127">
        <v>0</v>
      </c>
      <c r="J2210" s="127">
        <v>0</v>
      </c>
      <c r="K2210" s="126">
        <f t="shared" si="82"/>
        <v>3.5000000000000003E-2</v>
      </c>
      <c r="L2210" s="3"/>
      <c r="M2210" s="126">
        <f t="shared" si="83"/>
        <v>3.6700000000000003E-2</v>
      </c>
      <c r="O2210" s="125" t="s">
        <v>20588</v>
      </c>
      <c r="P2210" s="128" t="s">
        <v>26918</v>
      </c>
      <c r="Q2210" s="130">
        <f>329846+9916</f>
        <v>339762</v>
      </c>
      <c r="R2210" s="124" t="s">
        <v>16348</v>
      </c>
      <c r="S2210" s="130">
        <v>192395</v>
      </c>
      <c r="T2210" s="129">
        <f>S2210/Q2210</f>
        <v>0.56626403188114027</v>
      </c>
      <c r="V2210" s="125" t="s">
        <v>20589</v>
      </c>
    </row>
    <row r="2211" spans="1:22" customFormat="1" x14ac:dyDescent="0.45">
      <c r="A2211">
        <v>485058</v>
      </c>
      <c r="B2211" t="s">
        <v>20590</v>
      </c>
      <c r="C2211" t="s">
        <v>20591</v>
      </c>
      <c r="D2211">
        <v>5</v>
      </c>
      <c r="F2211" s="126"/>
      <c r="G2211" s="7">
        <v>0</v>
      </c>
      <c r="H2211" s="7">
        <v>0</v>
      </c>
      <c r="I2211" s="7">
        <v>0</v>
      </c>
      <c r="J2211" s="7">
        <v>0</v>
      </c>
      <c r="K2211" s="3">
        <f t="shared" si="82"/>
        <v>0</v>
      </c>
      <c r="L2211" s="3"/>
      <c r="M2211" s="3">
        <f t="shared" si="83"/>
        <v>0</v>
      </c>
      <c r="N2211" s="7"/>
      <c r="O2211" s="5"/>
      <c r="S2211" s="6"/>
    </row>
    <row r="2212" spans="1:22" customFormat="1" x14ac:dyDescent="0.45">
      <c r="A2212">
        <v>485157</v>
      </c>
      <c r="B2212" t="s">
        <v>20592</v>
      </c>
      <c r="C2212" t="s">
        <v>20593</v>
      </c>
      <c r="D2212">
        <v>2</v>
      </c>
      <c r="F2212" s="126"/>
      <c r="G2212" s="3">
        <v>0</v>
      </c>
      <c r="H2212" s="3">
        <v>0</v>
      </c>
      <c r="I2212" s="3">
        <v>0</v>
      </c>
      <c r="J2212" s="3">
        <v>0</v>
      </c>
      <c r="K2212" s="3">
        <f t="shared" si="82"/>
        <v>0</v>
      </c>
      <c r="L2212" s="3"/>
      <c r="M2212" s="3">
        <f t="shared" si="83"/>
        <v>0</v>
      </c>
      <c r="O2212" s="5"/>
      <c r="S2212" s="6"/>
    </row>
    <row r="2213" spans="1:22" customFormat="1" x14ac:dyDescent="0.45">
      <c r="A2213">
        <v>485258</v>
      </c>
      <c r="B2213" t="s">
        <v>20594</v>
      </c>
      <c r="C2213" t="s">
        <v>20595</v>
      </c>
      <c r="D2213">
        <v>5</v>
      </c>
      <c r="F2213" s="126"/>
      <c r="G2213" s="3">
        <v>0</v>
      </c>
      <c r="H2213" s="3">
        <v>0</v>
      </c>
      <c r="I2213" s="3">
        <v>0</v>
      </c>
      <c r="J2213" s="3">
        <v>0</v>
      </c>
      <c r="K2213" s="3">
        <f t="shared" si="82"/>
        <v>0</v>
      </c>
      <c r="L2213" s="3"/>
      <c r="M2213" s="3">
        <f t="shared" si="83"/>
        <v>0</v>
      </c>
      <c r="O2213" s="5"/>
      <c r="S2213" s="6"/>
    </row>
    <row r="2214" spans="1:22" customFormat="1" x14ac:dyDescent="0.45">
      <c r="A2214">
        <v>485301</v>
      </c>
      <c r="B2214" t="s">
        <v>20596</v>
      </c>
      <c r="C2214" t="s">
        <v>20597</v>
      </c>
      <c r="D2214">
        <v>1</v>
      </c>
      <c r="F2214" s="126"/>
      <c r="G2214" s="7">
        <v>0</v>
      </c>
      <c r="H2214" s="7">
        <v>0</v>
      </c>
      <c r="I2214" s="7">
        <v>0</v>
      </c>
      <c r="J2214" s="7">
        <v>0</v>
      </c>
      <c r="K2214" s="3">
        <f t="shared" si="82"/>
        <v>0</v>
      </c>
      <c r="L2214" s="3"/>
      <c r="M2214" s="3">
        <f t="shared" si="83"/>
        <v>0</v>
      </c>
      <c r="O2214" s="5"/>
      <c r="S2214" s="6"/>
    </row>
    <row r="2215" spans="1:22" customFormat="1" x14ac:dyDescent="0.45">
      <c r="A2215">
        <v>485351</v>
      </c>
      <c r="B2215" t="s">
        <v>20598</v>
      </c>
      <c r="C2215" t="s">
        <v>20599</v>
      </c>
      <c r="D2215">
        <v>17</v>
      </c>
      <c r="F2215" s="126"/>
      <c r="G2215" s="3">
        <v>0</v>
      </c>
      <c r="H2215" s="3">
        <v>0</v>
      </c>
      <c r="I2215" s="3">
        <v>0</v>
      </c>
      <c r="J2215" s="3">
        <v>0</v>
      </c>
      <c r="K2215" s="3">
        <f t="shared" si="82"/>
        <v>0</v>
      </c>
      <c r="L2215" s="3"/>
      <c r="M2215" s="3">
        <f t="shared" si="83"/>
        <v>0</v>
      </c>
      <c r="O2215" s="5"/>
      <c r="S2215" s="6"/>
    </row>
    <row r="2216" spans="1:22" customFormat="1" x14ac:dyDescent="0.45">
      <c r="A2216">
        <v>485423</v>
      </c>
      <c r="B2216" t="s">
        <v>20600</v>
      </c>
      <c r="C2216" t="s">
        <v>16331</v>
      </c>
      <c r="D2216">
        <v>5</v>
      </c>
      <c r="E2216" t="s">
        <v>16331</v>
      </c>
      <c r="F2216" s="126"/>
      <c r="G2216" s="7">
        <v>0</v>
      </c>
      <c r="H2216" s="7">
        <v>0</v>
      </c>
      <c r="I2216" s="7">
        <v>0</v>
      </c>
      <c r="J2216" s="7">
        <v>0</v>
      </c>
      <c r="K2216" s="3">
        <f t="shared" si="82"/>
        <v>0</v>
      </c>
      <c r="L2216" s="3"/>
      <c r="M2216" s="3">
        <f t="shared" si="83"/>
        <v>0</v>
      </c>
      <c r="O2216" s="5"/>
      <c r="S2216" s="6"/>
    </row>
    <row r="2217" spans="1:22" customFormat="1" x14ac:dyDescent="0.45">
      <c r="A2217">
        <v>485546</v>
      </c>
      <c r="B2217" t="s">
        <v>20601</v>
      </c>
      <c r="C2217" t="s">
        <v>20602</v>
      </c>
      <c r="D2217">
        <v>3</v>
      </c>
      <c r="F2217" s="126"/>
      <c r="G2217" s="7">
        <v>0</v>
      </c>
      <c r="H2217" s="7">
        <v>0</v>
      </c>
      <c r="I2217" s="7">
        <v>0</v>
      </c>
      <c r="J2217" s="7">
        <v>0</v>
      </c>
      <c r="K2217" s="3">
        <f t="shared" si="82"/>
        <v>0</v>
      </c>
      <c r="L2217" s="3"/>
      <c r="M2217" s="3">
        <f t="shared" si="83"/>
        <v>0</v>
      </c>
      <c r="O2217" s="5"/>
      <c r="S2217" s="6"/>
    </row>
    <row r="2218" spans="1:22" customFormat="1" x14ac:dyDescent="0.45">
      <c r="A2218">
        <v>485690</v>
      </c>
      <c r="B2218" t="s">
        <v>20603</v>
      </c>
      <c r="C2218" t="s">
        <v>20604</v>
      </c>
      <c r="D2218">
        <v>4</v>
      </c>
      <c r="F2218" s="126"/>
      <c r="G2218" s="7">
        <v>0</v>
      </c>
      <c r="H2218" s="7">
        <v>0</v>
      </c>
      <c r="I2218" s="7">
        <v>0</v>
      </c>
      <c r="J2218" s="7">
        <v>0</v>
      </c>
      <c r="K2218" s="3">
        <f t="shared" si="82"/>
        <v>0</v>
      </c>
      <c r="L2218" s="3"/>
      <c r="M2218" s="3">
        <f t="shared" si="83"/>
        <v>0</v>
      </c>
      <c r="O2218" s="5"/>
      <c r="S2218" s="6"/>
    </row>
    <row r="2219" spans="1:22" customFormat="1" x14ac:dyDescent="0.45">
      <c r="A2219">
        <v>485835</v>
      </c>
      <c r="B2219" t="s">
        <v>20605</v>
      </c>
      <c r="C2219" t="s">
        <v>16331</v>
      </c>
      <c r="D2219">
        <v>2</v>
      </c>
      <c r="E2219" t="s">
        <v>16331</v>
      </c>
      <c r="F2219" s="126"/>
      <c r="G2219" s="7">
        <v>0</v>
      </c>
      <c r="H2219" s="7">
        <v>0</v>
      </c>
      <c r="I2219" s="7">
        <v>0</v>
      </c>
      <c r="J2219" s="7">
        <v>0</v>
      </c>
      <c r="K2219" s="3">
        <f t="shared" si="82"/>
        <v>0</v>
      </c>
      <c r="L2219" s="3"/>
      <c r="M2219" s="3">
        <f t="shared" si="83"/>
        <v>0</v>
      </c>
      <c r="O2219" s="5"/>
      <c r="S2219" s="6"/>
    </row>
    <row r="2220" spans="1:22" customFormat="1" x14ac:dyDescent="0.45">
      <c r="A2220">
        <v>485852</v>
      </c>
      <c r="B2220" t="s">
        <v>20606</v>
      </c>
      <c r="C2220" t="s">
        <v>16331</v>
      </c>
      <c r="D2220">
        <v>7</v>
      </c>
      <c r="E2220" t="s">
        <v>16331</v>
      </c>
      <c r="F2220" s="126"/>
      <c r="G2220" s="7">
        <v>0</v>
      </c>
      <c r="H2220" s="7">
        <v>0</v>
      </c>
      <c r="I2220" s="7">
        <v>0</v>
      </c>
      <c r="J2220" s="7">
        <v>0</v>
      </c>
      <c r="K2220" s="3">
        <f t="shared" ref="K2220:K2283" si="84">SUM(G2220:J2220)</f>
        <v>0</v>
      </c>
      <c r="L2220" s="3"/>
      <c r="M2220" s="3">
        <f t="shared" si="83"/>
        <v>0</v>
      </c>
      <c r="O2220" s="5"/>
      <c r="S2220" s="6"/>
    </row>
    <row r="2221" spans="1:22" customFormat="1" x14ac:dyDescent="0.45">
      <c r="A2221">
        <v>485877</v>
      </c>
      <c r="B2221" t="s">
        <v>20607</v>
      </c>
      <c r="C2221" t="s">
        <v>20608</v>
      </c>
      <c r="D2221">
        <v>4</v>
      </c>
      <c r="F2221" s="126"/>
      <c r="G2221" s="7">
        <v>0</v>
      </c>
      <c r="H2221" s="7">
        <v>0</v>
      </c>
      <c r="I2221" s="7">
        <v>0</v>
      </c>
      <c r="J2221" s="7">
        <v>0</v>
      </c>
      <c r="K2221" s="3">
        <f t="shared" si="84"/>
        <v>0</v>
      </c>
      <c r="L2221" s="3"/>
      <c r="M2221" s="3">
        <f t="shared" si="83"/>
        <v>0</v>
      </c>
      <c r="O2221" s="5"/>
      <c r="S2221" s="6"/>
    </row>
    <row r="2222" spans="1:22" customFormat="1" x14ac:dyDescent="0.45">
      <c r="A2222">
        <v>485883</v>
      </c>
      <c r="B2222" t="s">
        <v>20609</v>
      </c>
      <c r="C2222" t="s">
        <v>20610</v>
      </c>
      <c r="D2222">
        <v>1</v>
      </c>
      <c r="F2222" s="126"/>
      <c r="G2222" s="7">
        <v>0</v>
      </c>
      <c r="H2222" s="7">
        <v>0</v>
      </c>
      <c r="I2222" s="7">
        <v>0</v>
      </c>
      <c r="J2222" s="7">
        <v>0</v>
      </c>
      <c r="K2222" s="3">
        <f t="shared" si="84"/>
        <v>0</v>
      </c>
      <c r="L2222" s="3"/>
      <c r="M2222" s="3">
        <f t="shared" si="83"/>
        <v>0</v>
      </c>
      <c r="O2222" s="5"/>
      <c r="S2222" s="6"/>
    </row>
    <row r="2223" spans="1:22" customFormat="1" x14ac:dyDescent="0.45">
      <c r="A2223">
        <v>485886</v>
      </c>
      <c r="B2223" t="s">
        <v>20611</v>
      </c>
      <c r="C2223" t="s">
        <v>20612</v>
      </c>
      <c r="D2223">
        <v>2</v>
      </c>
      <c r="F2223" s="126"/>
      <c r="G2223" s="7">
        <v>0</v>
      </c>
      <c r="H2223" s="7">
        <v>0</v>
      </c>
      <c r="I2223" s="7">
        <v>0</v>
      </c>
      <c r="J2223" s="7">
        <v>0</v>
      </c>
      <c r="K2223" s="3">
        <f t="shared" si="84"/>
        <v>0</v>
      </c>
      <c r="L2223" s="3"/>
      <c r="M2223" s="3">
        <f t="shared" si="83"/>
        <v>0</v>
      </c>
      <c r="O2223" s="5"/>
      <c r="S2223" s="6"/>
    </row>
    <row r="2224" spans="1:22" customFormat="1" x14ac:dyDescent="0.45">
      <c r="A2224">
        <v>485918</v>
      </c>
      <c r="B2224" t="s">
        <v>20613</v>
      </c>
      <c r="C2224" t="s">
        <v>20614</v>
      </c>
      <c r="D2224">
        <v>1</v>
      </c>
      <c r="F2224" s="126"/>
      <c r="G2224" s="19"/>
      <c r="H2224" s="19"/>
      <c r="I2224" s="19"/>
      <c r="J2224" s="19"/>
      <c r="K2224" s="3">
        <f t="shared" si="84"/>
        <v>0</v>
      </c>
      <c r="L2224" s="3"/>
      <c r="M2224" s="3">
        <f t="shared" si="83"/>
        <v>0</v>
      </c>
      <c r="O2224" s="5"/>
      <c r="S2224" s="6"/>
    </row>
    <row r="2225" spans="1:22" customFormat="1" x14ac:dyDescent="0.45">
      <c r="A2225">
        <v>486131</v>
      </c>
      <c r="B2225" t="s">
        <v>20615</v>
      </c>
      <c r="C2225" t="s">
        <v>20616</v>
      </c>
      <c r="D2225">
        <v>2</v>
      </c>
      <c r="F2225" s="126"/>
      <c r="G2225" s="7">
        <v>0</v>
      </c>
      <c r="H2225" s="7">
        <v>0</v>
      </c>
      <c r="I2225" s="7">
        <v>0</v>
      </c>
      <c r="J2225" s="7">
        <v>0</v>
      </c>
      <c r="K2225" s="3">
        <f t="shared" si="84"/>
        <v>0</v>
      </c>
      <c r="L2225" s="3"/>
      <c r="M2225" s="3">
        <f t="shared" si="83"/>
        <v>0</v>
      </c>
      <c r="O2225" s="5"/>
      <c r="S2225" s="6"/>
    </row>
    <row r="2226" spans="1:22" customFormat="1" x14ac:dyDescent="0.45">
      <c r="A2226">
        <v>486138</v>
      </c>
      <c r="B2226" t="s">
        <v>20617</v>
      </c>
      <c r="C2226" t="s">
        <v>20618</v>
      </c>
      <c r="D2226">
        <v>0</v>
      </c>
      <c r="E2226" t="s">
        <v>16334</v>
      </c>
      <c r="F2226" s="126"/>
      <c r="G2226" s="7">
        <v>0</v>
      </c>
      <c r="H2226" s="7">
        <v>0</v>
      </c>
      <c r="I2226" s="7">
        <v>0</v>
      </c>
      <c r="J2226" s="7">
        <v>0</v>
      </c>
      <c r="K2226" s="3">
        <f t="shared" si="84"/>
        <v>0</v>
      </c>
      <c r="L2226" s="3"/>
      <c r="M2226" s="3">
        <f t="shared" si="83"/>
        <v>0</v>
      </c>
      <c r="O2226" s="5"/>
      <c r="S2226" s="6"/>
    </row>
    <row r="2227" spans="1:22" customFormat="1" x14ac:dyDescent="0.45">
      <c r="A2227">
        <v>486256</v>
      </c>
      <c r="B2227" t="s">
        <v>20619</v>
      </c>
      <c r="C2227" t="s">
        <v>16331</v>
      </c>
      <c r="D2227">
        <v>1</v>
      </c>
      <c r="E2227" t="s">
        <v>16331</v>
      </c>
      <c r="F2227" s="126"/>
      <c r="G2227" s="7">
        <v>0</v>
      </c>
      <c r="H2227" s="7">
        <v>0</v>
      </c>
      <c r="I2227" s="7">
        <v>0</v>
      </c>
      <c r="J2227" s="7">
        <v>0</v>
      </c>
      <c r="K2227" s="3">
        <f t="shared" si="84"/>
        <v>0</v>
      </c>
      <c r="L2227" s="3"/>
      <c r="M2227" s="3">
        <f t="shared" si="83"/>
        <v>0</v>
      </c>
      <c r="N2227" s="7"/>
      <c r="O2227" s="5"/>
      <c r="S2227" s="6"/>
    </row>
    <row r="2228" spans="1:22" customFormat="1" x14ac:dyDescent="0.45">
      <c r="A2228">
        <v>486259</v>
      </c>
      <c r="B2228" t="s">
        <v>20620</v>
      </c>
      <c r="C2228" t="s">
        <v>20621</v>
      </c>
      <c r="D2228">
        <v>2</v>
      </c>
      <c r="F2228" s="126"/>
      <c r="G2228" s="7">
        <v>0</v>
      </c>
      <c r="H2228" s="7">
        <v>0</v>
      </c>
      <c r="I2228" s="7">
        <v>0</v>
      </c>
      <c r="J2228" s="7">
        <v>0</v>
      </c>
      <c r="K2228" s="3">
        <f t="shared" si="84"/>
        <v>0</v>
      </c>
      <c r="L2228" s="3"/>
      <c r="M2228" s="3">
        <f t="shared" si="83"/>
        <v>0</v>
      </c>
      <c r="O2228" s="5"/>
      <c r="S2228" s="6"/>
    </row>
    <row r="2229" spans="1:22" customFormat="1" x14ac:dyDescent="0.45">
      <c r="A2229">
        <v>486353</v>
      </c>
      <c r="B2229" t="s">
        <v>20622</v>
      </c>
      <c r="C2229" t="s">
        <v>16331</v>
      </c>
      <c r="D2229">
        <v>1</v>
      </c>
      <c r="E2229" t="s">
        <v>16331</v>
      </c>
      <c r="F2229" s="126"/>
      <c r="G2229" s="7">
        <v>0</v>
      </c>
      <c r="H2229" s="7">
        <v>0</v>
      </c>
      <c r="I2229" s="7">
        <v>0</v>
      </c>
      <c r="J2229" s="7">
        <v>0</v>
      </c>
      <c r="K2229" s="3">
        <f t="shared" si="84"/>
        <v>0</v>
      </c>
      <c r="L2229" s="3"/>
      <c r="M2229" s="3">
        <f t="shared" si="83"/>
        <v>0</v>
      </c>
      <c r="O2229" s="5"/>
      <c r="S2229" s="6"/>
    </row>
    <row r="2230" spans="1:22" customFormat="1" x14ac:dyDescent="0.45">
      <c r="A2230">
        <v>486492</v>
      </c>
      <c r="B2230" t="s">
        <v>20623</v>
      </c>
      <c r="C2230" t="s">
        <v>16331</v>
      </c>
      <c r="D2230">
        <v>1</v>
      </c>
      <c r="E2230" t="s">
        <v>16331</v>
      </c>
      <c r="F2230" s="126"/>
      <c r="K2230" s="3">
        <f t="shared" si="84"/>
        <v>0</v>
      </c>
      <c r="L2230" s="3"/>
      <c r="M2230" s="3">
        <f t="shared" si="83"/>
        <v>0</v>
      </c>
      <c r="O2230" s="5"/>
      <c r="S2230" s="6"/>
    </row>
    <row r="2231" spans="1:22" x14ac:dyDescent="0.45">
      <c r="A2231" s="124">
        <v>219945</v>
      </c>
      <c r="B2231" s="124" t="s">
        <v>20624</v>
      </c>
      <c r="C2231" s="124" t="s">
        <v>20625</v>
      </c>
      <c r="D2231" s="124">
        <v>6</v>
      </c>
      <c r="E2231" s="124" t="s">
        <v>16334</v>
      </c>
      <c r="F2231" s="126">
        <v>1.6999999999999999E-3</v>
      </c>
      <c r="G2231" s="126">
        <v>1.4999999999999999E-2</v>
      </c>
      <c r="H2231" s="126">
        <v>7.4999999999999997E-3</v>
      </c>
      <c r="I2231" s="127">
        <v>0</v>
      </c>
      <c r="J2231" s="127">
        <v>0</v>
      </c>
      <c r="K2231" s="126">
        <f t="shared" si="84"/>
        <v>2.2499999999999999E-2</v>
      </c>
      <c r="L2231" s="3"/>
      <c r="M2231" s="126">
        <f t="shared" si="83"/>
        <v>2.4199999999999999E-2</v>
      </c>
      <c r="O2231" s="125" t="s">
        <v>20626</v>
      </c>
      <c r="P2231" s="128" t="s">
        <v>26918</v>
      </c>
      <c r="Q2231" s="130">
        <f>1537465+485521</f>
        <v>2022986</v>
      </c>
      <c r="R2231" s="124" t="s">
        <v>16348</v>
      </c>
      <c r="S2231" s="130">
        <v>1793527</v>
      </c>
      <c r="T2231" s="129">
        <f>S2231/Q2231</f>
        <v>0.88657410382474222</v>
      </c>
      <c r="V2231" s="125" t="s">
        <v>20627</v>
      </c>
    </row>
    <row r="2232" spans="1:22" customFormat="1" x14ac:dyDescent="0.45">
      <c r="A2232">
        <v>486548</v>
      </c>
      <c r="B2232" t="s">
        <v>20628</v>
      </c>
      <c r="C2232" t="s">
        <v>20629</v>
      </c>
      <c r="D2232">
        <v>14</v>
      </c>
      <c r="F2232" s="126"/>
      <c r="G2232" s="7">
        <v>0</v>
      </c>
      <c r="H2232" s="7">
        <v>0</v>
      </c>
      <c r="I2232" s="7">
        <v>0</v>
      </c>
      <c r="J2232" s="7">
        <v>0</v>
      </c>
      <c r="K2232" s="3">
        <f t="shared" si="84"/>
        <v>0</v>
      </c>
      <c r="L2232" s="3"/>
      <c r="M2232" s="3">
        <f t="shared" si="83"/>
        <v>0</v>
      </c>
      <c r="N2232" s="7"/>
      <c r="O2232" s="5"/>
      <c r="S2232" s="6"/>
    </row>
    <row r="2233" spans="1:22" x14ac:dyDescent="0.45">
      <c r="A2233" s="124">
        <v>434807</v>
      </c>
      <c r="B2233" s="124" t="s">
        <v>20630</v>
      </c>
      <c r="C2233" s="124" t="s">
        <v>20631</v>
      </c>
      <c r="D2233" s="124">
        <v>1</v>
      </c>
      <c r="E2233" s="124" t="s">
        <v>16334</v>
      </c>
      <c r="F2233" s="126">
        <v>1.6999999999999999E-3</v>
      </c>
      <c r="G2233" s="126">
        <f>0.0195+0.0047</f>
        <v>2.4199999999999999E-2</v>
      </c>
      <c r="H2233" s="126">
        <v>7.0000000000000001E-3</v>
      </c>
      <c r="I2233" s="127"/>
      <c r="J2233" s="127"/>
      <c r="K2233" s="126">
        <f t="shared" si="84"/>
        <v>3.1199999999999999E-2</v>
      </c>
      <c r="L2233" s="3"/>
      <c r="M2233" s="126">
        <f t="shared" si="83"/>
        <v>3.2899999999999999E-2</v>
      </c>
      <c r="O2233" s="125" t="s">
        <v>20631</v>
      </c>
      <c r="P2233" s="128" t="s">
        <v>26918</v>
      </c>
      <c r="Q2233" s="130">
        <f>166837+5307</f>
        <v>172144</v>
      </c>
      <c r="R2233" s="124" t="s">
        <v>16348</v>
      </c>
      <c r="S2233" s="132">
        <v>136667</v>
      </c>
      <c r="T2233" s="129">
        <f>S2233/Q2233</f>
        <v>0.79391091179477646</v>
      </c>
      <c r="V2233" s="125" t="s">
        <v>20632</v>
      </c>
    </row>
    <row r="2234" spans="1:22" customFormat="1" x14ac:dyDescent="0.45">
      <c r="A2234">
        <v>486790</v>
      </c>
      <c r="B2234" t="s">
        <v>20633</v>
      </c>
      <c r="C2234" t="s">
        <v>20634</v>
      </c>
      <c r="D2234">
        <v>1</v>
      </c>
      <c r="F2234" s="126"/>
      <c r="G2234" s="7">
        <v>0</v>
      </c>
      <c r="H2234" s="7">
        <v>0</v>
      </c>
      <c r="I2234" s="7">
        <v>0</v>
      </c>
      <c r="J2234" s="7">
        <v>0</v>
      </c>
      <c r="K2234" s="3">
        <f t="shared" si="84"/>
        <v>0</v>
      </c>
      <c r="L2234" s="3"/>
      <c r="M2234" s="3">
        <f t="shared" si="83"/>
        <v>0</v>
      </c>
      <c r="O2234" s="5"/>
      <c r="S2234" s="6"/>
    </row>
    <row r="2235" spans="1:22" customFormat="1" x14ac:dyDescent="0.45">
      <c r="A2235">
        <v>486803</v>
      </c>
      <c r="B2235" t="s">
        <v>20635</v>
      </c>
      <c r="C2235" t="s">
        <v>20636</v>
      </c>
      <c r="D2235">
        <v>5</v>
      </c>
      <c r="F2235" s="126"/>
      <c r="G2235" s="7">
        <v>0</v>
      </c>
      <c r="H2235" s="7">
        <v>0</v>
      </c>
      <c r="I2235" s="7">
        <v>0</v>
      </c>
      <c r="J2235" s="7">
        <v>0</v>
      </c>
      <c r="K2235" s="3">
        <f t="shared" si="84"/>
        <v>0</v>
      </c>
      <c r="L2235" s="3"/>
      <c r="M2235" s="3">
        <f t="shared" si="83"/>
        <v>0</v>
      </c>
      <c r="O2235" s="5"/>
      <c r="S2235" s="6"/>
    </row>
    <row r="2236" spans="1:22" customFormat="1" x14ac:dyDescent="0.45">
      <c r="A2236">
        <v>486877</v>
      </c>
      <c r="B2236" t="s">
        <v>20637</v>
      </c>
      <c r="C2236" t="s">
        <v>20638</v>
      </c>
      <c r="D2236">
        <v>1</v>
      </c>
      <c r="F2236" s="126"/>
      <c r="G2236" s="7">
        <v>0</v>
      </c>
      <c r="H2236" s="7">
        <v>0</v>
      </c>
      <c r="I2236" s="7">
        <v>0</v>
      </c>
      <c r="J2236" s="7">
        <v>0</v>
      </c>
      <c r="K2236" s="3">
        <f t="shared" si="84"/>
        <v>0</v>
      </c>
      <c r="L2236" s="3"/>
      <c r="M2236" s="3">
        <f t="shared" si="83"/>
        <v>0</v>
      </c>
      <c r="O2236" s="5"/>
      <c r="S2236" s="6"/>
    </row>
    <row r="2237" spans="1:22" customFormat="1" x14ac:dyDescent="0.45">
      <c r="A2237">
        <v>486909</v>
      </c>
      <c r="B2237" t="s">
        <v>20639</v>
      </c>
      <c r="C2237" t="s">
        <v>16331</v>
      </c>
      <c r="D2237">
        <v>1</v>
      </c>
      <c r="E2237" t="s">
        <v>16331</v>
      </c>
      <c r="F2237" s="126"/>
      <c r="G2237" s="7">
        <v>0</v>
      </c>
      <c r="H2237" s="7">
        <v>0</v>
      </c>
      <c r="I2237" s="7">
        <v>0</v>
      </c>
      <c r="J2237" s="7">
        <v>0</v>
      </c>
      <c r="K2237" s="3">
        <f t="shared" si="84"/>
        <v>0</v>
      </c>
      <c r="L2237" s="3"/>
      <c r="M2237" s="3">
        <f t="shared" si="83"/>
        <v>0</v>
      </c>
      <c r="O2237" s="5"/>
      <c r="S2237" s="6"/>
    </row>
    <row r="2238" spans="1:22" customFormat="1" x14ac:dyDescent="0.45">
      <c r="A2238">
        <v>487176</v>
      </c>
      <c r="B2238" t="s">
        <v>20640</v>
      </c>
      <c r="C2238" t="s">
        <v>20641</v>
      </c>
      <c r="D2238">
        <v>0</v>
      </c>
      <c r="E2238" t="s">
        <v>16561</v>
      </c>
      <c r="F2238" s="126"/>
      <c r="G2238" s="7">
        <v>0</v>
      </c>
      <c r="H2238" s="7">
        <v>0</v>
      </c>
      <c r="I2238" s="7">
        <v>0</v>
      </c>
      <c r="J2238" s="7">
        <v>0</v>
      </c>
      <c r="K2238" s="3">
        <f t="shared" si="84"/>
        <v>0</v>
      </c>
      <c r="L2238" s="3"/>
      <c r="M2238" s="3">
        <f t="shared" si="83"/>
        <v>0</v>
      </c>
      <c r="O2238" s="5"/>
      <c r="S2238" s="6"/>
    </row>
    <row r="2239" spans="1:22" customFormat="1" x14ac:dyDescent="0.45">
      <c r="A2239">
        <v>487297</v>
      </c>
      <c r="B2239" t="s">
        <v>20642</v>
      </c>
      <c r="C2239" t="s">
        <v>20643</v>
      </c>
      <c r="D2239">
        <v>2</v>
      </c>
      <c r="F2239" s="126"/>
      <c r="G2239" s="7">
        <v>0</v>
      </c>
      <c r="H2239" s="7">
        <v>0</v>
      </c>
      <c r="I2239" s="7">
        <v>0</v>
      </c>
      <c r="J2239" s="7">
        <v>0</v>
      </c>
      <c r="K2239" s="3">
        <f t="shared" si="84"/>
        <v>0</v>
      </c>
      <c r="L2239" s="3"/>
      <c r="M2239" s="3">
        <f t="shared" si="83"/>
        <v>0</v>
      </c>
      <c r="O2239" s="5"/>
      <c r="S2239" s="6"/>
    </row>
    <row r="2240" spans="1:22" customFormat="1" x14ac:dyDescent="0.45">
      <c r="A2240">
        <v>487312</v>
      </c>
      <c r="B2240" t="s">
        <v>20644</v>
      </c>
      <c r="C2240" t="s">
        <v>16331</v>
      </c>
      <c r="D2240">
        <v>8</v>
      </c>
      <c r="E2240" t="s">
        <v>16331</v>
      </c>
      <c r="F2240" s="126"/>
      <c r="G2240" s="7">
        <v>0</v>
      </c>
      <c r="H2240" s="7">
        <v>0</v>
      </c>
      <c r="I2240" s="7">
        <v>0</v>
      </c>
      <c r="J2240" s="7">
        <v>0</v>
      </c>
      <c r="K2240" s="3">
        <f t="shared" si="84"/>
        <v>0</v>
      </c>
      <c r="L2240" s="3"/>
      <c r="M2240" s="3">
        <f t="shared" si="83"/>
        <v>0</v>
      </c>
      <c r="O2240" s="5"/>
      <c r="S2240" s="6"/>
    </row>
    <row r="2241" spans="1:19" customFormat="1" x14ac:dyDescent="0.45">
      <c r="A2241">
        <v>487359</v>
      </c>
      <c r="B2241" t="s">
        <v>20645</v>
      </c>
      <c r="C2241" t="s">
        <v>20646</v>
      </c>
      <c r="D2241">
        <v>1</v>
      </c>
      <c r="F2241" s="126"/>
      <c r="G2241" s="7">
        <v>0</v>
      </c>
      <c r="H2241" s="7">
        <v>0</v>
      </c>
      <c r="I2241" s="7">
        <v>0</v>
      </c>
      <c r="J2241" s="7">
        <v>0</v>
      </c>
      <c r="K2241" s="3">
        <f t="shared" si="84"/>
        <v>0</v>
      </c>
      <c r="L2241" s="3"/>
      <c r="M2241" s="3">
        <f t="shared" si="83"/>
        <v>0</v>
      </c>
      <c r="O2241" s="5"/>
      <c r="S2241" s="6"/>
    </row>
    <row r="2242" spans="1:19" customFormat="1" x14ac:dyDescent="0.45">
      <c r="A2242">
        <v>487361</v>
      </c>
      <c r="B2242" t="s">
        <v>20647</v>
      </c>
      <c r="C2242" t="s">
        <v>20648</v>
      </c>
      <c r="D2242">
        <v>1</v>
      </c>
      <c r="F2242" s="126"/>
      <c r="G2242" s="7">
        <v>0</v>
      </c>
      <c r="H2242" s="7">
        <v>0</v>
      </c>
      <c r="I2242" s="7">
        <v>0</v>
      </c>
      <c r="J2242" s="7">
        <v>0</v>
      </c>
      <c r="K2242" s="3">
        <f t="shared" si="84"/>
        <v>0</v>
      </c>
      <c r="L2242" s="3"/>
      <c r="M2242" s="3">
        <f t="shared" si="83"/>
        <v>0</v>
      </c>
      <c r="O2242" s="5"/>
      <c r="S2242" s="6"/>
    </row>
    <row r="2243" spans="1:19" customFormat="1" x14ac:dyDescent="0.45">
      <c r="A2243">
        <v>487395</v>
      </c>
      <c r="B2243" t="s">
        <v>20649</v>
      </c>
      <c r="C2243" t="s">
        <v>20650</v>
      </c>
      <c r="D2243">
        <v>142</v>
      </c>
      <c r="E2243" t="s">
        <v>16334</v>
      </c>
      <c r="F2243" s="126"/>
      <c r="K2243" s="3">
        <f t="shared" si="84"/>
        <v>0</v>
      </c>
      <c r="L2243" s="3"/>
      <c r="M2243" s="3">
        <f t="shared" si="83"/>
        <v>0</v>
      </c>
      <c r="N2243" t="s">
        <v>17551</v>
      </c>
      <c r="O2243" s="5"/>
      <c r="S2243" s="6"/>
    </row>
    <row r="2244" spans="1:19" customFormat="1" x14ac:dyDescent="0.45">
      <c r="A2244">
        <v>487416</v>
      </c>
      <c r="B2244" t="s">
        <v>20651</v>
      </c>
      <c r="C2244" t="s">
        <v>20652</v>
      </c>
      <c r="D2244">
        <v>4</v>
      </c>
      <c r="F2244" s="126"/>
      <c r="G2244" s="7">
        <v>0</v>
      </c>
      <c r="H2244" s="7">
        <v>0</v>
      </c>
      <c r="I2244" s="7">
        <v>0</v>
      </c>
      <c r="J2244" s="7">
        <v>0</v>
      </c>
      <c r="K2244" s="3">
        <f t="shared" si="84"/>
        <v>0</v>
      </c>
      <c r="L2244" s="3"/>
      <c r="M2244" s="3">
        <f t="shared" si="83"/>
        <v>0</v>
      </c>
      <c r="O2244" s="5"/>
      <c r="S2244" s="6"/>
    </row>
    <row r="2245" spans="1:19" customFormat="1" x14ac:dyDescent="0.45">
      <c r="A2245">
        <v>487612</v>
      </c>
      <c r="B2245" t="s">
        <v>20653</v>
      </c>
      <c r="C2245" t="s">
        <v>20654</v>
      </c>
      <c r="D2245">
        <v>1</v>
      </c>
      <c r="F2245" s="126"/>
      <c r="G2245" s="7">
        <v>0</v>
      </c>
      <c r="H2245" s="7">
        <v>0</v>
      </c>
      <c r="I2245" s="7">
        <v>0</v>
      </c>
      <c r="J2245" s="7">
        <v>0</v>
      </c>
      <c r="K2245" s="3">
        <f t="shared" si="84"/>
        <v>0</v>
      </c>
      <c r="L2245" s="3"/>
      <c r="M2245" s="3">
        <f t="shared" si="83"/>
        <v>0</v>
      </c>
      <c r="O2245" s="5"/>
      <c r="S2245" s="6"/>
    </row>
    <row r="2246" spans="1:19" customFormat="1" x14ac:dyDescent="0.45">
      <c r="A2246">
        <v>487904</v>
      </c>
      <c r="B2246" t="s">
        <v>20655</v>
      </c>
      <c r="C2246" t="s">
        <v>20656</v>
      </c>
      <c r="D2246">
        <v>2</v>
      </c>
      <c r="F2246" s="126"/>
      <c r="G2246" s="7">
        <v>0</v>
      </c>
      <c r="H2246" s="7">
        <v>0</v>
      </c>
      <c r="I2246" s="7">
        <v>0</v>
      </c>
      <c r="J2246" s="7">
        <v>0</v>
      </c>
      <c r="K2246" s="3">
        <f t="shared" si="84"/>
        <v>0</v>
      </c>
      <c r="L2246" s="3"/>
      <c r="M2246" s="3">
        <f t="shared" si="83"/>
        <v>0</v>
      </c>
      <c r="O2246" s="5"/>
      <c r="S2246" s="6"/>
    </row>
    <row r="2247" spans="1:19" customFormat="1" x14ac:dyDescent="0.45">
      <c r="A2247">
        <v>488046</v>
      </c>
      <c r="B2247" t="s">
        <v>20657</v>
      </c>
      <c r="C2247" t="s">
        <v>16331</v>
      </c>
      <c r="D2247">
        <v>0</v>
      </c>
      <c r="E2247" t="s">
        <v>16331</v>
      </c>
      <c r="F2247" s="126"/>
      <c r="K2247" s="3">
        <f t="shared" si="84"/>
        <v>0</v>
      </c>
      <c r="L2247" s="3"/>
      <c r="M2247" s="3">
        <f t="shared" si="83"/>
        <v>0</v>
      </c>
      <c r="O2247" s="5"/>
      <c r="S2247" s="6"/>
    </row>
    <row r="2248" spans="1:19" customFormat="1" x14ac:dyDescent="0.45">
      <c r="A2248">
        <v>488153</v>
      </c>
      <c r="B2248" t="s">
        <v>20658</v>
      </c>
      <c r="C2248" t="s">
        <v>20659</v>
      </c>
      <c r="D2248">
        <v>5</v>
      </c>
      <c r="F2248" s="126"/>
      <c r="G2248" s="7">
        <v>0</v>
      </c>
      <c r="H2248" s="7">
        <v>0</v>
      </c>
      <c r="I2248" s="7">
        <v>0</v>
      </c>
      <c r="J2248" s="7">
        <v>0</v>
      </c>
      <c r="K2248" s="3">
        <f t="shared" si="84"/>
        <v>0</v>
      </c>
      <c r="L2248" s="3"/>
      <c r="M2248" s="3">
        <f t="shared" si="83"/>
        <v>0</v>
      </c>
      <c r="O2248" s="5"/>
      <c r="S2248" s="6"/>
    </row>
    <row r="2249" spans="1:19" customFormat="1" x14ac:dyDescent="0.45">
      <c r="A2249">
        <v>488210</v>
      </c>
      <c r="B2249" t="s">
        <v>20660</v>
      </c>
      <c r="C2249" t="s">
        <v>20661</v>
      </c>
      <c r="D2249">
        <v>4</v>
      </c>
      <c r="F2249" s="126"/>
      <c r="G2249" s="7">
        <v>0</v>
      </c>
      <c r="H2249" s="7">
        <v>0</v>
      </c>
      <c r="I2249" s="7">
        <v>0</v>
      </c>
      <c r="J2249" s="7">
        <v>0</v>
      </c>
      <c r="K2249" s="3">
        <f t="shared" si="84"/>
        <v>0</v>
      </c>
      <c r="L2249" s="3"/>
      <c r="M2249" s="3">
        <f t="shared" si="83"/>
        <v>0</v>
      </c>
      <c r="O2249" s="5"/>
      <c r="S2249" s="6"/>
    </row>
    <row r="2250" spans="1:19" customFormat="1" x14ac:dyDescent="0.45">
      <c r="A2250">
        <v>488254</v>
      </c>
      <c r="B2250" t="s">
        <v>20662</v>
      </c>
      <c r="C2250" t="s">
        <v>20663</v>
      </c>
      <c r="D2250">
        <v>5</v>
      </c>
      <c r="F2250" s="126"/>
      <c r="G2250" s="7">
        <v>0</v>
      </c>
      <c r="H2250" s="7">
        <v>0</v>
      </c>
      <c r="I2250" s="7">
        <v>0</v>
      </c>
      <c r="J2250" s="7">
        <v>0</v>
      </c>
      <c r="K2250" s="3">
        <f t="shared" si="84"/>
        <v>0</v>
      </c>
      <c r="L2250" s="3"/>
      <c r="M2250" s="3">
        <f t="shared" ref="M2250:M2313" si="85">K2250+F2250</f>
        <v>0</v>
      </c>
      <c r="O2250" s="5"/>
      <c r="S2250" s="6"/>
    </row>
    <row r="2251" spans="1:19" customFormat="1" x14ac:dyDescent="0.45">
      <c r="A2251">
        <v>488257</v>
      </c>
      <c r="B2251" t="s">
        <v>20664</v>
      </c>
      <c r="C2251" t="s">
        <v>20665</v>
      </c>
      <c r="D2251">
        <v>7</v>
      </c>
      <c r="F2251" s="126"/>
      <c r="G2251" s="3">
        <v>0</v>
      </c>
      <c r="H2251" s="3">
        <v>0</v>
      </c>
      <c r="I2251" s="3">
        <v>0</v>
      </c>
      <c r="J2251" s="3">
        <v>0</v>
      </c>
      <c r="K2251" s="3">
        <f t="shared" si="84"/>
        <v>0</v>
      </c>
      <c r="L2251" s="3"/>
      <c r="M2251" s="3">
        <f t="shared" si="85"/>
        <v>0</v>
      </c>
      <c r="O2251" s="5"/>
      <c r="S2251" s="6"/>
    </row>
    <row r="2252" spans="1:19" customFormat="1" x14ac:dyDescent="0.45">
      <c r="A2252">
        <v>488273</v>
      </c>
      <c r="B2252" t="s">
        <v>20666</v>
      </c>
      <c r="C2252" t="s">
        <v>20667</v>
      </c>
      <c r="D2252">
        <v>2</v>
      </c>
      <c r="F2252" s="126"/>
      <c r="G2252" s="7">
        <v>0</v>
      </c>
      <c r="H2252" s="7">
        <v>0</v>
      </c>
      <c r="I2252" s="7">
        <v>0</v>
      </c>
      <c r="J2252" s="7">
        <v>0</v>
      </c>
      <c r="K2252" s="3">
        <f t="shared" si="84"/>
        <v>0</v>
      </c>
      <c r="L2252" s="3"/>
      <c r="M2252" s="3">
        <f t="shared" si="85"/>
        <v>0</v>
      </c>
      <c r="O2252" s="5"/>
      <c r="S2252" s="6"/>
    </row>
    <row r="2253" spans="1:19" customFormat="1" x14ac:dyDescent="0.45">
      <c r="A2253">
        <v>488660</v>
      </c>
      <c r="B2253" t="s">
        <v>20668</v>
      </c>
      <c r="C2253" t="s">
        <v>16331</v>
      </c>
      <c r="D2253">
        <v>1</v>
      </c>
      <c r="E2253" t="s">
        <v>16331</v>
      </c>
      <c r="F2253" s="126"/>
      <c r="G2253" s="7">
        <v>0</v>
      </c>
      <c r="H2253" s="7">
        <v>0</v>
      </c>
      <c r="I2253" s="7">
        <v>0</v>
      </c>
      <c r="J2253" s="7">
        <v>0</v>
      </c>
      <c r="K2253" s="3">
        <f t="shared" si="84"/>
        <v>0</v>
      </c>
      <c r="L2253" s="3"/>
      <c r="M2253" s="3">
        <f t="shared" si="85"/>
        <v>0</v>
      </c>
      <c r="O2253" s="5"/>
      <c r="S2253" s="6"/>
    </row>
    <row r="2254" spans="1:19" customFormat="1" x14ac:dyDescent="0.45">
      <c r="A2254">
        <v>488822</v>
      </c>
      <c r="B2254" t="s">
        <v>20669</v>
      </c>
      <c r="C2254" t="s">
        <v>20670</v>
      </c>
      <c r="D2254">
        <v>14</v>
      </c>
      <c r="F2254" s="126"/>
      <c r="G2254" s="7">
        <v>0</v>
      </c>
      <c r="H2254" s="7">
        <v>0</v>
      </c>
      <c r="I2254" s="7">
        <v>0</v>
      </c>
      <c r="J2254" s="7">
        <v>0</v>
      </c>
      <c r="K2254" s="3">
        <f t="shared" si="84"/>
        <v>0</v>
      </c>
      <c r="L2254" s="3"/>
      <c r="M2254" s="3">
        <f t="shared" si="85"/>
        <v>0</v>
      </c>
      <c r="O2254" s="5"/>
      <c r="S2254" s="6"/>
    </row>
    <row r="2255" spans="1:19" customFormat="1" x14ac:dyDescent="0.45">
      <c r="A2255">
        <v>488850</v>
      </c>
      <c r="B2255" t="s">
        <v>20671</v>
      </c>
      <c r="C2255" t="s">
        <v>20672</v>
      </c>
      <c r="D2255">
        <v>1</v>
      </c>
      <c r="F2255" s="126"/>
      <c r="K2255" s="3">
        <f t="shared" si="84"/>
        <v>0</v>
      </c>
      <c r="L2255" s="3"/>
      <c r="M2255" s="3">
        <f t="shared" si="85"/>
        <v>0</v>
      </c>
      <c r="O2255" s="5"/>
      <c r="S2255" s="6"/>
    </row>
    <row r="2256" spans="1:19" customFormat="1" x14ac:dyDescent="0.45">
      <c r="A2256">
        <v>489234</v>
      </c>
      <c r="B2256" t="s">
        <v>20673</v>
      </c>
      <c r="C2256" t="s">
        <v>16331</v>
      </c>
      <c r="D2256">
        <v>0</v>
      </c>
      <c r="E2256" t="s">
        <v>16331</v>
      </c>
      <c r="F2256" s="126"/>
      <c r="G2256" s="7">
        <v>0</v>
      </c>
      <c r="H2256" s="7">
        <v>0</v>
      </c>
      <c r="I2256" s="7">
        <v>0</v>
      </c>
      <c r="J2256" s="7">
        <v>0</v>
      </c>
      <c r="K2256" s="3">
        <f t="shared" si="84"/>
        <v>0</v>
      </c>
      <c r="L2256" s="3"/>
      <c r="M2256" s="3">
        <f t="shared" si="85"/>
        <v>0</v>
      </c>
      <c r="O2256" s="5"/>
      <c r="S2256" s="6"/>
    </row>
    <row r="2257" spans="1:22" customFormat="1" x14ac:dyDescent="0.45">
      <c r="A2257">
        <v>489357</v>
      </c>
      <c r="B2257" t="s">
        <v>20674</v>
      </c>
      <c r="C2257" t="s">
        <v>20675</v>
      </c>
      <c r="D2257">
        <v>2</v>
      </c>
      <c r="F2257" s="126"/>
      <c r="K2257" s="3">
        <f t="shared" si="84"/>
        <v>0</v>
      </c>
      <c r="L2257" s="3"/>
      <c r="M2257" s="3">
        <f t="shared" si="85"/>
        <v>0</v>
      </c>
      <c r="O2257" s="5"/>
      <c r="S2257" s="6"/>
    </row>
    <row r="2258" spans="1:22" customFormat="1" x14ac:dyDescent="0.45">
      <c r="A2258">
        <v>489359</v>
      </c>
      <c r="B2258" t="s">
        <v>20676</v>
      </c>
      <c r="C2258" t="s">
        <v>16331</v>
      </c>
      <c r="D2258">
        <v>1</v>
      </c>
      <c r="E2258" t="s">
        <v>16331</v>
      </c>
      <c r="F2258" s="126"/>
      <c r="G2258" s="7">
        <v>0</v>
      </c>
      <c r="H2258" s="7">
        <v>0</v>
      </c>
      <c r="I2258" s="7">
        <v>0</v>
      </c>
      <c r="J2258" s="7">
        <v>0</v>
      </c>
      <c r="K2258" s="3">
        <f t="shared" si="84"/>
        <v>0</v>
      </c>
      <c r="L2258" s="3"/>
      <c r="M2258" s="3">
        <f t="shared" si="85"/>
        <v>0</v>
      </c>
      <c r="O2258" s="5"/>
      <c r="S2258" s="6"/>
    </row>
    <row r="2259" spans="1:22" customFormat="1" x14ac:dyDescent="0.45">
      <c r="A2259">
        <v>489408</v>
      </c>
      <c r="B2259" t="s">
        <v>20677</v>
      </c>
      <c r="C2259" t="s">
        <v>20678</v>
      </c>
      <c r="D2259">
        <v>2</v>
      </c>
      <c r="F2259" s="126"/>
      <c r="G2259" s="7">
        <v>0</v>
      </c>
      <c r="H2259" s="7">
        <v>0</v>
      </c>
      <c r="I2259" s="7">
        <v>0</v>
      </c>
      <c r="J2259" s="7">
        <v>0</v>
      </c>
      <c r="K2259" s="3">
        <f t="shared" si="84"/>
        <v>0</v>
      </c>
      <c r="L2259" s="3"/>
      <c r="M2259" s="3">
        <f t="shared" si="85"/>
        <v>0</v>
      </c>
      <c r="N2259" s="7"/>
      <c r="O2259" s="5"/>
      <c r="S2259" s="6"/>
    </row>
    <row r="2260" spans="1:22" customFormat="1" x14ac:dyDescent="0.45">
      <c r="A2260">
        <v>489484</v>
      </c>
      <c r="B2260" t="s">
        <v>20679</v>
      </c>
      <c r="C2260" t="s">
        <v>16331</v>
      </c>
      <c r="D2260">
        <v>7</v>
      </c>
      <c r="E2260" t="s">
        <v>16331</v>
      </c>
      <c r="F2260" s="126"/>
      <c r="G2260" s="7">
        <v>0</v>
      </c>
      <c r="H2260" s="7">
        <v>0</v>
      </c>
      <c r="I2260" s="7">
        <v>0</v>
      </c>
      <c r="J2260" s="7">
        <v>0</v>
      </c>
      <c r="K2260" s="3">
        <f t="shared" si="84"/>
        <v>0</v>
      </c>
      <c r="L2260" s="3"/>
      <c r="M2260" s="3">
        <f t="shared" si="85"/>
        <v>0</v>
      </c>
      <c r="O2260" s="5"/>
      <c r="S2260" s="6"/>
    </row>
    <row r="2261" spans="1:22" customFormat="1" x14ac:dyDescent="0.45">
      <c r="A2261">
        <v>489680</v>
      </c>
      <c r="B2261" t="s">
        <v>20680</v>
      </c>
      <c r="C2261" t="s">
        <v>20681</v>
      </c>
      <c r="D2261">
        <v>3</v>
      </c>
      <c r="F2261" s="126"/>
      <c r="G2261" s="7">
        <v>0</v>
      </c>
      <c r="H2261" s="7">
        <v>0</v>
      </c>
      <c r="I2261" s="7">
        <v>0</v>
      </c>
      <c r="J2261" s="7">
        <v>0</v>
      </c>
      <c r="K2261" s="3">
        <f t="shared" si="84"/>
        <v>0</v>
      </c>
      <c r="L2261" s="3"/>
      <c r="M2261" s="3">
        <f t="shared" si="85"/>
        <v>0</v>
      </c>
      <c r="O2261" s="5"/>
      <c r="S2261" s="6"/>
    </row>
    <row r="2262" spans="1:22" customFormat="1" x14ac:dyDescent="0.45">
      <c r="A2262">
        <v>489718</v>
      </c>
      <c r="B2262" t="s">
        <v>20682</v>
      </c>
      <c r="C2262" t="s">
        <v>20683</v>
      </c>
      <c r="D2262">
        <v>24</v>
      </c>
      <c r="E2262" t="s">
        <v>16417</v>
      </c>
      <c r="F2262" s="126"/>
      <c r="G2262" s="7">
        <v>0</v>
      </c>
      <c r="H2262" s="7">
        <v>0</v>
      </c>
      <c r="I2262" s="7">
        <v>0</v>
      </c>
      <c r="J2262" s="7">
        <v>0</v>
      </c>
      <c r="K2262" s="3">
        <f t="shared" si="84"/>
        <v>0</v>
      </c>
      <c r="L2262" s="3"/>
      <c r="M2262" s="3">
        <f t="shared" si="85"/>
        <v>0</v>
      </c>
      <c r="N2262" s="7"/>
      <c r="O2262" s="5"/>
      <c r="S2262" s="6"/>
    </row>
    <row r="2263" spans="1:22" customFormat="1" x14ac:dyDescent="0.45">
      <c r="A2263">
        <v>489795</v>
      </c>
      <c r="B2263" t="s">
        <v>20684</v>
      </c>
      <c r="C2263" t="s">
        <v>20685</v>
      </c>
      <c r="D2263">
        <v>0</v>
      </c>
      <c r="E2263" t="s">
        <v>16561</v>
      </c>
      <c r="F2263" s="126"/>
      <c r="G2263" s="7">
        <v>0</v>
      </c>
      <c r="H2263" s="7">
        <v>0</v>
      </c>
      <c r="I2263" s="7">
        <v>0</v>
      </c>
      <c r="J2263" s="7">
        <v>0</v>
      </c>
      <c r="K2263" s="3">
        <f t="shared" si="84"/>
        <v>0</v>
      </c>
      <c r="L2263" s="3"/>
      <c r="M2263" s="3">
        <f t="shared" si="85"/>
        <v>0</v>
      </c>
      <c r="N2263" s="7"/>
      <c r="O2263" s="5"/>
      <c r="S2263" s="6"/>
    </row>
    <row r="2264" spans="1:22" customFormat="1" x14ac:dyDescent="0.45">
      <c r="A2264">
        <v>489807</v>
      </c>
      <c r="B2264" t="s">
        <v>20686</v>
      </c>
      <c r="C2264" s="2" t="s">
        <v>20687</v>
      </c>
      <c r="D2264">
        <v>2</v>
      </c>
      <c r="F2264" s="126"/>
      <c r="G2264" s="36"/>
      <c r="H2264" s="36"/>
      <c r="I2264" s="36"/>
      <c r="J2264" s="36"/>
      <c r="K2264" s="3">
        <f t="shared" si="84"/>
        <v>0</v>
      </c>
      <c r="L2264" s="3"/>
      <c r="M2264" s="3">
        <f t="shared" si="85"/>
        <v>0</v>
      </c>
      <c r="O2264" s="5"/>
      <c r="S2264" s="6"/>
    </row>
    <row r="2265" spans="1:22" customFormat="1" x14ac:dyDescent="0.45">
      <c r="A2265">
        <v>489834</v>
      </c>
      <c r="B2265" t="s">
        <v>20688</v>
      </c>
      <c r="C2265" t="s">
        <v>16331</v>
      </c>
      <c r="D2265">
        <v>1</v>
      </c>
      <c r="E2265" t="s">
        <v>16331</v>
      </c>
      <c r="F2265" s="126"/>
      <c r="G2265" s="7">
        <v>0</v>
      </c>
      <c r="H2265" s="7">
        <v>0</v>
      </c>
      <c r="I2265" s="7">
        <v>0</v>
      </c>
      <c r="J2265" s="7">
        <v>0</v>
      </c>
      <c r="K2265" s="3">
        <f t="shared" si="84"/>
        <v>0</v>
      </c>
      <c r="L2265" s="3"/>
      <c r="M2265" s="3">
        <f t="shared" si="85"/>
        <v>0</v>
      </c>
      <c r="O2265" s="5"/>
      <c r="S2265" s="6"/>
    </row>
    <row r="2266" spans="1:22" customFormat="1" x14ac:dyDescent="0.45">
      <c r="A2266">
        <v>489839</v>
      </c>
      <c r="B2266" t="s">
        <v>20689</v>
      </c>
      <c r="C2266" t="s">
        <v>20690</v>
      </c>
      <c r="D2266">
        <v>0</v>
      </c>
      <c r="E2266" t="s">
        <v>16561</v>
      </c>
      <c r="F2266" s="126"/>
      <c r="G2266" s="7">
        <v>0</v>
      </c>
      <c r="H2266" s="3">
        <v>0</v>
      </c>
      <c r="I2266" s="3">
        <v>0</v>
      </c>
      <c r="J2266">
        <v>0</v>
      </c>
      <c r="K2266" s="3">
        <f t="shared" si="84"/>
        <v>0</v>
      </c>
      <c r="L2266" s="3"/>
      <c r="M2266" s="3">
        <f t="shared" si="85"/>
        <v>0</v>
      </c>
      <c r="O2266" s="5"/>
      <c r="S2266" s="6"/>
    </row>
    <row r="2267" spans="1:22" customFormat="1" x14ac:dyDescent="0.45">
      <c r="A2267">
        <v>489840</v>
      </c>
      <c r="B2267" t="s">
        <v>20691</v>
      </c>
      <c r="C2267" t="s">
        <v>16331</v>
      </c>
      <c r="D2267">
        <v>0</v>
      </c>
      <c r="E2267" t="s">
        <v>16331</v>
      </c>
      <c r="F2267" s="126"/>
      <c r="G2267" s="7">
        <v>0</v>
      </c>
      <c r="H2267" s="7">
        <v>0</v>
      </c>
      <c r="I2267" s="7">
        <v>0</v>
      </c>
      <c r="J2267" s="7">
        <v>0</v>
      </c>
      <c r="K2267" s="3">
        <f t="shared" si="84"/>
        <v>0</v>
      </c>
      <c r="L2267" s="3"/>
      <c r="M2267" s="3">
        <f t="shared" si="85"/>
        <v>0</v>
      </c>
      <c r="O2267" s="5"/>
      <c r="S2267" s="6"/>
    </row>
    <row r="2268" spans="1:22" customFormat="1" x14ac:dyDescent="0.45">
      <c r="A2268">
        <v>489927</v>
      </c>
      <c r="B2268" t="s">
        <v>20692</v>
      </c>
      <c r="C2268" t="s">
        <v>16331</v>
      </c>
      <c r="D2268">
        <v>6</v>
      </c>
      <c r="E2268" t="s">
        <v>16331</v>
      </c>
      <c r="F2268" s="126"/>
      <c r="G2268" s="7">
        <v>0</v>
      </c>
      <c r="H2268" s="7">
        <v>0</v>
      </c>
      <c r="I2268" s="7">
        <v>0</v>
      </c>
      <c r="J2268" s="7">
        <v>0</v>
      </c>
      <c r="K2268" s="3">
        <f t="shared" si="84"/>
        <v>0</v>
      </c>
      <c r="L2268" s="3"/>
      <c r="M2268" s="3">
        <f t="shared" si="85"/>
        <v>0</v>
      </c>
      <c r="O2268" s="5"/>
      <c r="S2268" s="6"/>
    </row>
    <row r="2269" spans="1:22" customFormat="1" x14ac:dyDescent="0.45">
      <c r="A2269">
        <v>490071</v>
      </c>
      <c r="B2269" t="s">
        <v>20693</v>
      </c>
      <c r="C2269" t="s">
        <v>20694</v>
      </c>
      <c r="D2269">
        <v>2</v>
      </c>
      <c r="F2269" s="126"/>
      <c r="G2269" s="7">
        <v>0</v>
      </c>
      <c r="H2269" s="7">
        <v>0</v>
      </c>
      <c r="I2269" s="7">
        <v>0</v>
      </c>
      <c r="J2269" s="7">
        <v>0</v>
      </c>
      <c r="K2269" s="3">
        <f t="shared" si="84"/>
        <v>0</v>
      </c>
      <c r="L2269" s="3"/>
      <c r="M2269" s="3">
        <f t="shared" si="85"/>
        <v>0</v>
      </c>
      <c r="O2269" s="5"/>
      <c r="S2269" s="6"/>
    </row>
    <row r="2270" spans="1:22" customFormat="1" x14ac:dyDescent="0.45">
      <c r="A2270">
        <v>490515</v>
      </c>
      <c r="B2270" t="s">
        <v>20695</v>
      </c>
      <c r="C2270" t="s">
        <v>20696</v>
      </c>
      <c r="D2270">
        <v>7</v>
      </c>
      <c r="F2270" s="126"/>
      <c r="K2270" s="3">
        <f t="shared" si="84"/>
        <v>0</v>
      </c>
      <c r="L2270" s="3"/>
      <c r="M2270" s="3">
        <f t="shared" si="85"/>
        <v>0</v>
      </c>
      <c r="O2270" s="5"/>
      <c r="S2270" s="6"/>
    </row>
    <row r="2271" spans="1:22" x14ac:dyDescent="0.45">
      <c r="A2271" s="124">
        <v>189816</v>
      </c>
      <c r="B2271" s="124" t="s">
        <v>20697</v>
      </c>
      <c r="C2271" s="125" t="s">
        <v>20698</v>
      </c>
      <c r="D2271" s="124">
        <v>1</v>
      </c>
      <c r="E2271" s="124" t="s">
        <v>16334</v>
      </c>
      <c r="F2271" s="126">
        <v>1.6999999999999999E-3</v>
      </c>
      <c r="G2271" s="135">
        <f>2%</f>
        <v>0.02</v>
      </c>
      <c r="H2271" s="135">
        <v>0.01</v>
      </c>
      <c r="I2271" s="127">
        <v>0</v>
      </c>
      <c r="J2271" s="127">
        <v>0</v>
      </c>
      <c r="K2271" s="126">
        <f t="shared" si="84"/>
        <v>0.03</v>
      </c>
      <c r="L2271" s="3"/>
      <c r="M2271" s="126">
        <f t="shared" si="85"/>
        <v>3.1699999999999999E-2</v>
      </c>
      <c r="O2271" s="125" t="s">
        <v>20699</v>
      </c>
      <c r="P2271" s="128" t="s">
        <v>26918</v>
      </c>
      <c r="Q2271" s="130">
        <v>187655</v>
      </c>
      <c r="R2271" s="124" t="s">
        <v>16348</v>
      </c>
      <c r="S2271" s="130">
        <v>131656</v>
      </c>
      <c r="T2271" s="129">
        <f>S2271/Q2271</f>
        <v>0.70158535610561934</v>
      </c>
      <c r="V2271" s="125" t="s">
        <v>20700</v>
      </c>
    </row>
    <row r="2272" spans="1:22" customFormat="1" x14ac:dyDescent="0.45">
      <c r="A2272">
        <v>490575</v>
      </c>
      <c r="B2272" t="s">
        <v>20701</v>
      </c>
      <c r="C2272" t="s">
        <v>16331</v>
      </c>
      <c r="D2272">
        <v>2</v>
      </c>
      <c r="E2272" t="s">
        <v>16331</v>
      </c>
      <c r="F2272" s="126"/>
      <c r="G2272" s="7">
        <v>0</v>
      </c>
      <c r="H2272" s="7">
        <v>0</v>
      </c>
      <c r="I2272" s="7">
        <v>0</v>
      </c>
      <c r="J2272" s="7">
        <v>0</v>
      </c>
      <c r="K2272" s="3">
        <f t="shared" si="84"/>
        <v>0</v>
      </c>
      <c r="L2272" s="3"/>
      <c r="M2272" s="3">
        <f t="shared" si="85"/>
        <v>0</v>
      </c>
      <c r="O2272" s="5"/>
      <c r="S2272" s="6"/>
    </row>
    <row r="2273" spans="1:19" customFormat="1" x14ac:dyDescent="0.45">
      <c r="A2273">
        <v>490740</v>
      </c>
      <c r="B2273" t="s">
        <v>20702</v>
      </c>
      <c r="C2273" t="s">
        <v>20703</v>
      </c>
      <c r="D2273">
        <v>2</v>
      </c>
      <c r="F2273" s="126"/>
      <c r="G2273" s="3">
        <v>0</v>
      </c>
      <c r="H2273" s="3">
        <v>0</v>
      </c>
      <c r="I2273" s="3">
        <v>0</v>
      </c>
      <c r="J2273" s="3">
        <v>0</v>
      </c>
      <c r="K2273" s="3">
        <f t="shared" si="84"/>
        <v>0</v>
      </c>
      <c r="L2273" s="3"/>
      <c r="M2273" s="3">
        <f t="shared" si="85"/>
        <v>0</v>
      </c>
      <c r="O2273" s="5"/>
      <c r="S2273" s="6"/>
    </row>
    <row r="2274" spans="1:19" customFormat="1" x14ac:dyDescent="0.45">
      <c r="A2274">
        <v>490826</v>
      </c>
      <c r="B2274" t="s">
        <v>20704</v>
      </c>
      <c r="C2274" t="s">
        <v>16331</v>
      </c>
      <c r="D2274">
        <v>3</v>
      </c>
      <c r="E2274" t="s">
        <v>16331</v>
      </c>
      <c r="F2274" s="126"/>
      <c r="K2274" s="3">
        <f t="shared" si="84"/>
        <v>0</v>
      </c>
      <c r="L2274" s="3"/>
      <c r="M2274" s="3">
        <f t="shared" si="85"/>
        <v>0</v>
      </c>
      <c r="O2274" s="5"/>
      <c r="S2274" s="6"/>
    </row>
    <row r="2275" spans="1:19" customFormat="1" x14ac:dyDescent="0.45">
      <c r="A2275">
        <v>491145</v>
      </c>
      <c r="B2275" t="s">
        <v>20705</v>
      </c>
      <c r="C2275" t="s">
        <v>20706</v>
      </c>
      <c r="D2275">
        <v>1</v>
      </c>
      <c r="F2275" s="126"/>
      <c r="K2275" s="3">
        <f t="shared" si="84"/>
        <v>0</v>
      </c>
      <c r="L2275" s="3"/>
      <c r="M2275" s="3">
        <f t="shared" si="85"/>
        <v>0</v>
      </c>
      <c r="O2275" s="5"/>
      <c r="S2275" s="6"/>
    </row>
    <row r="2276" spans="1:19" customFormat="1" x14ac:dyDescent="0.45">
      <c r="A2276">
        <v>491169</v>
      </c>
      <c r="B2276" t="s">
        <v>20707</v>
      </c>
      <c r="C2276" t="s">
        <v>20708</v>
      </c>
      <c r="D2276">
        <v>0</v>
      </c>
      <c r="E2276" t="s">
        <v>16561</v>
      </c>
      <c r="F2276" s="126"/>
      <c r="G2276" s="7">
        <v>0</v>
      </c>
      <c r="H2276" s="7">
        <v>0</v>
      </c>
      <c r="I2276" s="7">
        <v>0</v>
      </c>
      <c r="J2276" s="7">
        <v>0</v>
      </c>
      <c r="K2276" s="3">
        <f t="shared" si="84"/>
        <v>0</v>
      </c>
      <c r="L2276" s="3"/>
      <c r="M2276" s="3">
        <f t="shared" si="85"/>
        <v>0</v>
      </c>
      <c r="O2276" s="5"/>
      <c r="S2276" s="6"/>
    </row>
    <row r="2277" spans="1:19" customFormat="1" x14ac:dyDescent="0.45">
      <c r="A2277">
        <v>491377</v>
      </c>
      <c r="B2277" t="s">
        <v>20709</v>
      </c>
      <c r="C2277" t="s">
        <v>20710</v>
      </c>
      <c r="D2277">
        <v>2</v>
      </c>
      <c r="F2277" s="126"/>
      <c r="G2277" s="7">
        <v>0</v>
      </c>
      <c r="H2277" s="7">
        <v>0</v>
      </c>
      <c r="I2277" s="7">
        <v>0</v>
      </c>
      <c r="J2277" s="7">
        <v>0</v>
      </c>
      <c r="K2277" s="3">
        <f t="shared" si="84"/>
        <v>0</v>
      </c>
      <c r="L2277" s="3"/>
      <c r="M2277" s="3">
        <f t="shared" si="85"/>
        <v>0</v>
      </c>
      <c r="N2277" s="7"/>
      <c r="O2277" s="5"/>
      <c r="S2277" s="6"/>
    </row>
    <row r="2278" spans="1:19" customFormat="1" x14ac:dyDescent="0.45">
      <c r="A2278">
        <v>491461</v>
      </c>
      <c r="B2278" t="s">
        <v>20711</v>
      </c>
      <c r="C2278" t="s">
        <v>20712</v>
      </c>
      <c r="D2278">
        <v>9</v>
      </c>
      <c r="F2278" s="126"/>
      <c r="G2278" s="7">
        <v>0</v>
      </c>
      <c r="H2278" s="7">
        <v>0</v>
      </c>
      <c r="I2278" s="7">
        <v>0</v>
      </c>
      <c r="J2278" s="7">
        <v>0</v>
      </c>
      <c r="K2278" s="3">
        <f t="shared" si="84"/>
        <v>0</v>
      </c>
      <c r="L2278" s="3"/>
      <c r="M2278" s="3">
        <f t="shared" si="85"/>
        <v>0</v>
      </c>
      <c r="O2278" s="5"/>
      <c r="S2278" s="6"/>
    </row>
    <row r="2279" spans="1:19" customFormat="1" x14ac:dyDescent="0.45">
      <c r="A2279">
        <v>491656</v>
      </c>
      <c r="B2279" t="s">
        <v>20713</v>
      </c>
      <c r="C2279" t="s">
        <v>20714</v>
      </c>
      <c r="D2279">
        <v>1</v>
      </c>
      <c r="F2279" s="126"/>
      <c r="G2279" s="7">
        <v>0</v>
      </c>
      <c r="H2279" s="7">
        <v>0</v>
      </c>
      <c r="I2279" s="7">
        <v>0</v>
      </c>
      <c r="J2279" s="7">
        <v>0</v>
      </c>
      <c r="K2279" s="3">
        <f t="shared" si="84"/>
        <v>0</v>
      </c>
      <c r="L2279" s="3"/>
      <c r="M2279" s="3">
        <f t="shared" si="85"/>
        <v>0</v>
      </c>
      <c r="O2279" s="5"/>
      <c r="S2279" s="6"/>
    </row>
    <row r="2280" spans="1:19" customFormat="1" x14ac:dyDescent="0.45">
      <c r="A2280">
        <v>491660</v>
      </c>
      <c r="B2280" t="s">
        <v>20715</v>
      </c>
      <c r="C2280" t="s">
        <v>20716</v>
      </c>
      <c r="D2280">
        <v>1</v>
      </c>
      <c r="F2280" s="126"/>
      <c r="G2280" s="7">
        <v>0</v>
      </c>
      <c r="H2280" s="7">
        <v>0</v>
      </c>
      <c r="I2280" s="7">
        <v>0</v>
      </c>
      <c r="J2280" s="7">
        <v>0</v>
      </c>
      <c r="K2280" s="3">
        <f t="shared" si="84"/>
        <v>0</v>
      </c>
      <c r="L2280" s="3"/>
      <c r="M2280" s="3">
        <f t="shared" si="85"/>
        <v>0</v>
      </c>
      <c r="O2280" s="5"/>
      <c r="S2280" s="6"/>
    </row>
    <row r="2281" spans="1:19" customFormat="1" x14ac:dyDescent="0.45">
      <c r="A2281">
        <v>491666</v>
      </c>
      <c r="B2281" t="s">
        <v>20717</v>
      </c>
      <c r="C2281" t="s">
        <v>20718</v>
      </c>
      <c r="D2281">
        <v>3</v>
      </c>
      <c r="F2281" s="126"/>
      <c r="G2281" s="7">
        <v>0</v>
      </c>
      <c r="H2281" s="7">
        <v>0</v>
      </c>
      <c r="I2281" s="7">
        <v>0</v>
      </c>
      <c r="J2281" s="7">
        <v>0</v>
      </c>
      <c r="K2281" s="3">
        <f t="shared" si="84"/>
        <v>0</v>
      </c>
      <c r="L2281" s="3"/>
      <c r="M2281" s="3">
        <f t="shared" si="85"/>
        <v>0</v>
      </c>
      <c r="N2281" s="7"/>
      <c r="O2281" s="5"/>
      <c r="S2281" s="6"/>
    </row>
    <row r="2282" spans="1:19" customFormat="1" x14ac:dyDescent="0.45">
      <c r="A2282">
        <v>491834</v>
      </c>
      <c r="B2282" t="s">
        <v>20719</v>
      </c>
      <c r="C2282" t="s">
        <v>20720</v>
      </c>
      <c r="D2282">
        <v>3</v>
      </c>
      <c r="F2282" s="126"/>
      <c r="K2282" s="3">
        <f t="shared" si="84"/>
        <v>0</v>
      </c>
      <c r="L2282" s="3"/>
      <c r="M2282" s="3">
        <f t="shared" si="85"/>
        <v>0</v>
      </c>
      <c r="O2282" s="5"/>
      <c r="S2282" s="6"/>
    </row>
    <row r="2283" spans="1:19" customFormat="1" x14ac:dyDescent="0.45">
      <c r="A2283">
        <v>491901</v>
      </c>
      <c r="B2283" t="s">
        <v>20721</v>
      </c>
      <c r="C2283" t="s">
        <v>20722</v>
      </c>
      <c r="D2283">
        <v>2</v>
      </c>
      <c r="F2283" s="126"/>
      <c r="G2283" s="7">
        <v>0</v>
      </c>
      <c r="H2283" s="7">
        <v>0</v>
      </c>
      <c r="I2283" s="7">
        <v>0</v>
      </c>
      <c r="J2283" s="7">
        <v>0</v>
      </c>
      <c r="K2283" s="3">
        <f t="shared" si="84"/>
        <v>0</v>
      </c>
      <c r="L2283" s="3"/>
      <c r="M2283" s="3">
        <f t="shared" si="85"/>
        <v>0</v>
      </c>
      <c r="O2283" s="5"/>
      <c r="S2283" s="6"/>
    </row>
    <row r="2284" spans="1:19" customFormat="1" x14ac:dyDescent="0.45">
      <c r="A2284">
        <v>491905</v>
      </c>
      <c r="B2284" t="s">
        <v>20723</v>
      </c>
      <c r="C2284" t="s">
        <v>16331</v>
      </c>
      <c r="D2284">
        <v>1</v>
      </c>
      <c r="E2284" t="s">
        <v>16331</v>
      </c>
      <c r="F2284" s="126"/>
      <c r="G2284" s="7">
        <v>0</v>
      </c>
      <c r="H2284" s="7">
        <v>0</v>
      </c>
      <c r="I2284" s="7">
        <v>0</v>
      </c>
      <c r="J2284" s="7">
        <v>0</v>
      </c>
      <c r="K2284" s="3">
        <f t="shared" ref="K2284:K2347" si="86">SUM(G2284:J2284)</f>
        <v>0</v>
      </c>
      <c r="L2284" s="3"/>
      <c r="M2284" s="3">
        <f t="shared" si="85"/>
        <v>0</v>
      </c>
      <c r="O2284" s="5"/>
      <c r="S2284" s="6"/>
    </row>
    <row r="2285" spans="1:19" customFormat="1" x14ac:dyDescent="0.45">
      <c r="A2285">
        <v>491916</v>
      </c>
      <c r="B2285" t="s">
        <v>20724</v>
      </c>
      <c r="C2285" t="s">
        <v>16331</v>
      </c>
      <c r="D2285">
        <v>1</v>
      </c>
      <c r="E2285" t="s">
        <v>16331</v>
      </c>
      <c r="F2285" s="126"/>
      <c r="G2285" s="7">
        <v>0</v>
      </c>
      <c r="H2285" s="7">
        <v>0</v>
      </c>
      <c r="I2285" s="7">
        <v>0</v>
      </c>
      <c r="J2285" s="7">
        <v>0</v>
      </c>
      <c r="K2285" s="3">
        <f t="shared" si="86"/>
        <v>0</v>
      </c>
      <c r="L2285" s="3"/>
      <c r="M2285" s="3">
        <f t="shared" si="85"/>
        <v>0</v>
      </c>
      <c r="O2285" s="5"/>
      <c r="S2285" s="6"/>
    </row>
    <row r="2286" spans="1:19" customFormat="1" x14ac:dyDescent="0.45">
      <c r="A2286">
        <v>492124</v>
      </c>
      <c r="B2286" t="s">
        <v>20725</v>
      </c>
      <c r="C2286" t="s">
        <v>20726</v>
      </c>
      <c r="D2286">
        <v>3</v>
      </c>
      <c r="F2286" s="126"/>
      <c r="G2286" s="7">
        <v>0</v>
      </c>
      <c r="H2286" s="7">
        <v>0</v>
      </c>
      <c r="I2286" s="7">
        <v>0</v>
      </c>
      <c r="J2286" s="7">
        <v>0</v>
      </c>
      <c r="K2286" s="3">
        <f t="shared" si="86"/>
        <v>0</v>
      </c>
      <c r="L2286" s="3"/>
      <c r="M2286" s="3">
        <f t="shared" si="85"/>
        <v>0</v>
      </c>
      <c r="O2286" s="5"/>
      <c r="S2286" s="6"/>
    </row>
    <row r="2287" spans="1:19" customFormat="1" x14ac:dyDescent="0.45">
      <c r="A2287">
        <v>492241</v>
      </c>
      <c r="B2287" t="s">
        <v>20727</v>
      </c>
      <c r="C2287" t="s">
        <v>20728</v>
      </c>
      <c r="D2287">
        <v>9</v>
      </c>
      <c r="F2287" s="126"/>
      <c r="G2287" s="7">
        <v>0</v>
      </c>
      <c r="H2287" s="7">
        <v>0</v>
      </c>
      <c r="I2287" s="7">
        <v>0</v>
      </c>
      <c r="J2287" s="7">
        <v>0</v>
      </c>
      <c r="K2287" s="3">
        <f t="shared" si="86"/>
        <v>0</v>
      </c>
      <c r="L2287" s="3"/>
      <c r="M2287" s="3">
        <f t="shared" si="85"/>
        <v>0</v>
      </c>
      <c r="O2287" s="5"/>
      <c r="S2287" s="6"/>
    </row>
    <row r="2288" spans="1:19" customFormat="1" x14ac:dyDescent="0.45">
      <c r="A2288">
        <v>492277</v>
      </c>
      <c r="B2288" t="s">
        <v>20729</v>
      </c>
      <c r="C2288" t="s">
        <v>20730</v>
      </c>
      <c r="D2288">
        <v>1</v>
      </c>
      <c r="F2288" s="126"/>
      <c r="G2288" s="7">
        <v>0</v>
      </c>
      <c r="H2288" s="7">
        <v>0</v>
      </c>
      <c r="I2288" s="7">
        <v>0</v>
      </c>
      <c r="J2288" s="7">
        <v>0</v>
      </c>
      <c r="K2288" s="3">
        <f t="shared" si="86"/>
        <v>0</v>
      </c>
      <c r="L2288" s="3"/>
      <c r="M2288" s="3">
        <f t="shared" si="85"/>
        <v>0</v>
      </c>
      <c r="N2288" s="7"/>
      <c r="O2288" s="5"/>
      <c r="S2288" s="6"/>
    </row>
    <row r="2289" spans="1:19" customFormat="1" x14ac:dyDescent="0.45">
      <c r="A2289">
        <v>492377</v>
      </c>
      <c r="B2289" t="s">
        <v>20731</v>
      </c>
      <c r="C2289" t="s">
        <v>16331</v>
      </c>
      <c r="D2289">
        <v>1</v>
      </c>
      <c r="E2289" t="s">
        <v>16331</v>
      </c>
      <c r="F2289" s="126"/>
      <c r="G2289" s="7">
        <v>0</v>
      </c>
      <c r="H2289" s="7">
        <v>0</v>
      </c>
      <c r="I2289" s="7">
        <v>0</v>
      </c>
      <c r="J2289" s="7">
        <v>0</v>
      </c>
      <c r="K2289" s="3">
        <f t="shared" si="86"/>
        <v>0</v>
      </c>
      <c r="L2289" s="3"/>
      <c r="M2289" s="3">
        <f t="shared" si="85"/>
        <v>0</v>
      </c>
      <c r="O2289" s="5"/>
      <c r="S2289" s="6"/>
    </row>
    <row r="2290" spans="1:19" customFormat="1" x14ac:dyDescent="0.45">
      <c r="A2290">
        <v>492444</v>
      </c>
      <c r="B2290" t="s">
        <v>20732</v>
      </c>
      <c r="C2290" t="s">
        <v>20733</v>
      </c>
      <c r="D2290">
        <v>4</v>
      </c>
      <c r="F2290" s="126"/>
      <c r="G2290" s="7">
        <v>0</v>
      </c>
      <c r="H2290" s="7">
        <v>0</v>
      </c>
      <c r="I2290" s="7">
        <v>0</v>
      </c>
      <c r="J2290" s="7">
        <v>0</v>
      </c>
      <c r="K2290" s="3">
        <f t="shared" si="86"/>
        <v>0</v>
      </c>
      <c r="L2290" s="3"/>
      <c r="M2290" s="3">
        <f t="shared" si="85"/>
        <v>0</v>
      </c>
      <c r="O2290" s="5"/>
      <c r="S2290" s="6"/>
    </row>
    <row r="2291" spans="1:19" customFormat="1" x14ac:dyDescent="0.45">
      <c r="A2291">
        <v>492448</v>
      </c>
      <c r="B2291" t="s">
        <v>20734</v>
      </c>
      <c r="C2291" t="s">
        <v>20735</v>
      </c>
      <c r="D2291">
        <v>2</v>
      </c>
      <c r="F2291" s="126"/>
      <c r="G2291" s="7">
        <v>0</v>
      </c>
      <c r="H2291" s="7">
        <v>0</v>
      </c>
      <c r="I2291" s="7">
        <v>0</v>
      </c>
      <c r="J2291" s="7">
        <v>0</v>
      </c>
      <c r="K2291" s="3">
        <f t="shared" si="86"/>
        <v>0</v>
      </c>
      <c r="L2291" s="3"/>
      <c r="M2291" s="3">
        <f t="shared" si="85"/>
        <v>0</v>
      </c>
      <c r="O2291" s="5"/>
      <c r="S2291" s="6"/>
    </row>
    <row r="2292" spans="1:19" customFormat="1" x14ac:dyDescent="0.45">
      <c r="A2292">
        <v>492519</v>
      </c>
      <c r="B2292" t="s">
        <v>20736</v>
      </c>
      <c r="C2292" t="s">
        <v>20737</v>
      </c>
      <c r="D2292">
        <v>4</v>
      </c>
      <c r="F2292" s="126"/>
      <c r="G2292" s="19"/>
      <c r="H2292" s="19"/>
      <c r="I2292" s="19" t="s">
        <v>20738</v>
      </c>
      <c r="J2292" s="19"/>
      <c r="K2292" s="3">
        <f t="shared" si="86"/>
        <v>0</v>
      </c>
      <c r="L2292" s="3"/>
      <c r="M2292" s="3">
        <f t="shared" si="85"/>
        <v>0</v>
      </c>
      <c r="N2292" s="19"/>
      <c r="O2292" s="5"/>
      <c r="S2292" s="6"/>
    </row>
    <row r="2293" spans="1:19" customFormat="1" x14ac:dyDescent="0.45">
      <c r="A2293">
        <v>493035</v>
      </c>
      <c r="B2293" t="s">
        <v>20739</v>
      </c>
      <c r="C2293" t="s">
        <v>16331</v>
      </c>
      <c r="D2293">
        <v>6</v>
      </c>
      <c r="E2293" t="s">
        <v>16331</v>
      </c>
      <c r="F2293" s="126"/>
      <c r="G2293" s="7">
        <v>0</v>
      </c>
      <c r="H2293" s="7">
        <v>0</v>
      </c>
      <c r="I2293" s="7">
        <v>0</v>
      </c>
      <c r="J2293" s="7">
        <v>0</v>
      </c>
      <c r="K2293" s="3">
        <f t="shared" si="86"/>
        <v>0</v>
      </c>
      <c r="L2293" s="3"/>
      <c r="M2293" s="3">
        <f t="shared" si="85"/>
        <v>0</v>
      </c>
      <c r="O2293" s="5"/>
      <c r="S2293" s="6"/>
    </row>
    <row r="2294" spans="1:19" customFormat="1" x14ac:dyDescent="0.45">
      <c r="A2294">
        <v>493195</v>
      </c>
      <c r="B2294" t="s">
        <v>20740</v>
      </c>
      <c r="C2294" s="2" t="s">
        <v>20741</v>
      </c>
      <c r="D2294">
        <v>2</v>
      </c>
      <c r="F2294" s="126"/>
      <c r="G2294" s="3">
        <v>0</v>
      </c>
      <c r="H2294" s="3">
        <v>0</v>
      </c>
      <c r="I2294" s="3">
        <v>0</v>
      </c>
      <c r="J2294" s="3">
        <v>0</v>
      </c>
      <c r="K2294" s="3">
        <f t="shared" si="86"/>
        <v>0</v>
      </c>
      <c r="L2294" s="3"/>
      <c r="M2294" s="3">
        <f t="shared" si="85"/>
        <v>0</v>
      </c>
      <c r="O2294" s="5"/>
      <c r="S2294" s="6"/>
    </row>
    <row r="2295" spans="1:19" customFormat="1" x14ac:dyDescent="0.45">
      <c r="A2295">
        <v>493625</v>
      </c>
      <c r="B2295" t="s">
        <v>20742</v>
      </c>
      <c r="C2295" t="s">
        <v>20743</v>
      </c>
      <c r="D2295">
        <v>15</v>
      </c>
      <c r="F2295" s="126"/>
      <c r="G2295" s="7">
        <v>0</v>
      </c>
      <c r="H2295" s="7">
        <v>0</v>
      </c>
      <c r="I2295" s="7">
        <v>0</v>
      </c>
      <c r="J2295" s="7">
        <v>0</v>
      </c>
      <c r="K2295" s="3">
        <f t="shared" si="86"/>
        <v>0</v>
      </c>
      <c r="L2295" s="3"/>
      <c r="M2295" s="3">
        <f t="shared" si="85"/>
        <v>0</v>
      </c>
      <c r="O2295" s="5"/>
      <c r="S2295" s="6"/>
    </row>
    <row r="2296" spans="1:19" customFormat="1" x14ac:dyDescent="0.45">
      <c r="A2296">
        <v>493873</v>
      </c>
      <c r="B2296" t="s">
        <v>20744</v>
      </c>
      <c r="C2296" t="s">
        <v>20745</v>
      </c>
      <c r="D2296">
        <v>2</v>
      </c>
      <c r="F2296" s="126"/>
      <c r="G2296" s="7">
        <v>0</v>
      </c>
      <c r="H2296" s="7">
        <v>0</v>
      </c>
      <c r="I2296" s="7">
        <v>0</v>
      </c>
      <c r="J2296" s="7">
        <v>0</v>
      </c>
      <c r="K2296" s="3">
        <f t="shared" si="86"/>
        <v>0</v>
      </c>
      <c r="L2296" s="3"/>
      <c r="M2296" s="3">
        <f t="shared" si="85"/>
        <v>0</v>
      </c>
      <c r="O2296" s="5"/>
      <c r="S2296" s="6"/>
    </row>
    <row r="2297" spans="1:19" customFormat="1" x14ac:dyDescent="0.45">
      <c r="A2297">
        <v>494241</v>
      </c>
      <c r="B2297" t="s">
        <v>20746</v>
      </c>
      <c r="C2297" t="s">
        <v>20747</v>
      </c>
      <c r="D2297">
        <v>7</v>
      </c>
      <c r="F2297" s="126"/>
      <c r="G2297" s="7">
        <v>0</v>
      </c>
      <c r="H2297" s="7">
        <v>0</v>
      </c>
      <c r="I2297" s="7">
        <v>0</v>
      </c>
      <c r="J2297" s="7">
        <v>0</v>
      </c>
      <c r="K2297" s="3">
        <f t="shared" si="86"/>
        <v>0</v>
      </c>
      <c r="L2297" s="3"/>
      <c r="M2297" s="3">
        <f t="shared" si="85"/>
        <v>0</v>
      </c>
      <c r="O2297" s="5"/>
      <c r="S2297" s="6"/>
    </row>
    <row r="2298" spans="1:19" customFormat="1" x14ac:dyDescent="0.45">
      <c r="A2298">
        <v>494466</v>
      </c>
      <c r="B2298" t="s">
        <v>20748</v>
      </c>
      <c r="C2298" t="s">
        <v>20749</v>
      </c>
      <c r="D2298">
        <v>1</v>
      </c>
      <c r="F2298" s="126"/>
      <c r="G2298" s="7">
        <v>0</v>
      </c>
      <c r="H2298" s="7">
        <v>0</v>
      </c>
      <c r="I2298" s="7">
        <v>0</v>
      </c>
      <c r="J2298" s="7">
        <v>0</v>
      </c>
      <c r="K2298" s="3">
        <f t="shared" si="86"/>
        <v>0</v>
      </c>
      <c r="L2298" s="3"/>
      <c r="M2298" s="3">
        <f t="shared" si="85"/>
        <v>0</v>
      </c>
      <c r="O2298" s="5"/>
      <c r="S2298" s="6"/>
    </row>
    <row r="2299" spans="1:19" customFormat="1" x14ac:dyDescent="0.45">
      <c r="A2299">
        <v>494480</v>
      </c>
      <c r="B2299" t="s">
        <v>20750</v>
      </c>
      <c r="C2299" t="s">
        <v>20751</v>
      </c>
      <c r="D2299">
        <v>2</v>
      </c>
      <c r="F2299" s="126"/>
      <c r="G2299" s="7">
        <v>0</v>
      </c>
      <c r="H2299" s="7">
        <v>0</v>
      </c>
      <c r="I2299" s="7">
        <v>0</v>
      </c>
      <c r="J2299" s="7">
        <v>0</v>
      </c>
      <c r="K2299" s="3">
        <f t="shared" si="86"/>
        <v>0</v>
      </c>
      <c r="L2299" s="3"/>
      <c r="M2299" s="3">
        <f t="shared" si="85"/>
        <v>0</v>
      </c>
      <c r="O2299" s="5"/>
      <c r="S2299" s="6"/>
    </row>
    <row r="2300" spans="1:19" customFormat="1" x14ac:dyDescent="0.45">
      <c r="A2300">
        <v>494494</v>
      </c>
      <c r="B2300" t="s">
        <v>20752</v>
      </c>
      <c r="C2300" t="s">
        <v>20753</v>
      </c>
      <c r="D2300">
        <v>20</v>
      </c>
      <c r="E2300" t="s">
        <v>16334</v>
      </c>
      <c r="F2300" s="126"/>
      <c r="G2300" s="7">
        <v>0</v>
      </c>
      <c r="H2300" s="7">
        <v>0</v>
      </c>
      <c r="I2300" s="7">
        <v>0</v>
      </c>
      <c r="J2300" s="7">
        <v>0</v>
      </c>
      <c r="K2300" s="3">
        <f t="shared" si="86"/>
        <v>0</v>
      </c>
      <c r="L2300" s="3"/>
      <c r="M2300" s="3">
        <f t="shared" si="85"/>
        <v>0</v>
      </c>
      <c r="N2300" s="7"/>
      <c r="O2300" s="5"/>
      <c r="S2300" s="6"/>
    </row>
    <row r="2301" spans="1:19" customFormat="1" x14ac:dyDescent="0.45">
      <c r="A2301">
        <v>494887</v>
      </c>
      <c r="B2301" t="s">
        <v>20754</v>
      </c>
      <c r="C2301" t="s">
        <v>16331</v>
      </c>
      <c r="D2301">
        <v>1</v>
      </c>
      <c r="E2301" t="s">
        <v>16331</v>
      </c>
      <c r="F2301" s="126"/>
      <c r="K2301" s="3">
        <f t="shared" si="86"/>
        <v>0</v>
      </c>
      <c r="L2301" s="3"/>
      <c r="M2301" s="3">
        <f t="shared" si="85"/>
        <v>0</v>
      </c>
      <c r="O2301" s="5"/>
      <c r="S2301" s="6"/>
    </row>
    <row r="2302" spans="1:19" customFormat="1" x14ac:dyDescent="0.45">
      <c r="A2302">
        <v>494917</v>
      </c>
      <c r="B2302" t="s">
        <v>20755</v>
      </c>
      <c r="C2302" t="s">
        <v>20756</v>
      </c>
      <c r="D2302">
        <v>3</v>
      </c>
      <c r="F2302" s="126"/>
      <c r="K2302" s="3">
        <f t="shared" si="86"/>
        <v>0</v>
      </c>
      <c r="L2302" s="3"/>
      <c r="M2302" s="3">
        <f t="shared" si="85"/>
        <v>0</v>
      </c>
      <c r="O2302" s="5"/>
      <c r="S2302" s="6"/>
    </row>
    <row r="2303" spans="1:19" customFormat="1" x14ac:dyDescent="0.45">
      <c r="A2303">
        <v>494968</v>
      </c>
      <c r="B2303" t="s">
        <v>20757</v>
      </c>
      <c r="C2303" t="s">
        <v>20758</v>
      </c>
      <c r="D2303">
        <v>1</v>
      </c>
      <c r="F2303" s="126"/>
      <c r="G2303" s="7">
        <v>0</v>
      </c>
      <c r="H2303" s="7">
        <v>0</v>
      </c>
      <c r="I2303" s="7">
        <v>0</v>
      </c>
      <c r="J2303" s="7">
        <v>0</v>
      </c>
      <c r="K2303" s="3">
        <f t="shared" si="86"/>
        <v>0</v>
      </c>
      <c r="L2303" s="3"/>
      <c r="M2303" s="3">
        <f t="shared" si="85"/>
        <v>0</v>
      </c>
      <c r="N2303" s="7"/>
      <c r="O2303" s="5"/>
      <c r="S2303" s="6"/>
    </row>
    <row r="2304" spans="1:19" customFormat="1" x14ac:dyDescent="0.45">
      <c r="A2304">
        <v>495727</v>
      </c>
      <c r="B2304" t="s">
        <v>20759</v>
      </c>
      <c r="C2304" t="s">
        <v>16331</v>
      </c>
      <c r="D2304">
        <v>1</v>
      </c>
      <c r="E2304" t="s">
        <v>16331</v>
      </c>
      <c r="F2304" s="126"/>
      <c r="G2304" s="7">
        <v>0</v>
      </c>
      <c r="H2304" s="7">
        <v>0</v>
      </c>
      <c r="I2304" s="7">
        <v>0</v>
      </c>
      <c r="J2304" s="7">
        <v>0</v>
      </c>
      <c r="K2304" s="3">
        <f t="shared" si="86"/>
        <v>0</v>
      </c>
      <c r="L2304" s="3"/>
      <c r="M2304" s="3">
        <f t="shared" si="85"/>
        <v>0</v>
      </c>
      <c r="O2304" s="5"/>
      <c r="S2304" s="6"/>
    </row>
    <row r="2305" spans="1:19" customFormat="1" x14ac:dyDescent="0.45">
      <c r="A2305">
        <v>495794</v>
      </c>
      <c r="B2305" t="s">
        <v>20760</v>
      </c>
      <c r="C2305" t="s">
        <v>16331</v>
      </c>
      <c r="D2305">
        <v>1</v>
      </c>
      <c r="E2305" t="s">
        <v>16331</v>
      </c>
      <c r="F2305" s="126"/>
      <c r="G2305" s="7">
        <v>0</v>
      </c>
      <c r="H2305" s="7">
        <v>0</v>
      </c>
      <c r="I2305" s="7">
        <v>0</v>
      </c>
      <c r="J2305" s="7">
        <v>0</v>
      </c>
      <c r="K2305" s="3">
        <f t="shared" si="86"/>
        <v>0</v>
      </c>
      <c r="L2305" s="3"/>
      <c r="M2305" s="3">
        <f t="shared" si="85"/>
        <v>0</v>
      </c>
      <c r="N2305" s="7"/>
      <c r="O2305" s="5"/>
      <c r="S2305" s="6"/>
    </row>
    <row r="2306" spans="1:19" customFormat="1" x14ac:dyDescent="0.45">
      <c r="A2306">
        <v>496059</v>
      </c>
      <c r="B2306" t="s">
        <v>20761</v>
      </c>
      <c r="C2306" t="s">
        <v>16331</v>
      </c>
      <c r="D2306">
        <v>1</v>
      </c>
      <c r="E2306" t="s">
        <v>16331</v>
      </c>
      <c r="F2306" s="126"/>
      <c r="K2306" s="3">
        <f t="shared" si="86"/>
        <v>0</v>
      </c>
      <c r="L2306" s="3"/>
      <c r="M2306" s="3">
        <f t="shared" si="85"/>
        <v>0</v>
      </c>
      <c r="O2306" s="5"/>
      <c r="S2306" s="6"/>
    </row>
    <row r="2307" spans="1:19" customFormat="1" x14ac:dyDescent="0.45">
      <c r="A2307">
        <v>496107</v>
      </c>
      <c r="B2307" t="s">
        <v>20762</v>
      </c>
      <c r="C2307" t="s">
        <v>20763</v>
      </c>
      <c r="D2307">
        <v>1</v>
      </c>
      <c r="F2307" s="126"/>
      <c r="G2307" s="19"/>
      <c r="H2307" s="19"/>
      <c r="I2307" s="19"/>
      <c r="J2307" s="19"/>
      <c r="K2307" s="3">
        <f t="shared" si="86"/>
        <v>0</v>
      </c>
      <c r="L2307" s="3"/>
      <c r="M2307" s="3">
        <f t="shared" si="85"/>
        <v>0</v>
      </c>
      <c r="O2307" s="5"/>
      <c r="P2307" t="s">
        <v>20764</v>
      </c>
      <c r="S2307" s="6"/>
    </row>
    <row r="2308" spans="1:19" customFormat="1" x14ac:dyDescent="0.45">
      <c r="A2308">
        <v>496126</v>
      </c>
      <c r="B2308" t="s">
        <v>20765</v>
      </c>
      <c r="C2308" t="s">
        <v>20766</v>
      </c>
      <c r="D2308">
        <v>1</v>
      </c>
      <c r="F2308" s="126"/>
      <c r="K2308" s="3">
        <f t="shared" si="86"/>
        <v>0</v>
      </c>
      <c r="L2308" s="3"/>
      <c r="M2308" s="3">
        <f t="shared" si="85"/>
        <v>0</v>
      </c>
      <c r="O2308" s="5"/>
      <c r="S2308" s="6"/>
    </row>
    <row r="2309" spans="1:19" customFormat="1" x14ac:dyDescent="0.45">
      <c r="A2309">
        <v>496214</v>
      </c>
      <c r="B2309" t="s">
        <v>20767</v>
      </c>
      <c r="C2309" t="s">
        <v>20768</v>
      </c>
      <c r="D2309">
        <v>6</v>
      </c>
      <c r="F2309" s="126"/>
      <c r="G2309" s="34"/>
      <c r="H2309" s="34"/>
      <c r="I2309" s="34"/>
      <c r="J2309" s="34"/>
      <c r="K2309" s="3">
        <f t="shared" si="86"/>
        <v>0</v>
      </c>
      <c r="L2309" s="3"/>
      <c r="M2309" s="3">
        <f t="shared" si="85"/>
        <v>0</v>
      </c>
      <c r="O2309" s="5"/>
      <c r="Q2309" t="s">
        <v>20769</v>
      </c>
      <c r="S2309" s="6"/>
    </row>
    <row r="2310" spans="1:19" customFormat="1" x14ac:dyDescent="0.45">
      <c r="A2310">
        <v>496257</v>
      </c>
      <c r="B2310" t="s">
        <v>20770</v>
      </c>
      <c r="C2310" t="s">
        <v>20771</v>
      </c>
      <c r="D2310">
        <v>1</v>
      </c>
      <c r="F2310" s="126"/>
      <c r="G2310" s="7">
        <v>0</v>
      </c>
      <c r="H2310" s="7">
        <v>0</v>
      </c>
      <c r="I2310" s="7">
        <v>0</v>
      </c>
      <c r="J2310" s="7">
        <v>0</v>
      </c>
      <c r="K2310" s="3">
        <f t="shared" si="86"/>
        <v>0</v>
      </c>
      <c r="L2310" s="3"/>
      <c r="M2310" s="3">
        <f t="shared" si="85"/>
        <v>0</v>
      </c>
      <c r="O2310" s="5"/>
      <c r="S2310" s="6"/>
    </row>
    <row r="2311" spans="1:19" customFormat="1" x14ac:dyDescent="0.45">
      <c r="A2311">
        <v>496300</v>
      </c>
      <c r="B2311" t="s">
        <v>20772</v>
      </c>
      <c r="C2311" t="s">
        <v>16331</v>
      </c>
      <c r="D2311">
        <v>1</v>
      </c>
      <c r="E2311" t="s">
        <v>16331</v>
      </c>
      <c r="F2311" s="126"/>
      <c r="G2311" s="7">
        <v>0</v>
      </c>
      <c r="H2311" s="7">
        <v>0</v>
      </c>
      <c r="I2311" s="7">
        <v>0</v>
      </c>
      <c r="J2311" s="7">
        <v>0</v>
      </c>
      <c r="K2311" s="3">
        <f t="shared" si="86"/>
        <v>0</v>
      </c>
      <c r="L2311" s="3"/>
      <c r="M2311" s="3">
        <f t="shared" si="85"/>
        <v>0</v>
      </c>
      <c r="O2311" s="5"/>
      <c r="S2311" s="6"/>
    </row>
    <row r="2312" spans="1:19" customFormat="1" x14ac:dyDescent="0.45">
      <c r="A2312">
        <v>496377</v>
      </c>
      <c r="B2312" t="s">
        <v>20773</v>
      </c>
      <c r="C2312" t="s">
        <v>20774</v>
      </c>
      <c r="D2312">
        <v>1</v>
      </c>
      <c r="F2312" s="126"/>
      <c r="G2312" s="7">
        <v>0</v>
      </c>
      <c r="H2312" s="7">
        <v>0</v>
      </c>
      <c r="I2312" s="7">
        <v>0</v>
      </c>
      <c r="J2312" s="7">
        <v>0</v>
      </c>
      <c r="K2312" s="3">
        <f t="shared" si="86"/>
        <v>0</v>
      </c>
      <c r="L2312" s="3"/>
      <c r="M2312" s="3">
        <f t="shared" si="85"/>
        <v>0</v>
      </c>
      <c r="O2312" s="5"/>
      <c r="S2312" s="6"/>
    </row>
    <row r="2313" spans="1:19" customFormat="1" x14ac:dyDescent="0.45">
      <c r="A2313">
        <v>496442</v>
      </c>
      <c r="B2313" t="s">
        <v>20775</v>
      </c>
      <c r="C2313" t="s">
        <v>16331</v>
      </c>
      <c r="D2313">
        <v>4</v>
      </c>
      <c r="E2313" t="s">
        <v>16331</v>
      </c>
      <c r="F2313" s="126"/>
      <c r="G2313" s="7">
        <v>0</v>
      </c>
      <c r="H2313" s="7">
        <v>0</v>
      </c>
      <c r="I2313" s="7">
        <v>0</v>
      </c>
      <c r="J2313" s="7">
        <v>0</v>
      </c>
      <c r="K2313" s="3">
        <f t="shared" si="86"/>
        <v>0</v>
      </c>
      <c r="L2313" s="3"/>
      <c r="M2313" s="3">
        <f t="shared" si="85"/>
        <v>0</v>
      </c>
      <c r="O2313" s="5"/>
      <c r="S2313" s="6"/>
    </row>
    <row r="2314" spans="1:19" customFormat="1" x14ac:dyDescent="0.45">
      <c r="A2314">
        <v>496562</v>
      </c>
      <c r="B2314" t="s">
        <v>20776</v>
      </c>
      <c r="C2314" t="s">
        <v>20777</v>
      </c>
      <c r="D2314">
        <v>2</v>
      </c>
      <c r="F2314" s="126"/>
      <c r="G2314" s="7">
        <v>0</v>
      </c>
      <c r="H2314" s="7">
        <v>0</v>
      </c>
      <c r="I2314" s="7">
        <v>0</v>
      </c>
      <c r="J2314" s="7">
        <v>0</v>
      </c>
      <c r="K2314" s="3">
        <f t="shared" si="86"/>
        <v>0</v>
      </c>
      <c r="L2314" s="3"/>
      <c r="M2314" s="3">
        <f t="shared" ref="M2314:M2377" si="87">K2314+F2314</f>
        <v>0</v>
      </c>
      <c r="O2314" s="5"/>
      <c r="S2314" s="6"/>
    </row>
    <row r="2315" spans="1:19" customFormat="1" x14ac:dyDescent="0.45">
      <c r="A2315">
        <v>496729</v>
      </c>
      <c r="B2315" t="s">
        <v>20778</v>
      </c>
      <c r="C2315" t="s">
        <v>20779</v>
      </c>
      <c r="D2315">
        <v>4</v>
      </c>
      <c r="F2315" s="126"/>
      <c r="G2315" s="19"/>
      <c r="H2315" s="19"/>
      <c r="I2315" s="19"/>
      <c r="J2315" s="19"/>
      <c r="K2315" s="3">
        <f t="shared" si="86"/>
        <v>0</v>
      </c>
      <c r="L2315" s="3"/>
      <c r="M2315" s="3">
        <f t="shared" si="87"/>
        <v>0</v>
      </c>
      <c r="O2315" s="5"/>
      <c r="S2315" s="6"/>
    </row>
    <row r="2316" spans="1:19" customFormat="1" x14ac:dyDescent="0.45">
      <c r="A2316">
        <v>497107</v>
      </c>
      <c r="B2316" t="s">
        <v>20780</v>
      </c>
      <c r="C2316" t="s">
        <v>20781</v>
      </c>
      <c r="D2316">
        <v>3</v>
      </c>
      <c r="F2316" s="126"/>
      <c r="G2316" s="7">
        <v>0</v>
      </c>
      <c r="H2316" s="7">
        <v>0</v>
      </c>
      <c r="I2316" s="7">
        <v>0</v>
      </c>
      <c r="J2316" s="7">
        <v>0</v>
      </c>
      <c r="K2316" s="3">
        <f t="shared" si="86"/>
        <v>0</v>
      </c>
      <c r="L2316" s="3"/>
      <c r="M2316" s="3">
        <f t="shared" si="87"/>
        <v>0</v>
      </c>
      <c r="O2316" s="5"/>
      <c r="S2316" s="6"/>
    </row>
    <row r="2317" spans="1:19" customFormat="1" x14ac:dyDescent="0.45">
      <c r="A2317">
        <v>497130</v>
      </c>
      <c r="B2317" t="s">
        <v>20782</v>
      </c>
      <c r="C2317" t="s">
        <v>17178</v>
      </c>
      <c r="D2317">
        <v>56</v>
      </c>
      <c r="E2317" t="s">
        <v>16334</v>
      </c>
      <c r="F2317" s="126"/>
      <c r="G2317" s="3">
        <v>0</v>
      </c>
      <c r="H2317" s="3">
        <v>0</v>
      </c>
      <c r="I2317" s="3">
        <v>0</v>
      </c>
      <c r="J2317" s="3">
        <v>0</v>
      </c>
      <c r="K2317" s="3">
        <f t="shared" si="86"/>
        <v>0</v>
      </c>
      <c r="L2317" s="3"/>
      <c r="M2317" s="3">
        <f t="shared" si="87"/>
        <v>0</v>
      </c>
      <c r="O2317" s="5"/>
      <c r="S2317" s="6"/>
    </row>
    <row r="2318" spans="1:19" customFormat="1" x14ac:dyDescent="0.45">
      <c r="A2318">
        <v>497245</v>
      </c>
      <c r="B2318" t="s">
        <v>20783</v>
      </c>
      <c r="C2318" t="s">
        <v>16331</v>
      </c>
      <c r="D2318">
        <v>1</v>
      </c>
      <c r="E2318" t="s">
        <v>16331</v>
      </c>
      <c r="F2318" s="126"/>
      <c r="G2318" s="7">
        <v>0</v>
      </c>
      <c r="H2318" s="7">
        <v>0</v>
      </c>
      <c r="I2318" s="7">
        <v>0</v>
      </c>
      <c r="J2318" s="7">
        <v>0</v>
      </c>
      <c r="K2318" s="3">
        <f t="shared" si="86"/>
        <v>0</v>
      </c>
      <c r="L2318" s="3"/>
      <c r="M2318" s="3">
        <f t="shared" si="87"/>
        <v>0</v>
      </c>
      <c r="O2318" s="5"/>
      <c r="S2318" s="6"/>
    </row>
    <row r="2319" spans="1:19" customFormat="1" x14ac:dyDescent="0.45">
      <c r="A2319">
        <v>497332</v>
      </c>
      <c r="B2319" t="s">
        <v>20784</v>
      </c>
      <c r="C2319" s="2" t="s">
        <v>20785</v>
      </c>
      <c r="D2319">
        <v>1</v>
      </c>
      <c r="F2319" s="126"/>
      <c r="G2319" s="3">
        <v>0</v>
      </c>
      <c r="H2319" s="3">
        <v>0</v>
      </c>
      <c r="I2319" s="3">
        <v>0</v>
      </c>
      <c r="J2319" s="3">
        <v>0</v>
      </c>
      <c r="K2319" s="3">
        <f t="shared" si="86"/>
        <v>0</v>
      </c>
      <c r="L2319" s="3"/>
      <c r="M2319" s="3">
        <f t="shared" si="87"/>
        <v>0</v>
      </c>
      <c r="O2319" s="5"/>
      <c r="S2319" s="6"/>
    </row>
    <row r="2320" spans="1:19" customFormat="1" x14ac:dyDescent="0.45">
      <c r="A2320">
        <v>497519</v>
      </c>
      <c r="B2320" t="s">
        <v>20786</v>
      </c>
      <c r="C2320" t="s">
        <v>20787</v>
      </c>
      <c r="D2320">
        <v>5</v>
      </c>
      <c r="F2320" s="126"/>
      <c r="G2320" s="3">
        <v>0</v>
      </c>
      <c r="H2320" s="3">
        <v>0</v>
      </c>
      <c r="I2320" s="3">
        <v>0</v>
      </c>
      <c r="J2320" s="3">
        <v>0</v>
      </c>
      <c r="K2320" s="3">
        <f t="shared" si="86"/>
        <v>0</v>
      </c>
      <c r="L2320" s="3"/>
      <c r="M2320" s="3">
        <f t="shared" si="87"/>
        <v>0</v>
      </c>
      <c r="O2320" s="5"/>
      <c r="S2320" s="6"/>
    </row>
    <row r="2321" spans="1:24" x14ac:dyDescent="0.45">
      <c r="A2321" s="124">
        <v>612049</v>
      </c>
      <c r="B2321" s="124" t="s">
        <v>20788</v>
      </c>
      <c r="C2321" s="124" t="s">
        <v>20789</v>
      </c>
      <c r="D2321" s="124">
        <v>1</v>
      </c>
      <c r="E2321" s="124" t="s">
        <v>16334</v>
      </c>
      <c r="F2321" s="126">
        <v>1.6999999999999999E-3</v>
      </c>
      <c r="G2321" s="126">
        <v>0.02</v>
      </c>
      <c r="H2321" s="126">
        <v>5.0000000000000001E-3</v>
      </c>
      <c r="I2321" s="127">
        <v>0</v>
      </c>
      <c r="J2321" s="127">
        <v>0</v>
      </c>
      <c r="K2321" s="126">
        <f t="shared" si="86"/>
        <v>2.5000000000000001E-2</v>
      </c>
      <c r="L2321" s="3"/>
      <c r="M2321" s="126">
        <f t="shared" si="87"/>
        <v>2.6700000000000002E-2</v>
      </c>
      <c r="O2321" s="125" t="s">
        <v>20790</v>
      </c>
      <c r="P2321" s="128" t="s">
        <v>26918</v>
      </c>
      <c r="Q2321" s="124">
        <v>17326</v>
      </c>
      <c r="R2321" s="124" t="s">
        <v>16348</v>
      </c>
      <c r="S2321" s="130">
        <v>16244</v>
      </c>
      <c r="T2321" s="129">
        <f>S2321/Q2321</f>
        <v>0.93755050213551883</v>
      </c>
      <c r="V2321" s="125" t="s">
        <v>20791</v>
      </c>
    </row>
    <row r="2322" spans="1:24" customFormat="1" x14ac:dyDescent="0.45">
      <c r="A2322">
        <v>497616</v>
      </c>
      <c r="B2322" t="s">
        <v>20792</v>
      </c>
      <c r="C2322" t="s">
        <v>16331</v>
      </c>
      <c r="D2322">
        <v>1</v>
      </c>
      <c r="E2322" t="s">
        <v>16331</v>
      </c>
      <c r="F2322" s="126"/>
      <c r="G2322" s="7">
        <v>0</v>
      </c>
      <c r="H2322" s="7">
        <v>0</v>
      </c>
      <c r="I2322" s="7">
        <v>0</v>
      </c>
      <c r="J2322" s="7">
        <v>0</v>
      </c>
      <c r="K2322" s="3">
        <f t="shared" si="86"/>
        <v>0</v>
      </c>
      <c r="L2322" s="3"/>
      <c r="M2322" s="3">
        <f t="shared" si="87"/>
        <v>0</v>
      </c>
      <c r="O2322" s="5"/>
      <c r="S2322" s="6"/>
    </row>
    <row r="2323" spans="1:24" customFormat="1" x14ac:dyDescent="0.45">
      <c r="A2323">
        <v>497625</v>
      </c>
      <c r="B2323" t="s">
        <v>20793</v>
      </c>
      <c r="C2323" t="s">
        <v>20794</v>
      </c>
      <c r="D2323">
        <v>2</v>
      </c>
      <c r="F2323" s="126"/>
      <c r="G2323" s="7">
        <v>0</v>
      </c>
      <c r="H2323" s="7">
        <v>0</v>
      </c>
      <c r="I2323" s="7">
        <v>0</v>
      </c>
      <c r="J2323" s="7">
        <v>0</v>
      </c>
      <c r="K2323" s="3">
        <f t="shared" si="86"/>
        <v>0</v>
      </c>
      <c r="L2323" s="3"/>
      <c r="M2323" s="3">
        <f t="shared" si="87"/>
        <v>0</v>
      </c>
      <c r="O2323" s="5"/>
      <c r="S2323" s="6"/>
    </row>
    <row r="2324" spans="1:24" customFormat="1" x14ac:dyDescent="0.45">
      <c r="A2324">
        <v>497847</v>
      </c>
      <c r="B2324" t="s">
        <v>20795</v>
      </c>
      <c r="C2324" t="s">
        <v>20796</v>
      </c>
      <c r="D2324">
        <v>1</v>
      </c>
      <c r="F2324" s="126"/>
      <c r="G2324" s="3">
        <v>0</v>
      </c>
      <c r="H2324" s="3">
        <v>0</v>
      </c>
      <c r="I2324" s="3">
        <v>0</v>
      </c>
      <c r="J2324" s="3">
        <v>0</v>
      </c>
      <c r="K2324" s="3">
        <f t="shared" si="86"/>
        <v>0</v>
      </c>
      <c r="L2324" s="3"/>
      <c r="M2324" s="3">
        <f t="shared" si="87"/>
        <v>0</v>
      </c>
      <c r="O2324" s="5"/>
      <c r="S2324" s="6"/>
    </row>
    <row r="2325" spans="1:24" customFormat="1" x14ac:dyDescent="0.45">
      <c r="A2325">
        <v>497938</v>
      </c>
      <c r="B2325" t="s">
        <v>20797</v>
      </c>
      <c r="C2325" t="s">
        <v>20798</v>
      </c>
      <c r="D2325">
        <v>1</v>
      </c>
      <c r="F2325" s="126"/>
      <c r="G2325" s="7">
        <v>0</v>
      </c>
      <c r="H2325" s="7">
        <v>0</v>
      </c>
      <c r="I2325" s="7">
        <v>0</v>
      </c>
      <c r="J2325" s="7">
        <v>0</v>
      </c>
      <c r="K2325" s="3">
        <f t="shared" si="86"/>
        <v>0</v>
      </c>
      <c r="L2325" s="3"/>
      <c r="M2325" s="3">
        <f t="shared" si="87"/>
        <v>0</v>
      </c>
      <c r="O2325" s="5"/>
      <c r="S2325" s="6"/>
    </row>
    <row r="2326" spans="1:24" customFormat="1" x14ac:dyDescent="0.45">
      <c r="A2326">
        <v>497995</v>
      </c>
      <c r="B2326" t="s">
        <v>20799</v>
      </c>
      <c r="C2326" t="s">
        <v>16331</v>
      </c>
      <c r="D2326">
        <v>0</v>
      </c>
      <c r="E2326" t="s">
        <v>16331</v>
      </c>
      <c r="F2326" s="126"/>
      <c r="G2326" s="7">
        <v>0</v>
      </c>
      <c r="H2326" s="7">
        <v>0</v>
      </c>
      <c r="I2326" s="7">
        <v>0</v>
      </c>
      <c r="J2326" s="7">
        <v>0</v>
      </c>
      <c r="K2326" s="3">
        <f t="shared" si="86"/>
        <v>0</v>
      </c>
      <c r="L2326" s="3"/>
      <c r="M2326" s="3">
        <f t="shared" si="87"/>
        <v>0</v>
      </c>
      <c r="N2326" s="7"/>
      <c r="O2326" s="5"/>
      <c r="S2326" s="6"/>
    </row>
    <row r="2327" spans="1:24" customFormat="1" x14ac:dyDescent="0.45">
      <c r="A2327">
        <v>498199</v>
      </c>
      <c r="B2327" t="s">
        <v>20800</v>
      </c>
      <c r="C2327" t="s">
        <v>16331</v>
      </c>
      <c r="D2327">
        <v>2</v>
      </c>
      <c r="E2327" t="s">
        <v>16331</v>
      </c>
      <c r="F2327" s="126"/>
      <c r="G2327" s="7">
        <v>0</v>
      </c>
      <c r="H2327" s="3">
        <v>0</v>
      </c>
      <c r="I2327" s="3">
        <v>0</v>
      </c>
      <c r="J2327">
        <v>0</v>
      </c>
      <c r="K2327" s="3">
        <f t="shared" si="86"/>
        <v>0</v>
      </c>
      <c r="L2327" s="3"/>
      <c r="M2327" s="3">
        <f t="shared" si="87"/>
        <v>0</v>
      </c>
      <c r="O2327" s="5"/>
      <c r="S2327" s="6"/>
    </row>
    <row r="2328" spans="1:24" customFormat="1" x14ac:dyDescent="0.45">
      <c r="A2328">
        <v>498583</v>
      </c>
      <c r="B2328" t="s">
        <v>20801</v>
      </c>
      <c r="C2328" t="s">
        <v>20802</v>
      </c>
      <c r="D2328">
        <v>1</v>
      </c>
      <c r="F2328" s="126"/>
      <c r="G2328" s="7">
        <v>0</v>
      </c>
      <c r="H2328" s="7">
        <v>0</v>
      </c>
      <c r="I2328" s="7">
        <v>0</v>
      </c>
      <c r="J2328" s="7">
        <v>0</v>
      </c>
      <c r="K2328" s="3">
        <f t="shared" si="86"/>
        <v>0</v>
      </c>
      <c r="L2328" s="3"/>
      <c r="M2328" s="3">
        <f t="shared" si="87"/>
        <v>0</v>
      </c>
      <c r="O2328" s="5"/>
      <c r="S2328" s="6"/>
    </row>
    <row r="2329" spans="1:24" customFormat="1" x14ac:dyDescent="0.45">
      <c r="A2329">
        <v>498748</v>
      </c>
      <c r="B2329" t="s">
        <v>20803</v>
      </c>
      <c r="C2329" t="s">
        <v>20804</v>
      </c>
      <c r="D2329">
        <v>4</v>
      </c>
      <c r="F2329" s="126"/>
      <c r="K2329" s="3">
        <f t="shared" si="86"/>
        <v>0</v>
      </c>
      <c r="L2329" s="3"/>
      <c r="M2329" s="3">
        <f t="shared" si="87"/>
        <v>0</v>
      </c>
      <c r="O2329" s="5"/>
      <c r="S2329" s="6"/>
    </row>
    <row r="2330" spans="1:24" customFormat="1" x14ac:dyDescent="0.45">
      <c r="A2330">
        <v>498988</v>
      </c>
      <c r="B2330" t="s">
        <v>20805</v>
      </c>
      <c r="C2330" t="s">
        <v>20806</v>
      </c>
      <c r="D2330">
        <v>1</v>
      </c>
      <c r="F2330" s="126"/>
      <c r="G2330" s="7">
        <v>0</v>
      </c>
      <c r="H2330" s="7">
        <v>0</v>
      </c>
      <c r="I2330" s="7">
        <v>0</v>
      </c>
      <c r="J2330" s="7">
        <v>0</v>
      </c>
      <c r="K2330" s="3">
        <f t="shared" si="86"/>
        <v>0</v>
      </c>
      <c r="L2330" s="3"/>
      <c r="M2330" s="3">
        <f t="shared" si="87"/>
        <v>0</v>
      </c>
      <c r="O2330" s="5"/>
      <c r="S2330" s="6"/>
    </row>
    <row r="2331" spans="1:24" customFormat="1" x14ac:dyDescent="0.45">
      <c r="A2331">
        <v>499204</v>
      </c>
      <c r="B2331" t="s">
        <v>20807</v>
      </c>
      <c r="C2331" t="s">
        <v>20808</v>
      </c>
      <c r="D2331">
        <v>1</v>
      </c>
      <c r="F2331" s="126"/>
      <c r="G2331" s="7">
        <v>0</v>
      </c>
      <c r="H2331" s="7">
        <v>0</v>
      </c>
      <c r="I2331" s="7">
        <v>0</v>
      </c>
      <c r="J2331" s="7">
        <v>0</v>
      </c>
      <c r="K2331" s="3">
        <f t="shared" si="86"/>
        <v>0</v>
      </c>
      <c r="L2331" s="3"/>
      <c r="M2331" s="3">
        <f t="shared" si="87"/>
        <v>0</v>
      </c>
      <c r="N2331" s="7"/>
      <c r="O2331" s="5"/>
      <c r="S2331" s="6"/>
    </row>
    <row r="2332" spans="1:24" x14ac:dyDescent="0.45">
      <c r="A2332" s="124">
        <v>143190</v>
      </c>
      <c r="B2332" s="124" t="s">
        <v>20809</v>
      </c>
      <c r="C2332" s="124" t="s">
        <v>20810</v>
      </c>
      <c r="D2332" s="125">
        <v>1</v>
      </c>
      <c r="E2332" s="124" t="s">
        <v>16334</v>
      </c>
      <c r="F2332" s="126">
        <v>1.6999999999999999E-3</v>
      </c>
      <c r="G2332" s="126">
        <v>1.4999999999999999E-2</v>
      </c>
      <c r="I2332" s="127"/>
      <c r="J2332" s="127"/>
      <c r="K2332" s="126">
        <f t="shared" si="86"/>
        <v>1.4999999999999999E-2</v>
      </c>
      <c r="L2332" s="50"/>
      <c r="M2332" s="126">
        <f t="shared" si="87"/>
        <v>1.67E-2</v>
      </c>
      <c r="N2332" s="124" t="s">
        <v>20811</v>
      </c>
      <c r="O2332" s="125" t="s">
        <v>20812</v>
      </c>
      <c r="P2332" s="128" t="s">
        <v>26918</v>
      </c>
      <c r="Q2332" s="124">
        <v>1</v>
      </c>
      <c r="R2332" s="124" t="s">
        <v>16348</v>
      </c>
      <c r="S2332" s="130">
        <v>1</v>
      </c>
      <c r="T2332" s="129">
        <f>S2332/Q2332</f>
        <v>1</v>
      </c>
      <c r="V2332" s="125" t="s">
        <v>20813</v>
      </c>
      <c r="X2332" s="124" t="s">
        <v>20814</v>
      </c>
    </row>
    <row r="2333" spans="1:24" customFormat="1" x14ac:dyDescent="0.45">
      <c r="A2333">
        <v>499351</v>
      </c>
      <c r="B2333" t="s">
        <v>20815</v>
      </c>
      <c r="C2333" t="s">
        <v>18033</v>
      </c>
      <c r="D2333">
        <v>7</v>
      </c>
      <c r="F2333" s="126"/>
      <c r="G2333" s="3">
        <v>0</v>
      </c>
      <c r="H2333" s="3">
        <v>0</v>
      </c>
      <c r="I2333" s="3">
        <v>0</v>
      </c>
      <c r="J2333" s="3">
        <v>0</v>
      </c>
      <c r="K2333" s="3">
        <f t="shared" si="86"/>
        <v>0</v>
      </c>
      <c r="L2333" s="3"/>
      <c r="M2333" s="3">
        <f t="shared" si="87"/>
        <v>0</v>
      </c>
      <c r="O2333" s="5"/>
      <c r="S2333" s="6"/>
    </row>
    <row r="2334" spans="1:24" customFormat="1" x14ac:dyDescent="0.45">
      <c r="A2334">
        <v>499460</v>
      </c>
      <c r="B2334" t="s">
        <v>20816</v>
      </c>
      <c r="C2334" t="s">
        <v>20817</v>
      </c>
      <c r="D2334">
        <v>14</v>
      </c>
      <c r="F2334" s="126"/>
      <c r="K2334" s="3">
        <f t="shared" si="86"/>
        <v>0</v>
      </c>
      <c r="L2334" s="3"/>
      <c r="M2334" s="3">
        <f t="shared" si="87"/>
        <v>0</v>
      </c>
      <c r="O2334" s="5"/>
      <c r="S2334" s="6"/>
    </row>
    <row r="2335" spans="1:24" customFormat="1" x14ac:dyDescent="0.45">
      <c r="A2335">
        <v>499510</v>
      </c>
      <c r="B2335" t="s">
        <v>20818</v>
      </c>
      <c r="C2335" t="s">
        <v>20819</v>
      </c>
      <c r="D2335">
        <v>148</v>
      </c>
      <c r="E2335" t="s">
        <v>16417</v>
      </c>
      <c r="F2335" s="126"/>
      <c r="G2335" s="36">
        <v>0</v>
      </c>
      <c r="H2335" s="36">
        <v>0</v>
      </c>
      <c r="I2335" s="36"/>
      <c r="J2335" s="36"/>
      <c r="K2335" s="3">
        <f t="shared" si="86"/>
        <v>0</v>
      </c>
      <c r="L2335" s="3"/>
      <c r="M2335" s="3">
        <f t="shared" si="87"/>
        <v>0</v>
      </c>
      <c r="O2335" s="5"/>
      <c r="S2335" s="6"/>
    </row>
    <row r="2336" spans="1:24" customFormat="1" x14ac:dyDescent="0.45">
      <c r="A2336">
        <v>499727</v>
      </c>
      <c r="B2336" t="s">
        <v>20820</v>
      </c>
      <c r="C2336" t="s">
        <v>16331</v>
      </c>
      <c r="D2336">
        <v>0</v>
      </c>
      <c r="E2336" t="s">
        <v>16331</v>
      </c>
      <c r="F2336" s="126"/>
      <c r="G2336" s="7">
        <v>0</v>
      </c>
      <c r="H2336" s="7">
        <v>0</v>
      </c>
      <c r="I2336" s="7">
        <v>0</v>
      </c>
      <c r="J2336" s="7">
        <v>0</v>
      </c>
      <c r="K2336" s="3">
        <f t="shared" si="86"/>
        <v>0</v>
      </c>
      <c r="L2336" s="3"/>
      <c r="M2336" s="3">
        <f t="shared" si="87"/>
        <v>0</v>
      </c>
      <c r="O2336" s="5"/>
      <c r="S2336" s="6"/>
    </row>
    <row r="2337" spans="1:19" customFormat="1" x14ac:dyDescent="0.45">
      <c r="A2337">
        <v>500145</v>
      </c>
      <c r="B2337" t="s">
        <v>20821</v>
      </c>
      <c r="C2337" t="s">
        <v>16331</v>
      </c>
      <c r="D2337">
        <v>1</v>
      </c>
      <c r="E2337" t="s">
        <v>16331</v>
      </c>
      <c r="F2337" s="126"/>
      <c r="K2337" s="3">
        <f t="shared" si="86"/>
        <v>0</v>
      </c>
      <c r="L2337" s="3"/>
      <c r="M2337" s="3">
        <f t="shared" si="87"/>
        <v>0</v>
      </c>
      <c r="O2337" s="5"/>
      <c r="S2337" s="6"/>
    </row>
    <row r="2338" spans="1:19" customFormat="1" x14ac:dyDescent="0.45">
      <c r="A2338">
        <v>500255</v>
      </c>
      <c r="B2338" t="s">
        <v>20822</v>
      </c>
      <c r="C2338" t="s">
        <v>16331</v>
      </c>
      <c r="D2338">
        <v>0</v>
      </c>
      <c r="E2338" t="s">
        <v>16331</v>
      </c>
      <c r="F2338" s="126"/>
      <c r="K2338" s="3">
        <f t="shared" si="86"/>
        <v>0</v>
      </c>
      <c r="L2338" s="3"/>
      <c r="M2338" s="3">
        <f t="shared" si="87"/>
        <v>0</v>
      </c>
      <c r="O2338" s="5"/>
      <c r="S2338" s="6"/>
    </row>
    <row r="2339" spans="1:19" customFormat="1" x14ac:dyDescent="0.45">
      <c r="A2339">
        <v>500547</v>
      </c>
      <c r="B2339" t="s">
        <v>20823</v>
      </c>
      <c r="C2339" t="s">
        <v>20824</v>
      </c>
      <c r="D2339">
        <v>3</v>
      </c>
      <c r="F2339" s="126"/>
      <c r="G2339" s="7">
        <v>0</v>
      </c>
      <c r="H2339" s="7">
        <v>0</v>
      </c>
      <c r="I2339" s="7">
        <v>0</v>
      </c>
      <c r="J2339" s="7">
        <v>0</v>
      </c>
      <c r="K2339" s="3">
        <f t="shared" si="86"/>
        <v>0</v>
      </c>
      <c r="L2339" s="3"/>
      <c r="M2339" s="3">
        <f t="shared" si="87"/>
        <v>0</v>
      </c>
      <c r="O2339" s="5"/>
      <c r="S2339" s="6"/>
    </row>
    <row r="2340" spans="1:19" customFormat="1" x14ac:dyDescent="0.45">
      <c r="A2340">
        <v>500654</v>
      </c>
      <c r="B2340" t="s">
        <v>20825</v>
      </c>
      <c r="C2340" t="s">
        <v>16331</v>
      </c>
      <c r="D2340">
        <v>6</v>
      </c>
      <c r="E2340" t="s">
        <v>16331</v>
      </c>
      <c r="F2340" s="126"/>
      <c r="G2340" s="7">
        <v>0</v>
      </c>
      <c r="H2340" s="7">
        <v>0</v>
      </c>
      <c r="I2340" s="7">
        <v>0</v>
      </c>
      <c r="J2340" s="7">
        <v>0</v>
      </c>
      <c r="K2340" s="3">
        <f t="shared" si="86"/>
        <v>0</v>
      </c>
      <c r="L2340" s="3"/>
      <c r="M2340" s="3">
        <f t="shared" si="87"/>
        <v>0</v>
      </c>
      <c r="O2340" s="5"/>
      <c r="S2340" s="6"/>
    </row>
    <row r="2341" spans="1:19" customFormat="1" x14ac:dyDescent="0.45">
      <c r="A2341">
        <v>500709</v>
      </c>
      <c r="B2341" t="s">
        <v>20826</v>
      </c>
      <c r="C2341" t="s">
        <v>20827</v>
      </c>
      <c r="D2341">
        <v>2</v>
      </c>
      <c r="F2341" s="126"/>
      <c r="K2341" s="3">
        <f t="shared" si="86"/>
        <v>0</v>
      </c>
      <c r="L2341" s="3"/>
      <c r="M2341" s="3">
        <f t="shared" si="87"/>
        <v>0</v>
      </c>
      <c r="O2341" s="5"/>
      <c r="S2341" s="6"/>
    </row>
    <row r="2342" spans="1:19" customFormat="1" x14ac:dyDescent="0.45">
      <c r="A2342">
        <v>500863</v>
      </c>
      <c r="B2342" t="s">
        <v>20828</v>
      </c>
      <c r="C2342" t="s">
        <v>20829</v>
      </c>
      <c r="D2342">
        <v>1</v>
      </c>
      <c r="F2342" s="126"/>
      <c r="G2342" s="3">
        <v>0</v>
      </c>
      <c r="H2342" s="3">
        <v>0</v>
      </c>
      <c r="I2342" s="3">
        <v>0</v>
      </c>
      <c r="J2342" s="3">
        <v>0</v>
      </c>
      <c r="K2342" s="3">
        <f t="shared" si="86"/>
        <v>0</v>
      </c>
      <c r="L2342" s="3"/>
      <c r="M2342" s="3">
        <f t="shared" si="87"/>
        <v>0</v>
      </c>
      <c r="O2342" s="5"/>
      <c r="S2342" s="6"/>
    </row>
    <row r="2343" spans="1:19" customFormat="1" x14ac:dyDescent="0.45">
      <c r="A2343">
        <v>500906</v>
      </c>
      <c r="B2343" t="s">
        <v>20830</v>
      </c>
      <c r="C2343" t="s">
        <v>16331</v>
      </c>
      <c r="D2343">
        <v>1</v>
      </c>
      <c r="E2343" t="s">
        <v>16331</v>
      </c>
      <c r="F2343" s="126"/>
      <c r="G2343" s="7">
        <v>0</v>
      </c>
      <c r="H2343" s="7">
        <v>0</v>
      </c>
      <c r="I2343" s="7">
        <v>0</v>
      </c>
      <c r="J2343" s="7">
        <v>0</v>
      </c>
      <c r="K2343" s="3">
        <f t="shared" si="86"/>
        <v>0</v>
      </c>
      <c r="L2343" s="3"/>
      <c r="M2343" s="3">
        <f t="shared" si="87"/>
        <v>0</v>
      </c>
      <c r="O2343" s="5"/>
      <c r="S2343" s="6"/>
    </row>
    <row r="2344" spans="1:19" customFormat="1" x14ac:dyDescent="0.45">
      <c r="A2344">
        <v>501064</v>
      </c>
      <c r="B2344" t="s">
        <v>20831</v>
      </c>
      <c r="C2344" t="s">
        <v>20832</v>
      </c>
      <c r="D2344">
        <v>2</v>
      </c>
      <c r="F2344" s="126"/>
      <c r="G2344" s="3">
        <v>0</v>
      </c>
      <c r="H2344" s="3">
        <v>0</v>
      </c>
      <c r="I2344" s="3">
        <v>0</v>
      </c>
      <c r="J2344" s="3">
        <v>0</v>
      </c>
      <c r="K2344" s="3">
        <f t="shared" si="86"/>
        <v>0</v>
      </c>
      <c r="L2344" s="3"/>
      <c r="M2344" s="3">
        <f t="shared" si="87"/>
        <v>0</v>
      </c>
      <c r="O2344" s="5"/>
      <c r="S2344" s="6"/>
    </row>
    <row r="2345" spans="1:19" customFormat="1" x14ac:dyDescent="0.45">
      <c r="A2345">
        <v>501409</v>
      </c>
      <c r="B2345" t="s">
        <v>20833</v>
      </c>
      <c r="C2345" s="2" t="s">
        <v>20834</v>
      </c>
      <c r="D2345">
        <v>1</v>
      </c>
      <c r="F2345" s="126"/>
      <c r="G2345" s="3">
        <v>0</v>
      </c>
      <c r="H2345" s="3">
        <v>0</v>
      </c>
      <c r="I2345" s="3">
        <v>0</v>
      </c>
      <c r="J2345" s="3">
        <v>0</v>
      </c>
      <c r="K2345" s="3">
        <f t="shared" si="86"/>
        <v>0</v>
      </c>
      <c r="L2345" s="3"/>
      <c r="M2345" s="3">
        <f t="shared" si="87"/>
        <v>0</v>
      </c>
      <c r="O2345" s="5"/>
      <c r="S2345" s="6"/>
    </row>
    <row r="2346" spans="1:19" customFormat="1" x14ac:dyDescent="0.45">
      <c r="A2346">
        <v>501593</v>
      </c>
      <c r="B2346" t="s">
        <v>20835</v>
      </c>
      <c r="C2346" t="s">
        <v>20836</v>
      </c>
      <c r="D2346">
        <v>3</v>
      </c>
      <c r="F2346" s="126"/>
      <c r="K2346" s="3">
        <f t="shared" si="86"/>
        <v>0</v>
      </c>
      <c r="L2346" s="3"/>
      <c r="M2346" s="3">
        <f t="shared" si="87"/>
        <v>0</v>
      </c>
      <c r="O2346" s="5"/>
      <c r="S2346" s="6"/>
    </row>
    <row r="2347" spans="1:19" customFormat="1" x14ac:dyDescent="0.45">
      <c r="A2347">
        <v>501695</v>
      </c>
      <c r="B2347" t="s">
        <v>20837</v>
      </c>
      <c r="C2347" t="s">
        <v>16331</v>
      </c>
      <c r="D2347">
        <v>7</v>
      </c>
      <c r="E2347" t="s">
        <v>16331</v>
      </c>
      <c r="F2347" s="126"/>
      <c r="G2347" s="7">
        <v>0</v>
      </c>
      <c r="H2347" s="7">
        <v>0</v>
      </c>
      <c r="I2347" s="7">
        <v>0</v>
      </c>
      <c r="J2347" s="7">
        <v>0</v>
      </c>
      <c r="K2347" s="3">
        <f t="shared" si="86"/>
        <v>0</v>
      </c>
      <c r="L2347" s="3"/>
      <c r="M2347" s="3">
        <f t="shared" si="87"/>
        <v>0</v>
      </c>
      <c r="O2347" s="5"/>
      <c r="S2347" s="6"/>
    </row>
    <row r="2348" spans="1:19" customFormat="1" x14ac:dyDescent="0.45">
      <c r="A2348">
        <v>501806</v>
      </c>
      <c r="B2348" t="s">
        <v>20838</v>
      </c>
      <c r="C2348" t="s">
        <v>20839</v>
      </c>
      <c r="D2348">
        <v>3</v>
      </c>
      <c r="F2348" s="126"/>
      <c r="G2348" s="7">
        <v>0</v>
      </c>
      <c r="H2348" s="7">
        <v>0</v>
      </c>
      <c r="I2348" s="7">
        <v>0</v>
      </c>
      <c r="J2348" s="7">
        <v>0</v>
      </c>
      <c r="K2348" s="3">
        <f t="shared" ref="K2348:K2411" si="88">SUM(G2348:J2348)</f>
        <v>0</v>
      </c>
      <c r="L2348" s="3"/>
      <c r="M2348" s="3">
        <f t="shared" si="87"/>
        <v>0</v>
      </c>
      <c r="O2348" s="5"/>
      <c r="S2348" s="6"/>
    </row>
    <row r="2349" spans="1:19" customFormat="1" x14ac:dyDescent="0.45">
      <c r="A2349">
        <v>501819</v>
      </c>
      <c r="B2349" t="s">
        <v>20840</v>
      </c>
      <c r="C2349" t="s">
        <v>16331</v>
      </c>
      <c r="D2349">
        <v>1</v>
      </c>
      <c r="E2349" t="s">
        <v>16331</v>
      </c>
      <c r="F2349" s="126"/>
      <c r="G2349" s="7">
        <v>0</v>
      </c>
      <c r="H2349" s="7">
        <v>0</v>
      </c>
      <c r="I2349" s="7">
        <v>0</v>
      </c>
      <c r="J2349" s="7">
        <v>0</v>
      </c>
      <c r="K2349" s="3">
        <f t="shared" si="88"/>
        <v>0</v>
      </c>
      <c r="L2349" s="3"/>
      <c r="M2349" s="3">
        <f t="shared" si="87"/>
        <v>0</v>
      </c>
      <c r="O2349" s="5"/>
      <c r="S2349" s="6"/>
    </row>
    <row r="2350" spans="1:19" customFormat="1" x14ac:dyDescent="0.45">
      <c r="A2350">
        <v>501839</v>
      </c>
      <c r="B2350" t="s">
        <v>20841</v>
      </c>
      <c r="C2350" t="s">
        <v>16331</v>
      </c>
      <c r="D2350">
        <v>2</v>
      </c>
      <c r="E2350" t="s">
        <v>16331</v>
      </c>
      <c r="F2350" s="126"/>
      <c r="G2350" s="7">
        <v>0</v>
      </c>
      <c r="H2350" s="7">
        <v>0</v>
      </c>
      <c r="I2350" s="7">
        <v>0</v>
      </c>
      <c r="J2350" s="7">
        <v>0</v>
      </c>
      <c r="K2350" s="3">
        <f t="shared" si="88"/>
        <v>0</v>
      </c>
      <c r="L2350" s="3"/>
      <c r="M2350" s="3">
        <f t="shared" si="87"/>
        <v>0</v>
      </c>
      <c r="O2350" s="5"/>
      <c r="S2350" s="6"/>
    </row>
    <row r="2351" spans="1:19" customFormat="1" x14ac:dyDescent="0.45">
      <c r="A2351">
        <v>501854</v>
      </c>
      <c r="B2351" t="s">
        <v>20842</v>
      </c>
      <c r="C2351" t="s">
        <v>20843</v>
      </c>
      <c r="D2351">
        <v>4</v>
      </c>
      <c r="F2351" s="126"/>
      <c r="G2351" s="3">
        <v>0</v>
      </c>
      <c r="H2351" s="3">
        <v>0</v>
      </c>
      <c r="I2351" s="3">
        <v>0</v>
      </c>
      <c r="J2351" s="3">
        <v>0</v>
      </c>
      <c r="K2351" s="3">
        <f t="shared" si="88"/>
        <v>0</v>
      </c>
      <c r="L2351" s="3"/>
      <c r="M2351" s="3">
        <f t="shared" si="87"/>
        <v>0</v>
      </c>
      <c r="O2351" s="5"/>
      <c r="S2351" s="6"/>
    </row>
    <row r="2352" spans="1:19" customFormat="1" x14ac:dyDescent="0.45">
      <c r="A2352">
        <v>501867</v>
      </c>
      <c r="B2352" t="s">
        <v>20844</v>
      </c>
      <c r="C2352" t="s">
        <v>16331</v>
      </c>
      <c r="D2352">
        <v>0</v>
      </c>
      <c r="E2352" t="s">
        <v>16331</v>
      </c>
      <c r="F2352" s="126"/>
      <c r="G2352" s="7">
        <v>0</v>
      </c>
      <c r="H2352" s="7">
        <v>0</v>
      </c>
      <c r="I2352" s="7">
        <v>0</v>
      </c>
      <c r="J2352" s="7">
        <v>0</v>
      </c>
      <c r="K2352" s="3">
        <f t="shared" si="88"/>
        <v>0</v>
      </c>
      <c r="L2352" s="3"/>
      <c r="M2352" s="3">
        <f t="shared" si="87"/>
        <v>0</v>
      </c>
      <c r="O2352" s="5"/>
      <c r="S2352" s="6"/>
    </row>
    <row r="2353" spans="1:19" customFormat="1" x14ac:dyDescent="0.45">
      <c r="A2353">
        <v>501873</v>
      </c>
      <c r="B2353" t="s">
        <v>20845</v>
      </c>
      <c r="C2353" t="s">
        <v>20846</v>
      </c>
      <c r="D2353">
        <v>1</v>
      </c>
      <c r="F2353" s="126"/>
      <c r="G2353" s="3">
        <v>0</v>
      </c>
      <c r="H2353" s="3">
        <v>0</v>
      </c>
      <c r="I2353" s="3">
        <v>0</v>
      </c>
      <c r="J2353" s="3">
        <v>0</v>
      </c>
      <c r="K2353" s="3">
        <f t="shared" si="88"/>
        <v>0</v>
      </c>
      <c r="L2353" s="3"/>
      <c r="M2353" s="3">
        <f t="shared" si="87"/>
        <v>0</v>
      </c>
      <c r="O2353" s="5"/>
      <c r="S2353" s="6"/>
    </row>
    <row r="2354" spans="1:19" customFormat="1" x14ac:dyDescent="0.45">
      <c r="A2354">
        <v>501917</v>
      </c>
      <c r="B2354" t="s">
        <v>20847</v>
      </c>
      <c r="C2354" t="s">
        <v>20848</v>
      </c>
      <c r="D2354">
        <v>15</v>
      </c>
      <c r="F2354" s="126"/>
      <c r="G2354" s="7">
        <v>0</v>
      </c>
      <c r="H2354" s="7">
        <v>0</v>
      </c>
      <c r="I2354" s="7">
        <v>0</v>
      </c>
      <c r="J2354" s="7">
        <v>0</v>
      </c>
      <c r="K2354" s="3">
        <f t="shared" si="88"/>
        <v>0</v>
      </c>
      <c r="L2354" s="3"/>
      <c r="M2354" s="3">
        <f t="shared" si="87"/>
        <v>0</v>
      </c>
      <c r="O2354" s="5"/>
      <c r="S2354" s="6"/>
    </row>
    <row r="2355" spans="1:19" customFormat="1" x14ac:dyDescent="0.45">
      <c r="A2355">
        <v>501953</v>
      </c>
      <c r="B2355" t="s">
        <v>20849</v>
      </c>
      <c r="C2355" t="s">
        <v>16331</v>
      </c>
      <c r="D2355">
        <v>1</v>
      </c>
      <c r="E2355" t="s">
        <v>16331</v>
      </c>
      <c r="F2355" s="126"/>
      <c r="G2355" s="7">
        <v>0</v>
      </c>
      <c r="H2355" s="7">
        <v>0</v>
      </c>
      <c r="I2355" s="7">
        <v>0</v>
      </c>
      <c r="J2355" s="7">
        <v>0</v>
      </c>
      <c r="K2355" s="3">
        <f t="shared" si="88"/>
        <v>0</v>
      </c>
      <c r="L2355" s="3"/>
      <c r="M2355" s="3">
        <f t="shared" si="87"/>
        <v>0</v>
      </c>
      <c r="O2355" s="5"/>
      <c r="S2355" s="6"/>
    </row>
    <row r="2356" spans="1:19" customFormat="1" x14ac:dyDescent="0.45">
      <c r="A2356">
        <v>502077</v>
      </c>
      <c r="B2356" t="s">
        <v>20850</v>
      </c>
      <c r="C2356" t="s">
        <v>20851</v>
      </c>
      <c r="D2356">
        <v>3</v>
      </c>
      <c r="F2356" s="126"/>
      <c r="G2356" s="7">
        <v>0</v>
      </c>
      <c r="H2356" s="7">
        <v>0</v>
      </c>
      <c r="I2356" s="7">
        <v>0</v>
      </c>
      <c r="J2356" s="7">
        <v>0</v>
      </c>
      <c r="K2356" s="3">
        <f t="shared" si="88"/>
        <v>0</v>
      </c>
      <c r="L2356" s="3"/>
      <c r="M2356" s="3">
        <f t="shared" si="87"/>
        <v>0</v>
      </c>
      <c r="O2356" s="5"/>
      <c r="S2356" s="6"/>
    </row>
    <row r="2357" spans="1:19" customFormat="1" x14ac:dyDescent="0.45">
      <c r="A2357">
        <v>502088</v>
      </c>
      <c r="B2357" t="s">
        <v>20852</v>
      </c>
      <c r="C2357" t="s">
        <v>20853</v>
      </c>
      <c r="D2357">
        <v>0</v>
      </c>
      <c r="E2357" t="s">
        <v>16334</v>
      </c>
      <c r="F2357" s="126"/>
      <c r="G2357" s="3">
        <v>0</v>
      </c>
      <c r="H2357" s="3">
        <v>0</v>
      </c>
      <c r="I2357" s="3">
        <v>0</v>
      </c>
      <c r="J2357" s="3">
        <v>0</v>
      </c>
      <c r="K2357" s="3">
        <f t="shared" si="88"/>
        <v>0</v>
      </c>
      <c r="L2357" s="3"/>
      <c r="M2357" s="3">
        <f t="shared" si="87"/>
        <v>0</v>
      </c>
      <c r="O2357" s="5"/>
      <c r="S2357" s="6"/>
    </row>
    <row r="2358" spans="1:19" customFormat="1" x14ac:dyDescent="0.45">
      <c r="A2358">
        <v>502096</v>
      </c>
      <c r="B2358" t="s">
        <v>20854</v>
      </c>
      <c r="C2358" t="s">
        <v>20855</v>
      </c>
      <c r="D2358">
        <v>1</v>
      </c>
      <c r="F2358" s="126"/>
      <c r="G2358" s="3">
        <v>0</v>
      </c>
      <c r="H2358" s="3">
        <v>0</v>
      </c>
      <c r="I2358" s="3">
        <v>0</v>
      </c>
      <c r="J2358" s="3">
        <v>0</v>
      </c>
      <c r="K2358" s="3">
        <f t="shared" si="88"/>
        <v>0</v>
      </c>
      <c r="L2358" s="3"/>
      <c r="M2358" s="3">
        <f t="shared" si="87"/>
        <v>0</v>
      </c>
      <c r="O2358" s="5"/>
      <c r="S2358" s="6"/>
    </row>
    <row r="2359" spans="1:19" customFormat="1" x14ac:dyDescent="0.45">
      <c r="A2359">
        <v>502242</v>
      </c>
      <c r="B2359" t="s">
        <v>20856</v>
      </c>
      <c r="C2359" t="s">
        <v>20857</v>
      </c>
      <c r="D2359">
        <v>3</v>
      </c>
      <c r="F2359" s="126"/>
      <c r="G2359" s="7">
        <v>0</v>
      </c>
      <c r="H2359" s="7">
        <v>0</v>
      </c>
      <c r="I2359" s="7">
        <v>0</v>
      </c>
      <c r="J2359" s="7">
        <v>0</v>
      </c>
      <c r="K2359" s="3">
        <f t="shared" si="88"/>
        <v>0</v>
      </c>
      <c r="L2359" s="3"/>
      <c r="M2359" s="3">
        <f t="shared" si="87"/>
        <v>0</v>
      </c>
      <c r="O2359" s="5"/>
      <c r="S2359" s="6"/>
    </row>
    <row r="2360" spans="1:19" customFormat="1" x14ac:dyDescent="0.45">
      <c r="A2360">
        <v>502263</v>
      </c>
      <c r="B2360" t="s">
        <v>20858</v>
      </c>
      <c r="C2360" t="s">
        <v>20859</v>
      </c>
      <c r="D2360">
        <v>1</v>
      </c>
      <c r="F2360" s="126"/>
      <c r="G2360" s="7">
        <v>0</v>
      </c>
      <c r="H2360" s="7">
        <v>0</v>
      </c>
      <c r="I2360" s="7">
        <v>0</v>
      </c>
      <c r="J2360" s="7">
        <v>0</v>
      </c>
      <c r="K2360" s="3">
        <f t="shared" si="88"/>
        <v>0</v>
      </c>
      <c r="L2360" s="3"/>
      <c r="M2360" s="3">
        <f t="shared" si="87"/>
        <v>0</v>
      </c>
      <c r="N2360" s="7"/>
      <c r="O2360" s="5"/>
      <c r="S2360" s="6"/>
    </row>
    <row r="2361" spans="1:19" customFormat="1" x14ac:dyDescent="0.45">
      <c r="A2361">
        <v>502281</v>
      </c>
      <c r="B2361" t="s">
        <v>20860</v>
      </c>
      <c r="C2361" t="s">
        <v>20861</v>
      </c>
      <c r="D2361">
        <v>1</v>
      </c>
      <c r="F2361" s="126"/>
      <c r="G2361" s="7">
        <v>0</v>
      </c>
      <c r="H2361" s="7">
        <v>0</v>
      </c>
      <c r="I2361" s="7">
        <v>0</v>
      </c>
      <c r="J2361" s="7">
        <v>0</v>
      </c>
      <c r="K2361" s="3">
        <f t="shared" si="88"/>
        <v>0</v>
      </c>
      <c r="L2361" s="3"/>
      <c r="M2361" s="3">
        <f t="shared" si="87"/>
        <v>0</v>
      </c>
      <c r="O2361" s="5"/>
      <c r="S2361" s="6"/>
    </row>
    <row r="2362" spans="1:19" customFormat="1" x14ac:dyDescent="0.45">
      <c r="A2362">
        <v>502319</v>
      </c>
      <c r="B2362" t="s">
        <v>20862</v>
      </c>
      <c r="C2362" t="s">
        <v>20863</v>
      </c>
      <c r="D2362">
        <v>1</v>
      </c>
      <c r="F2362" s="126"/>
      <c r="G2362" s="7">
        <v>0</v>
      </c>
      <c r="H2362" s="7">
        <v>0</v>
      </c>
      <c r="I2362" s="7">
        <v>0</v>
      </c>
      <c r="J2362" s="7">
        <v>0</v>
      </c>
      <c r="K2362" s="3">
        <f t="shared" si="88"/>
        <v>0</v>
      </c>
      <c r="L2362" s="3"/>
      <c r="M2362" s="3">
        <f t="shared" si="87"/>
        <v>0</v>
      </c>
      <c r="O2362" s="5"/>
      <c r="S2362" s="6"/>
    </row>
    <row r="2363" spans="1:19" customFormat="1" x14ac:dyDescent="0.45">
      <c r="A2363">
        <v>502399</v>
      </c>
      <c r="B2363" t="s">
        <v>20864</v>
      </c>
      <c r="C2363" t="s">
        <v>20865</v>
      </c>
      <c r="D2363">
        <v>1</v>
      </c>
      <c r="F2363" s="126"/>
      <c r="G2363" s="7">
        <v>0</v>
      </c>
      <c r="H2363" s="7">
        <v>0</v>
      </c>
      <c r="I2363" s="7">
        <v>0</v>
      </c>
      <c r="J2363" s="7">
        <v>0</v>
      </c>
      <c r="K2363" s="3">
        <f t="shared" si="88"/>
        <v>0</v>
      </c>
      <c r="L2363" s="3"/>
      <c r="M2363" s="3">
        <f t="shared" si="87"/>
        <v>0</v>
      </c>
      <c r="O2363" s="5"/>
      <c r="S2363" s="6"/>
    </row>
    <row r="2364" spans="1:19" customFormat="1" x14ac:dyDescent="0.45">
      <c r="A2364">
        <v>502476</v>
      </c>
      <c r="B2364" t="s">
        <v>20866</v>
      </c>
      <c r="C2364" t="s">
        <v>20867</v>
      </c>
      <c r="D2364">
        <v>2</v>
      </c>
      <c r="F2364" s="126"/>
      <c r="G2364" s="7">
        <v>0</v>
      </c>
      <c r="H2364" s="7">
        <v>0</v>
      </c>
      <c r="I2364" s="7">
        <v>0</v>
      </c>
      <c r="J2364" s="7">
        <v>0</v>
      </c>
      <c r="K2364" s="3">
        <f t="shared" si="88"/>
        <v>0</v>
      </c>
      <c r="L2364" s="3"/>
      <c r="M2364" s="3">
        <f t="shared" si="87"/>
        <v>0</v>
      </c>
      <c r="O2364" s="5"/>
      <c r="S2364" s="6"/>
    </row>
    <row r="2365" spans="1:19" customFormat="1" x14ac:dyDescent="0.45">
      <c r="A2365">
        <v>502537</v>
      </c>
      <c r="B2365" t="s">
        <v>20868</v>
      </c>
      <c r="C2365" t="s">
        <v>16331</v>
      </c>
      <c r="D2365">
        <v>1</v>
      </c>
      <c r="E2365" t="s">
        <v>16331</v>
      </c>
      <c r="F2365" s="126"/>
      <c r="G2365" s="7">
        <v>0</v>
      </c>
      <c r="H2365" s="7">
        <v>0</v>
      </c>
      <c r="I2365" s="7">
        <v>0</v>
      </c>
      <c r="J2365" s="7">
        <v>0</v>
      </c>
      <c r="K2365" s="3">
        <f t="shared" si="88"/>
        <v>0</v>
      </c>
      <c r="L2365" s="3"/>
      <c r="M2365" s="3">
        <f t="shared" si="87"/>
        <v>0</v>
      </c>
      <c r="O2365" s="5"/>
      <c r="S2365" s="6"/>
    </row>
    <row r="2366" spans="1:19" customFormat="1" x14ac:dyDescent="0.45">
      <c r="A2366">
        <v>502589</v>
      </c>
      <c r="B2366" t="s">
        <v>20869</v>
      </c>
      <c r="C2366" t="s">
        <v>16331</v>
      </c>
      <c r="D2366">
        <v>0</v>
      </c>
      <c r="E2366" t="s">
        <v>16331</v>
      </c>
      <c r="F2366" s="126"/>
      <c r="G2366" s="7">
        <v>0</v>
      </c>
      <c r="H2366" s="7">
        <v>0</v>
      </c>
      <c r="I2366" s="7">
        <v>0</v>
      </c>
      <c r="J2366" s="7">
        <v>0</v>
      </c>
      <c r="K2366" s="3">
        <f t="shared" si="88"/>
        <v>0</v>
      </c>
      <c r="L2366" s="3"/>
      <c r="M2366" s="3">
        <f t="shared" si="87"/>
        <v>0</v>
      </c>
      <c r="O2366" s="5"/>
      <c r="S2366" s="6"/>
    </row>
    <row r="2367" spans="1:19" customFormat="1" x14ac:dyDescent="0.45">
      <c r="A2367">
        <v>502829</v>
      </c>
      <c r="B2367" t="s">
        <v>20870</v>
      </c>
      <c r="C2367" t="s">
        <v>20871</v>
      </c>
      <c r="D2367">
        <v>2</v>
      </c>
      <c r="F2367" s="126"/>
      <c r="G2367" s="3">
        <v>0</v>
      </c>
      <c r="H2367" s="3">
        <v>0</v>
      </c>
      <c r="I2367" s="3">
        <v>0</v>
      </c>
      <c r="J2367" s="3">
        <v>0</v>
      </c>
      <c r="K2367" s="3">
        <f t="shared" si="88"/>
        <v>0</v>
      </c>
      <c r="L2367" s="3"/>
      <c r="M2367" s="3">
        <f t="shared" si="87"/>
        <v>0</v>
      </c>
      <c r="O2367" s="5"/>
      <c r="S2367" s="6"/>
    </row>
    <row r="2368" spans="1:19" customFormat="1" x14ac:dyDescent="0.45">
      <c r="A2368">
        <v>502830</v>
      </c>
      <c r="B2368" t="s">
        <v>20872</v>
      </c>
      <c r="C2368" t="s">
        <v>20873</v>
      </c>
      <c r="D2368">
        <v>6</v>
      </c>
      <c r="F2368" s="126"/>
      <c r="G2368" s="7">
        <v>0</v>
      </c>
      <c r="H2368" s="7">
        <v>0</v>
      </c>
      <c r="I2368" s="7">
        <v>0</v>
      </c>
      <c r="J2368" s="7">
        <v>0</v>
      </c>
      <c r="K2368" s="3">
        <f t="shared" si="88"/>
        <v>0</v>
      </c>
      <c r="L2368" s="3"/>
      <c r="M2368" s="3">
        <f t="shared" si="87"/>
        <v>0</v>
      </c>
      <c r="O2368" s="5"/>
      <c r="S2368" s="6"/>
    </row>
    <row r="2369" spans="1:19" customFormat="1" x14ac:dyDescent="0.45">
      <c r="A2369">
        <v>502969</v>
      </c>
      <c r="B2369" t="s">
        <v>20874</v>
      </c>
      <c r="C2369" t="s">
        <v>20875</v>
      </c>
      <c r="D2369">
        <v>0</v>
      </c>
      <c r="E2369" t="s">
        <v>16334</v>
      </c>
      <c r="F2369" s="126"/>
      <c r="G2369" s="7">
        <v>0</v>
      </c>
      <c r="H2369" s="7">
        <v>0</v>
      </c>
      <c r="I2369" s="7">
        <v>0</v>
      </c>
      <c r="J2369" s="7">
        <v>0</v>
      </c>
      <c r="K2369" s="3">
        <f t="shared" si="88"/>
        <v>0</v>
      </c>
      <c r="L2369" s="3"/>
      <c r="M2369" s="3">
        <f t="shared" si="87"/>
        <v>0</v>
      </c>
      <c r="O2369" s="5"/>
      <c r="S2369" s="6"/>
    </row>
    <row r="2370" spans="1:19" customFormat="1" x14ac:dyDescent="0.45">
      <c r="A2370">
        <v>503299</v>
      </c>
      <c r="B2370" t="s">
        <v>20876</v>
      </c>
      <c r="C2370" t="s">
        <v>20877</v>
      </c>
      <c r="D2370">
        <v>1</v>
      </c>
      <c r="F2370" s="126"/>
      <c r="G2370" s="3">
        <v>0</v>
      </c>
      <c r="H2370" s="3">
        <v>0</v>
      </c>
      <c r="I2370" s="3">
        <v>0</v>
      </c>
      <c r="J2370" s="3">
        <v>0</v>
      </c>
      <c r="K2370" s="3">
        <f t="shared" si="88"/>
        <v>0</v>
      </c>
      <c r="L2370" s="3"/>
      <c r="M2370" s="3">
        <f t="shared" si="87"/>
        <v>0</v>
      </c>
      <c r="O2370" s="5"/>
      <c r="S2370" s="6"/>
    </row>
    <row r="2371" spans="1:19" customFormat="1" x14ac:dyDescent="0.45">
      <c r="A2371">
        <v>503326</v>
      </c>
      <c r="B2371" t="s">
        <v>20878</v>
      </c>
      <c r="C2371" t="s">
        <v>20879</v>
      </c>
      <c r="D2371">
        <v>2</v>
      </c>
      <c r="F2371" s="126"/>
      <c r="K2371" s="3">
        <f t="shared" si="88"/>
        <v>0</v>
      </c>
      <c r="L2371" s="3"/>
      <c r="M2371" s="3">
        <f t="shared" si="87"/>
        <v>0</v>
      </c>
      <c r="O2371" s="5"/>
      <c r="S2371" s="6"/>
    </row>
    <row r="2372" spans="1:19" customFormat="1" x14ac:dyDescent="0.45">
      <c r="A2372">
        <v>503408</v>
      </c>
      <c r="B2372" t="s">
        <v>20880</v>
      </c>
      <c r="C2372" t="s">
        <v>16331</v>
      </c>
      <c r="D2372">
        <v>1</v>
      </c>
      <c r="E2372" t="s">
        <v>16331</v>
      </c>
      <c r="F2372" s="126"/>
      <c r="G2372" s="7">
        <v>0</v>
      </c>
      <c r="H2372" s="7">
        <v>0</v>
      </c>
      <c r="I2372" s="7">
        <v>0</v>
      </c>
      <c r="J2372" s="7">
        <v>0</v>
      </c>
      <c r="K2372" s="3">
        <f t="shared" si="88"/>
        <v>0</v>
      </c>
      <c r="L2372" s="3"/>
      <c r="M2372" s="3">
        <f t="shared" si="87"/>
        <v>0</v>
      </c>
      <c r="O2372" s="5"/>
      <c r="S2372" s="6"/>
    </row>
    <row r="2373" spans="1:19" customFormat="1" x14ac:dyDescent="0.45">
      <c r="A2373">
        <v>503671</v>
      </c>
      <c r="B2373" t="s">
        <v>20881</v>
      </c>
      <c r="C2373" t="s">
        <v>16331</v>
      </c>
      <c r="D2373">
        <v>1</v>
      </c>
      <c r="E2373" t="s">
        <v>16331</v>
      </c>
      <c r="F2373" s="126"/>
      <c r="G2373" s="7">
        <v>0</v>
      </c>
      <c r="H2373" s="7">
        <v>0</v>
      </c>
      <c r="I2373" s="7">
        <v>0</v>
      </c>
      <c r="J2373" s="7">
        <v>0</v>
      </c>
      <c r="K2373" s="3">
        <f t="shared" si="88"/>
        <v>0</v>
      </c>
      <c r="L2373" s="3"/>
      <c r="M2373" s="3">
        <f t="shared" si="87"/>
        <v>0</v>
      </c>
      <c r="O2373" s="5"/>
      <c r="S2373" s="6"/>
    </row>
    <row r="2374" spans="1:19" customFormat="1" x14ac:dyDescent="0.45">
      <c r="A2374">
        <v>503713</v>
      </c>
      <c r="B2374" t="s">
        <v>20882</v>
      </c>
      <c r="C2374" t="s">
        <v>20883</v>
      </c>
      <c r="D2374">
        <v>10</v>
      </c>
      <c r="F2374" s="126"/>
      <c r="G2374" s="7">
        <v>0</v>
      </c>
      <c r="H2374" s="7">
        <v>0</v>
      </c>
      <c r="I2374" s="7">
        <v>0</v>
      </c>
      <c r="J2374" s="7">
        <v>0</v>
      </c>
      <c r="K2374" s="3">
        <f t="shared" si="88"/>
        <v>0</v>
      </c>
      <c r="L2374" s="3"/>
      <c r="M2374" s="3">
        <f t="shared" si="87"/>
        <v>0</v>
      </c>
      <c r="O2374" s="5"/>
      <c r="S2374" s="6"/>
    </row>
    <row r="2375" spans="1:19" customFormat="1" x14ac:dyDescent="0.45">
      <c r="A2375">
        <v>503837</v>
      </c>
      <c r="B2375" t="s">
        <v>20884</v>
      </c>
      <c r="C2375" t="s">
        <v>20885</v>
      </c>
      <c r="D2375">
        <v>2</v>
      </c>
      <c r="F2375" s="126"/>
      <c r="G2375" s="3">
        <v>0</v>
      </c>
      <c r="H2375" s="3">
        <v>0</v>
      </c>
      <c r="I2375" s="3">
        <v>0</v>
      </c>
      <c r="J2375" s="3">
        <v>0</v>
      </c>
      <c r="K2375" s="3">
        <f t="shared" si="88"/>
        <v>0</v>
      </c>
      <c r="L2375" s="3"/>
      <c r="M2375" s="3">
        <f t="shared" si="87"/>
        <v>0</v>
      </c>
      <c r="O2375" s="5"/>
      <c r="S2375" s="6"/>
    </row>
    <row r="2376" spans="1:19" customFormat="1" x14ac:dyDescent="0.45">
      <c r="A2376">
        <v>503848</v>
      </c>
      <c r="B2376" t="s">
        <v>20886</v>
      </c>
      <c r="C2376" t="s">
        <v>20887</v>
      </c>
      <c r="D2376">
        <v>1</v>
      </c>
      <c r="F2376" s="126"/>
      <c r="G2376" s="7">
        <v>0</v>
      </c>
      <c r="H2376" s="7">
        <v>0</v>
      </c>
      <c r="I2376" s="7">
        <v>0</v>
      </c>
      <c r="J2376" s="7">
        <v>0</v>
      </c>
      <c r="K2376" s="3">
        <f t="shared" si="88"/>
        <v>0</v>
      </c>
      <c r="L2376" s="3"/>
      <c r="M2376" s="3">
        <f t="shared" si="87"/>
        <v>0</v>
      </c>
      <c r="O2376" s="5"/>
      <c r="S2376" s="6"/>
    </row>
    <row r="2377" spans="1:19" customFormat="1" x14ac:dyDescent="0.45">
      <c r="A2377">
        <v>503943</v>
      </c>
      <c r="B2377" t="s">
        <v>20888</v>
      </c>
      <c r="C2377" t="s">
        <v>18196</v>
      </c>
      <c r="D2377">
        <v>3</v>
      </c>
      <c r="F2377" s="126"/>
      <c r="K2377" s="3">
        <f t="shared" si="88"/>
        <v>0</v>
      </c>
      <c r="L2377" s="3"/>
      <c r="M2377" s="3">
        <f t="shared" si="87"/>
        <v>0</v>
      </c>
      <c r="O2377" s="5"/>
      <c r="P2377" t="s">
        <v>18978</v>
      </c>
      <c r="S2377" s="6"/>
    </row>
    <row r="2378" spans="1:19" customFormat="1" x14ac:dyDescent="0.45">
      <c r="A2378">
        <v>504022</v>
      </c>
      <c r="B2378" t="s">
        <v>20889</v>
      </c>
      <c r="C2378" t="s">
        <v>20890</v>
      </c>
      <c r="D2378">
        <v>1</v>
      </c>
      <c r="F2378" s="126"/>
      <c r="K2378" s="3">
        <f t="shared" si="88"/>
        <v>0</v>
      </c>
      <c r="L2378" s="3"/>
      <c r="M2378" s="3">
        <f t="shared" ref="M2378:M2441" si="89">K2378+F2378</f>
        <v>0</v>
      </c>
      <c r="O2378" s="5"/>
      <c r="S2378" s="6"/>
    </row>
    <row r="2379" spans="1:19" customFormat="1" x14ac:dyDescent="0.45">
      <c r="A2379">
        <v>504162</v>
      </c>
      <c r="B2379" t="s">
        <v>20891</v>
      </c>
      <c r="C2379" t="s">
        <v>16331</v>
      </c>
      <c r="D2379">
        <v>1</v>
      </c>
      <c r="E2379" t="s">
        <v>16331</v>
      </c>
      <c r="F2379" s="126"/>
      <c r="G2379" s="7">
        <v>0</v>
      </c>
      <c r="H2379" s="7">
        <v>0</v>
      </c>
      <c r="I2379" s="7">
        <v>0</v>
      </c>
      <c r="J2379" s="7">
        <v>0</v>
      </c>
      <c r="K2379" s="3">
        <f t="shared" si="88"/>
        <v>0</v>
      </c>
      <c r="L2379" s="3"/>
      <c r="M2379" s="3">
        <f t="shared" si="89"/>
        <v>0</v>
      </c>
      <c r="O2379" s="5"/>
      <c r="S2379" s="6"/>
    </row>
    <row r="2380" spans="1:19" customFormat="1" x14ac:dyDescent="0.45">
      <c r="A2380">
        <v>504207</v>
      </c>
      <c r="B2380" t="s">
        <v>20892</v>
      </c>
      <c r="C2380" t="s">
        <v>20893</v>
      </c>
      <c r="D2380">
        <v>4</v>
      </c>
      <c r="F2380" s="126"/>
      <c r="K2380" s="3">
        <f t="shared" si="88"/>
        <v>0</v>
      </c>
      <c r="L2380" s="3"/>
      <c r="M2380" s="3">
        <f t="shared" si="89"/>
        <v>0</v>
      </c>
      <c r="O2380" s="5"/>
      <c r="S2380" s="6"/>
    </row>
    <row r="2381" spans="1:19" customFormat="1" x14ac:dyDescent="0.45">
      <c r="A2381">
        <v>504210</v>
      </c>
      <c r="B2381" t="s">
        <v>20894</v>
      </c>
      <c r="C2381" t="s">
        <v>16331</v>
      </c>
      <c r="D2381">
        <v>2</v>
      </c>
      <c r="E2381" t="s">
        <v>16331</v>
      </c>
      <c r="F2381" s="126"/>
      <c r="G2381" s="7">
        <v>0</v>
      </c>
      <c r="H2381" s="7">
        <v>0</v>
      </c>
      <c r="I2381" s="7">
        <v>0</v>
      </c>
      <c r="J2381" s="7">
        <v>0</v>
      </c>
      <c r="K2381" s="3">
        <f t="shared" si="88"/>
        <v>0</v>
      </c>
      <c r="L2381" s="3"/>
      <c r="M2381" s="3">
        <f t="shared" si="89"/>
        <v>0</v>
      </c>
      <c r="O2381" s="5"/>
      <c r="S2381" s="6"/>
    </row>
    <row r="2382" spans="1:19" customFormat="1" x14ac:dyDescent="0.45">
      <c r="A2382">
        <v>504211</v>
      </c>
      <c r="B2382" t="s">
        <v>20895</v>
      </c>
      <c r="C2382" t="s">
        <v>16331</v>
      </c>
      <c r="D2382">
        <v>0</v>
      </c>
      <c r="E2382" t="s">
        <v>16331</v>
      </c>
      <c r="F2382" s="126"/>
      <c r="G2382" s="7">
        <v>0</v>
      </c>
      <c r="H2382" s="7">
        <v>0</v>
      </c>
      <c r="I2382" s="7">
        <v>0</v>
      </c>
      <c r="J2382" s="7">
        <v>0</v>
      </c>
      <c r="K2382" s="3">
        <f t="shared" si="88"/>
        <v>0</v>
      </c>
      <c r="L2382" s="3"/>
      <c r="M2382" s="3">
        <f t="shared" si="89"/>
        <v>0</v>
      </c>
      <c r="N2382" s="7"/>
      <c r="O2382" s="5"/>
      <c r="S2382" s="6"/>
    </row>
    <row r="2383" spans="1:19" customFormat="1" x14ac:dyDescent="0.45">
      <c r="A2383">
        <v>504255</v>
      </c>
      <c r="B2383" t="s">
        <v>20896</v>
      </c>
      <c r="C2383" t="s">
        <v>16331</v>
      </c>
      <c r="D2383">
        <v>1</v>
      </c>
      <c r="E2383" t="s">
        <v>16331</v>
      </c>
      <c r="F2383" s="126"/>
      <c r="G2383" s="7">
        <v>0</v>
      </c>
      <c r="H2383" s="7">
        <v>0</v>
      </c>
      <c r="I2383" s="7">
        <v>0</v>
      </c>
      <c r="J2383" s="7">
        <v>0</v>
      </c>
      <c r="K2383" s="3">
        <f t="shared" si="88"/>
        <v>0</v>
      </c>
      <c r="L2383" s="3"/>
      <c r="M2383" s="3">
        <f t="shared" si="89"/>
        <v>0</v>
      </c>
      <c r="O2383" s="5"/>
      <c r="S2383" s="6"/>
    </row>
    <row r="2384" spans="1:19" customFormat="1" x14ac:dyDescent="0.45">
      <c r="A2384">
        <v>504272</v>
      </c>
      <c r="B2384" t="s">
        <v>20897</v>
      </c>
      <c r="C2384" t="s">
        <v>20898</v>
      </c>
      <c r="D2384">
        <v>14</v>
      </c>
      <c r="F2384" s="126"/>
      <c r="G2384" s="7">
        <v>0</v>
      </c>
      <c r="H2384" s="7">
        <v>0</v>
      </c>
      <c r="I2384" s="7">
        <v>0</v>
      </c>
      <c r="J2384" s="7">
        <v>0</v>
      </c>
      <c r="K2384" s="3">
        <f t="shared" si="88"/>
        <v>0</v>
      </c>
      <c r="L2384" s="3"/>
      <c r="M2384" s="3">
        <f t="shared" si="89"/>
        <v>0</v>
      </c>
      <c r="N2384" s="7"/>
      <c r="O2384" s="5"/>
      <c r="S2384" s="6"/>
    </row>
    <row r="2385" spans="1:19" customFormat="1" x14ac:dyDescent="0.45">
      <c r="A2385">
        <v>504345</v>
      </c>
      <c r="B2385" t="s">
        <v>20899</v>
      </c>
      <c r="C2385" t="s">
        <v>16331</v>
      </c>
      <c r="D2385">
        <v>2</v>
      </c>
      <c r="E2385" t="s">
        <v>16331</v>
      </c>
      <c r="F2385" s="126"/>
      <c r="G2385" s="7">
        <v>0</v>
      </c>
      <c r="H2385" s="7">
        <v>0</v>
      </c>
      <c r="I2385" s="7">
        <v>0</v>
      </c>
      <c r="J2385" s="7">
        <v>0</v>
      </c>
      <c r="K2385" s="3">
        <f t="shared" si="88"/>
        <v>0</v>
      </c>
      <c r="L2385" s="3"/>
      <c r="M2385" s="3">
        <f t="shared" si="89"/>
        <v>0</v>
      </c>
      <c r="O2385" s="5"/>
      <c r="S2385" s="6"/>
    </row>
    <row r="2386" spans="1:19" customFormat="1" x14ac:dyDescent="0.45">
      <c r="A2386">
        <v>504571</v>
      </c>
      <c r="B2386" t="s">
        <v>20900</v>
      </c>
      <c r="C2386" t="s">
        <v>20901</v>
      </c>
      <c r="D2386">
        <v>2</v>
      </c>
      <c r="F2386" s="126"/>
      <c r="G2386" s="7">
        <v>0</v>
      </c>
      <c r="H2386" s="7">
        <v>0</v>
      </c>
      <c r="I2386" s="7">
        <v>0</v>
      </c>
      <c r="J2386" s="7">
        <v>0</v>
      </c>
      <c r="K2386" s="3">
        <f t="shared" si="88"/>
        <v>0</v>
      </c>
      <c r="L2386" s="3"/>
      <c r="M2386" s="3">
        <f t="shared" si="89"/>
        <v>0</v>
      </c>
      <c r="O2386" s="5"/>
      <c r="S2386" s="6"/>
    </row>
    <row r="2387" spans="1:19" customFormat="1" x14ac:dyDescent="0.45">
      <c r="A2387">
        <v>504710</v>
      </c>
      <c r="B2387" t="s">
        <v>20902</v>
      </c>
      <c r="C2387" s="2" t="s">
        <v>20903</v>
      </c>
      <c r="D2387">
        <v>1</v>
      </c>
      <c r="F2387" s="126"/>
      <c r="G2387" s="3">
        <v>0</v>
      </c>
      <c r="H2387" s="3">
        <v>0</v>
      </c>
      <c r="I2387" s="3">
        <v>0</v>
      </c>
      <c r="J2387" s="3">
        <v>0</v>
      </c>
      <c r="K2387" s="3">
        <f t="shared" si="88"/>
        <v>0</v>
      </c>
      <c r="L2387" s="3"/>
      <c r="M2387" s="3">
        <f t="shared" si="89"/>
        <v>0</v>
      </c>
      <c r="O2387" s="5"/>
      <c r="S2387" s="6"/>
    </row>
    <row r="2388" spans="1:19" customFormat="1" x14ac:dyDescent="0.45">
      <c r="A2388">
        <v>505247</v>
      </c>
      <c r="B2388" t="s">
        <v>20904</v>
      </c>
      <c r="C2388" t="s">
        <v>20905</v>
      </c>
      <c r="D2388">
        <v>1</v>
      </c>
      <c r="F2388" s="126"/>
      <c r="G2388" s="7">
        <v>0</v>
      </c>
      <c r="H2388" s="7">
        <v>0</v>
      </c>
      <c r="I2388" s="7">
        <v>0</v>
      </c>
      <c r="J2388" s="7">
        <v>0</v>
      </c>
      <c r="K2388" s="3">
        <f t="shared" si="88"/>
        <v>0</v>
      </c>
      <c r="L2388" s="3"/>
      <c r="M2388" s="3">
        <f t="shared" si="89"/>
        <v>0</v>
      </c>
      <c r="O2388" s="5"/>
      <c r="S2388" s="6"/>
    </row>
    <row r="2389" spans="1:19" customFormat="1" x14ac:dyDescent="0.45">
      <c r="A2389">
        <v>505532</v>
      </c>
      <c r="B2389" t="s">
        <v>20906</v>
      </c>
      <c r="C2389" t="s">
        <v>20907</v>
      </c>
      <c r="D2389">
        <v>1</v>
      </c>
      <c r="F2389" s="126"/>
      <c r="G2389" s="7">
        <v>0</v>
      </c>
      <c r="H2389" s="7">
        <v>0</v>
      </c>
      <c r="I2389" s="7">
        <v>0</v>
      </c>
      <c r="J2389" s="7">
        <v>0</v>
      </c>
      <c r="K2389" s="3">
        <f t="shared" si="88"/>
        <v>0</v>
      </c>
      <c r="L2389" s="3"/>
      <c r="M2389" s="3">
        <f t="shared" si="89"/>
        <v>0</v>
      </c>
      <c r="O2389" s="5"/>
      <c r="S2389" s="6"/>
    </row>
    <row r="2390" spans="1:19" customFormat="1" x14ac:dyDescent="0.45">
      <c r="A2390">
        <v>506044</v>
      </c>
      <c r="B2390" t="s">
        <v>20908</v>
      </c>
      <c r="C2390" t="s">
        <v>20909</v>
      </c>
      <c r="D2390">
        <v>3</v>
      </c>
      <c r="F2390" s="126"/>
      <c r="K2390" s="3">
        <f t="shared" si="88"/>
        <v>0</v>
      </c>
      <c r="L2390" s="3"/>
      <c r="M2390" s="3">
        <f t="shared" si="89"/>
        <v>0</v>
      </c>
      <c r="O2390" s="5"/>
      <c r="S2390" s="6"/>
    </row>
    <row r="2391" spans="1:19" customFormat="1" x14ac:dyDescent="0.45">
      <c r="A2391">
        <v>506064</v>
      </c>
      <c r="B2391" t="s">
        <v>20910</v>
      </c>
      <c r="C2391" t="s">
        <v>16331</v>
      </c>
      <c r="D2391">
        <v>1</v>
      </c>
      <c r="E2391" t="s">
        <v>16331</v>
      </c>
      <c r="F2391" s="126"/>
      <c r="G2391" s="7">
        <v>0</v>
      </c>
      <c r="H2391" s="7">
        <v>0</v>
      </c>
      <c r="I2391" s="7">
        <v>0</v>
      </c>
      <c r="J2391" s="7">
        <v>0</v>
      </c>
      <c r="K2391" s="3">
        <f t="shared" si="88"/>
        <v>0</v>
      </c>
      <c r="L2391" s="3"/>
      <c r="M2391" s="3">
        <f t="shared" si="89"/>
        <v>0</v>
      </c>
      <c r="O2391" s="5"/>
      <c r="S2391" s="6"/>
    </row>
    <row r="2392" spans="1:19" customFormat="1" x14ac:dyDescent="0.45">
      <c r="A2392">
        <v>506138</v>
      </c>
      <c r="B2392" t="s">
        <v>20911</v>
      </c>
      <c r="C2392" t="s">
        <v>16331</v>
      </c>
      <c r="D2392">
        <v>6</v>
      </c>
      <c r="E2392" t="s">
        <v>16331</v>
      </c>
      <c r="F2392" s="126"/>
      <c r="G2392" s="7">
        <v>0</v>
      </c>
      <c r="H2392" s="7">
        <v>0</v>
      </c>
      <c r="I2392" s="7">
        <v>0</v>
      </c>
      <c r="J2392" s="7">
        <v>0</v>
      </c>
      <c r="K2392" s="3">
        <f t="shared" si="88"/>
        <v>0</v>
      </c>
      <c r="L2392" s="3"/>
      <c r="M2392" s="3">
        <f t="shared" si="89"/>
        <v>0</v>
      </c>
      <c r="O2392" s="5"/>
      <c r="S2392" s="6"/>
    </row>
    <row r="2393" spans="1:19" customFormat="1" x14ac:dyDescent="0.45">
      <c r="A2393">
        <v>506203</v>
      </c>
      <c r="B2393" t="s">
        <v>20912</v>
      </c>
      <c r="C2393" t="s">
        <v>16331</v>
      </c>
      <c r="D2393">
        <v>2</v>
      </c>
      <c r="E2393" t="s">
        <v>16331</v>
      </c>
      <c r="F2393" s="126"/>
      <c r="G2393" s="7">
        <v>0</v>
      </c>
      <c r="H2393" s="7">
        <v>0</v>
      </c>
      <c r="I2393" s="7">
        <v>0</v>
      </c>
      <c r="J2393" s="7">
        <v>0</v>
      </c>
      <c r="K2393" s="3">
        <f t="shared" si="88"/>
        <v>0</v>
      </c>
      <c r="L2393" s="3"/>
      <c r="M2393" s="3">
        <f t="shared" si="89"/>
        <v>0</v>
      </c>
      <c r="O2393" s="5"/>
      <c r="S2393" s="6"/>
    </row>
    <row r="2394" spans="1:19" customFormat="1" x14ac:dyDescent="0.45">
      <c r="A2394">
        <v>506278</v>
      </c>
      <c r="B2394" t="s">
        <v>20913</v>
      </c>
      <c r="C2394" t="s">
        <v>20914</v>
      </c>
      <c r="D2394">
        <v>1</v>
      </c>
      <c r="F2394" s="126"/>
      <c r="G2394" s="7">
        <v>0</v>
      </c>
      <c r="H2394" s="7">
        <v>0</v>
      </c>
      <c r="I2394" s="7">
        <v>0</v>
      </c>
      <c r="J2394" s="7">
        <v>0</v>
      </c>
      <c r="K2394" s="3">
        <f t="shared" si="88"/>
        <v>0</v>
      </c>
      <c r="L2394" s="3"/>
      <c r="M2394" s="3">
        <f t="shared" si="89"/>
        <v>0</v>
      </c>
      <c r="O2394" s="5"/>
      <c r="S2394" s="6"/>
    </row>
    <row r="2395" spans="1:19" customFormat="1" x14ac:dyDescent="0.45">
      <c r="A2395">
        <v>506317</v>
      </c>
      <c r="B2395" t="s">
        <v>20915</v>
      </c>
      <c r="C2395" t="s">
        <v>20916</v>
      </c>
      <c r="D2395">
        <v>1</v>
      </c>
      <c r="F2395" s="126"/>
      <c r="G2395" s="7">
        <v>0</v>
      </c>
      <c r="H2395" s="7">
        <v>0</v>
      </c>
      <c r="I2395" s="7">
        <v>0</v>
      </c>
      <c r="J2395" s="7">
        <v>0</v>
      </c>
      <c r="K2395" s="3">
        <f t="shared" si="88"/>
        <v>0</v>
      </c>
      <c r="L2395" s="3"/>
      <c r="M2395" s="3">
        <f t="shared" si="89"/>
        <v>0</v>
      </c>
      <c r="O2395" s="5"/>
      <c r="S2395" s="6"/>
    </row>
    <row r="2396" spans="1:19" customFormat="1" x14ac:dyDescent="0.45">
      <c r="A2396">
        <v>506551</v>
      </c>
      <c r="B2396" t="s">
        <v>20917</v>
      </c>
      <c r="C2396" t="s">
        <v>20918</v>
      </c>
      <c r="D2396">
        <v>6</v>
      </c>
      <c r="F2396" s="126"/>
      <c r="K2396" s="3">
        <f t="shared" si="88"/>
        <v>0</v>
      </c>
      <c r="L2396" s="3"/>
      <c r="M2396" s="3">
        <f t="shared" si="89"/>
        <v>0</v>
      </c>
      <c r="O2396" s="5"/>
      <c r="S2396" s="6"/>
    </row>
    <row r="2397" spans="1:19" customFormat="1" x14ac:dyDescent="0.45">
      <c r="A2397">
        <v>506600</v>
      </c>
      <c r="B2397" t="s">
        <v>20919</v>
      </c>
      <c r="C2397" t="s">
        <v>16451</v>
      </c>
      <c r="D2397">
        <v>2</v>
      </c>
      <c r="F2397" s="126"/>
      <c r="K2397" s="3">
        <f t="shared" si="88"/>
        <v>0</v>
      </c>
      <c r="L2397" s="3"/>
      <c r="M2397" s="3">
        <f t="shared" si="89"/>
        <v>0</v>
      </c>
      <c r="O2397" s="5"/>
      <c r="S2397" s="6"/>
    </row>
    <row r="2398" spans="1:19" customFormat="1" x14ac:dyDescent="0.45">
      <c r="A2398">
        <v>506602</v>
      </c>
      <c r="B2398" t="s">
        <v>20920</v>
      </c>
      <c r="C2398" t="s">
        <v>16331</v>
      </c>
      <c r="D2398">
        <v>1</v>
      </c>
      <c r="E2398" t="s">
        <v>16331</v>
      </c>
      <c r="F2398" s="126"/>
      <c r="G2398" s="7">
        <v>0</v>
      </c>
      <c r="H2398" s="7">
        <v>0</v>
      </c>
      <c r="I2398" s="7">
        <v>0</v>
      </c>
      <c r="J2398" s="7">
        <v>0</v>
      </c>
      <c r="K2398" s="3">
        <f t="shared" si="88"/>
        <v>0</v>
      </c>
      <c r="L2398" s="3"/>
      <c r="M2398" s="3">
        <f t="shared" si="89"/>
        <v>0</v>
      </c>
      <c r="O2398" s="5"/>
      <c r="S2398" s="6"/>
    </row>
    <row r="2399" spans="1:19" customFormat="1" x14ac:dyDescent="0.45">
      <c r="A2399">
        <v>506768</v>
      </c>
      <c r="B2399" t="s">
        <v>20921</v>
      </c>
      <c r="C2399" t="s">
        <v>20922</v>
      </c>
      <c r="D2399">
        <v>3</v>
      </c>
      <c r="F2399" s="126"/>
      <c r="G2399" s="3">
        <v>0</v>
      </c>
      <c r="H2399" s="3">
        <v>0</v>
      </c>
      <c r="I2399" s="3">
        <v>0</v>
      </c>
      <c r="J2399" s="3">
        <v>0</v>
      </c>
      <c r="K2399" s="3">
        <f t="shared" si="88"/>
        <v>0</v>
      </c>
      <c r="L2399" s="3"/>
      <c r="M2399" s="3">
        <f t="shared" si="89"/>
        <v>0</v>
      </c>
      <c r="O2399" s="5"/>
      <c r="S2399" s="6"/>
    </row>
    <row r="2400" spans="1:19" customFormat="1" x14ac:dyDescent="0.45">
      <c r="A2400">
        <v>506821</v>
      </c>
      <c r="B2400" t="s">
        <v>20923</v>
      </c>
      <c r="C2400" t="s">
        <v>16331</v>
      </c>
      <c r="D2400">
        <v>1</v>
      </c>
      <c r="E2400" t="s">
        <v>16331</v>
      </c>
      <c r="F2400" s="126"/>
      <c r="G2400" s="7">
        <v>0</v>
      </c>
      <c r="H2400" s="7">
        <v>0</v>
      </c>
      <c r="I2400" s="7">
        <v>0</v>
      </c>
      <c r="J2400" s="7">
        <v>0</v>
      </c>
      <c r="K2400" s="3">
        <f t="shared" si="88"/>
        <v>0</v>
      </c>
      <c r="L2400" s="3"/>
      <c r="M2400" s="3">
        <f t="shared" si="89"/>
        <v>0</v>
      </c>
      <c r="O2400" s="5"/>
      <c r="S2400" s="6"/>
    </row>
    <row r="2401" spans="1:23" customFormat="1" x14ac:dyDescent="0.45">
      <c r="A2401">
        <v>506985</v>
      </c>
      <c r="B2401" t="s">
        <v>20924</v>
      </c>
      <c r="C2401" t="s">
        <v>20925</v>
      </c>
      <c r="D2401">
        <v>2</v>
      </c>
      <c r="F2401" s="126"/>
      <c r="G2401" s="3">
        <v>0</v>
      </c>
      <c r="H2401" s="3">
        <v>0</v>
      </c>
      <c r="I2401" s="3">
        <v>0</v>
      </c>
      <c r="J2401" s="3">
        <v>0</v>
      </c>
      <c r="K2401" s="3">
        <f t="shared" si="88"/>
        <v>0</v>
      </c>
      <c r="L2401" s="3"/>
      <c r="M2401" s="3">
        <f t="shared" si="89"/>
        <v>0</v>
      </c>
      <c r="O2401" s="5"/>
      <c r="S2401" s="6"/>
    </row>
    <row r="2402" spans="1:23" customFormat="1" x14ac:dyDescent="0.45">
      <c r="A2402">
        <v>507244</v>
      </c>
      <c r="B2402" t="s">
        <v>20926</v>
      </c>
      <c r="C2402" t="s">
        <v>20927</v>
      </c>
      <c r="D2402">
        <v>9</v>
      </c>
      <c r="F2402" s="126"/>
      <c r="G2402" s="7">
        <v>0</v>
      </c>
      <c r="H2402" s="7">
        <v>0</v>
      </c>
      <c r="I2402" s="7">
        <v>0</v>
      </c>
      <c r="J2402" s="7">
        <v>0</v>
      </c>
      <c r="K2402" s="3">
        <f t="shared" si="88"/>
        <v>0</v>
      </c>
      <c r="L2402" s="3"/>
      <c r="M2402" s="3">
        <f t="shared" si="89"/>
        <v>0</v>
      </c>
      <c r="O2402" s="5"/>
      <c r="S2402" s="6"/>
    </row>
    <row r="2403" spans="1:23" customFormat="1" x14ac:dyDescent="0.45">
      <c r="A2403">
        <v>507306</v>
      </c>
      <c r="B2403" t="s">
        <v>20928</v>
      </c>
      <c r="C2403" t="s">
        <v>16331</v>
      </c>
      <c r="D2403">
        <v>1</v>
      </c>
      <c r="E2403" t="s">
        <v>16331</v>
      </c>
      <c r="F2403" s="126"/>
      <c r="G2403" s="7">
        <v>0</v>
      </c>
      <c r="H2403" s="7">
        <v>0</v>
      </c>
      <c r="I2403" s="7">
        <v>0</v>
      </c>
      <c r="J2403" s="7">
        <v>0</v>
      </c>
      <c r="K2403" s="3">
        <f t="shared" si="88"/>
        <v>0</v>
      </c>
      <c r="L2403" s="3"/>
      <c r="M2403" s="3">
        <f t="shared" si="89"/>
        <v>0</v>
      </c>
      <c r="O2403" s="5"/>
      <c r="S2403" s="6"/>
    </row>
    <row r="2404" spans="1:23" customFormat="1" x14ac:dyDescent="0.45">
      <c r="A2404">
        <v>507382</v>
      </c>
      <c r="B2404" t="s">
        <v>20929</v>
      </c>
      <c r="C2404" t="s">
        <v>16331</v>
      </c>
      <c r="D2404">
        <v>2</v>
      </c>
      <c r="E2404" t="s">
        <v>16331</v>
      </c>
      <c r="F2404" s="126"/>
      <c r="G2404" s="7">
        <v>0</v>
      </c>
      <c r="H2404" s="7">
        <v>0</v>
      </c>
      <c r="I2404" s="7">
        <v>0</v>
      </c>
      <c r="J2404" s="7">
        <v>0</v>
      </c>
      <c r="K2404" s="3">
        <f t="shared" si="88"/>
        <v>0</v>
      </c>
      <c r="L2404" s="3"/>
      <c r="M2404" s="3">
        <f t="shared" si="89"/>
        <v>0</v>
      </c>
      <c r="O2404" s="5"/>
      <c r="S2404" s="6"/>
    </row>
    <row r="2405" spans="1:23" customFormat="1" x14ac:dyDescent="0.45">
      <c r="A2405">
        <v>507387</v>
      </c>
      <c r="B2405" t="s">
        <v>20930</v>
      </c>
      <c r="C2405" t="s">
        <v>20931</v>
      </c>
      <c r="D2405">
        <v>6</v>
      </c>
      <c r="F2405" s="126"/>
      <c r="K2405" s="3">
        <f t="shared" si="88"/>
        <v>0</v>
      </c>
      <c r="L2405" s="3"/>
      <c r="M2405" s="3">
        <f t="shared" si="89"/>
        <v>0</v>
      </c>
      <c r="O2405" s="5"/>
      <c r="S2405" s="6"/>
    </row>
    <row r="2406" spans="1:23" customFormat="1" x14ac:dyDescent="0.45">
      <c r="A2406">
        <v>507870</v>
      </c>
      <c r="B2406" t="s">
        <v>20932</v>
      </c>
      <c r="C2406" t="s">
        <v>20933</v>
      </c>
      <c r="D2406">
        <v>2</v>
      </c>
      <c r="F2406" s="126"/>
      <c r="G2406" s="7">
        <v>0</v>
      </c>
      <c r="H2406" s="7">
        <v>0</v>
      </c>
      <c r="I2406" s="7">
        <v>0</v>
      </c>
      <c r="J2406" s="7">
        <v>0</v>
      </c>
      <c r="K2406" s="3">
        <f t="shared" si="88"/>
        <v>0</v>
      </c>
      <c r="L2406" s="3"/>
      <c r="M2406" s="3">
        <f t="shared" si="89"/>
        <v>0</v>
      </c>
      <c r="O2406" s="5"/>
      <c r="S2406" s="6"/>
    </row>
    <row r="2407" spans="1:23" customFormat="1" x14ac:dyDescent="0.45">
      <c r="A2407">
        <v>507900</v>
      </c>
      <c r="B2407" t="s">
        <v>20934</v>
      </c>
      <c r="C2407" t="s">
        <v>20935</v>
      </c>
      <c r="D2407">
        <v>2</v>
      </c>
      <c r="F2407" s="126"/>
      <c r="G2407" s="7">
        <v>0</v>
      </c>
      <c r="H2407" s="7">
        <v>0</v>
      </c>
      <c r="I2407" s="7">
        <v>0</v>
      </c>
      <c r="J2407" s="7">
        <v>0</v>
      </c>
      <c r="K2407" s="3">
        <f t="shared" si="88"/>
        <v>0</v>
      </c>
      <c r="L2407" s="3"/>
      <c r="M2407" s="3">
        <f t="shared" si="89"/>
        <v>0</v>
      </c>
      <c r="N2407" s="7"/>
      <c r="O2407" s="5"/>
      <c r="S2407" s="6"/>
    </row>
    <row r="2408" spans="1:23" customFormat="1" x14ac:dyDescent="0.45">
      <c r="A2408">
        <v>507921</v>
      </c>
      <c r="B2408" t="s">
        <v>20936</v>
      </c>
      <c r="C2408" t="s">
        <v>20937</v>
      </c>
      <c r="D2408">
        <v>1</v>
      </c>
      <c r="F2408" s="126"/>
      <c r="K2408" s="3">
        <f t="shared" si="88"/>
        <v>0</v>
      </c>
      <c r="L2408" s="3"/>
      <c r="M2408" s="3">
        <f t="shared" si="89"/>
        <v>0</v>
      </c>
      <c r="O2408" s="5"/>
      <c r="S2408" s="6"/>
    </row>
    <row r="2409" spans="1:23" customFormat="1" x14ac:dyDescent="0.45">
      <c r="A2409">
        <v>507951</v>
      </c>
      <c r="B2409" t="s">
        <v>20938</v>
      </c>
      <c r="C2409" t="s">
        <v>16331</v>
      </c>
      <c r="D2409">
        <v>1</v>
      </c>
      <c r="E2409" t="s">
        <v>16331</v>
      </c>
      <c r="F2409" s="126"/>
      <c r="G2409" s="7">
        <v>0</v>
      </c>
      <c r="H2409" s="7">
        <v>0</v>
      </c>
      <c r="I2409" s="7">
        <v>0</v>
      </c>
      <c r="J2409" s="7">
        <v>0</v>
      </c>
      <c r="K2409" s="3">
        <f t="shared" si="88"/>
        <v>0</v>
      </c>
      <c r="L2409" s="3"/>
      <c r="M2409" s="3">
        <f t="shared" si="89"/>
        <v>0</v>
      </c>
      <c r="O2409" s="5"/>
      <c r="S2409" s="6"/>
    </row>
    <row r="2410" spans="1:23" customFormat="1" x14ac:dyDescent="0.45">
      <c r="A2410">
        <v>507964</v>
      </c>
      <c r="B2410" t="s">
        <v>20939</v>
      </c>
      <c r="C2410" t="s">
        <v>20940</v>
      </c>
      <c r="D2410">
        <v>3</v>
      </c>
      <c r="F2410" s="126"/>
      <c r="G2410" s="7">
        <v>0</v>
      </c>
      <c r="H2410" s="7">
        <v>0</v>
      </c>
      <c r="I2410" s="7">
        <v>0</v>
      </c>
      <c r="J2410" s="7">
        <v>0</v>
      </c>
      <c r="K2410" s="3">
        <f t="shared" si="88"/>
        <v>0</v>
      </c>
      <c r="L2410" s="3"/>
      <c r="M2410" s="3">
        <f t="shared" si="89"/>
        <v>0</v>
      </c>
      <c r="O2410" s="5"/>
      <c r="S2410" s="6"/>
    </row>
    <row r="2411" spans="1:23" customFormat="1" x14ac:dyDescent="0.45">
      <c r="A2411">
        <v>507994</v>
      </c>
      <c r="B2411" t="s">
        <v>20941</v>
      </c>
      <c r="C2411" t="s">
        <v>16331</v>
      </c>
      <c r="D2411">
        <v>1</v>
      </c>
      <c r="E2411" t="s">
        <v>16331</v>
      </c>
      <c r="F2411" s="126"/>
      <c r="G2411" s="7">
        <v>0</v>
      </c>
      <c r="H2411" s="7">
        <v>0</v>
      </c>
      <c r="I2411" s="7">
        <v>0</v>
      </c>
      <c r="J2411" s="7">
        <v>0</v>
      </c>
      <c r="K2411" s="3">
        <f t="shared" si="88"/>
        <v>0</v>
      </c>
      <c r="L2411" s="3"/>
      <c r="M2411" s="3">
        <f t="shared" si="89"/>
        <v>0</v>
      </c>
      <c r="O2411" s="5"/>
      <c r="S2411" s="6"/>
    </row>
    <row r="2412" spans="1:23" customFormat="1" x14ac:dyDescent="0.45">
      <c r="A2412">
        <v>507996</v>
      </c>
      <c r="B2412" t="s">
        <v>20942</v>
      </c>
      <c r="C2412" t="s">
        <v>20943</v>
      </c>
      <c r="D2412">
        <v>2</v>
      </c>
      <c r="F2412" s="126"/>
      <c r="G2412" s="3">
        <v>0</v>
      </c>
      <c r="H2412" s="3">
        <v>0</v>
      </c>
      <c r="I2412" s="3">
        <v>0</v>
      </c>
      <c r="J2412" s="3">
        <v>0</v>
      </c>
      <c r="K2412" s="3">
        <f t="shared" ref="K2412:K2475" si="90">SUM(G2412:J2412)</f>
        <v>0</v>
      </c>
      <c r="L2412" s="3"/>
      <c r="M2412" s="3">
        <f t="shared" si="89"/>
        <v>0</v>
      </c>
      <c r="O2412" s="5"/>
      <c r="S2412" s="6"/>
    </row>
    <row r="2413" spans="1:23" x14ac:dyDescent="0.45">
      <c r="A2413" s="124">
        <v>302275</v>
      </c>
      <c r="B2413" s="124" t="s">
        <v>20944</v>
      </c>
      <c r="C2413" s="124" t="s">
        <v>20945</v>
      </c>
      <c r="D2413" s="124">
        <v>2</v>
      </c>
      <c r="E2413" s="124" t="s">
        <v>16334</v>
      </c>
      <c r="F2413" s="126">
        <v>1.6999999999999999E-3</v>
      </c>
      <c r="G2413" s="135">
        <v>0.02</v>
      </c>
      <c r="H2413" s="137">
        <v>2.5000000000000001E-2</v>
      </c>
      <c r="I2413" s="127">
        <v>0</v>
      </c>
      <c r="J2413" s="127">
        <v>0</v>
      </c>
      <c r="K2413" s="126">
        <f t="shared" si="90"/>
        <v>4.4999999999999998E-2</v>
      </c>
      <c r="L2413" s="3"/>
      <c r="M2413" s="126">
        <f t="shared" si="89"/>
        <v>4.6699999999999998E-2</v>
      </c>
      <c r="O2413" s="125" t="s">
        <v>20945</v>
      </c>
      <c r="P2413" s="128" t="s">
        <v>26918</v>
      </c>
      <c r="Q2413" s="124">
        <f>60440+1344</f>
        <v>61784</v>
      </c>
      <c r="R2413" s="124" t="s">
        <v>16348</v>
      </c>
      <c r="S2413" s="130">
        <v>26312</v>
      </c>
      <c r="T2413" s="129">
        <f>S2413/Q2413</f>
        <v>0.42587077560533471</v>
      </c>
      <c r="V2413" s="125" t="s">
        <v>20946</v>
      </c>
      <c r="W2413" s="124" t="s">
        <v>17021</v>
      </c>
    </row>
    <row r="2414" spans="1:23" customFormat="1" x14ac:dyDescent="0.45">
      <c r="A2414">
        <v>509613</v>
      </c>
      <c r="B2414" t="s">
        <v>20947</v>
      </c>
      <c r="C2414" t="s">
        <v>20948</v>
      </c>
      <c r="D2414">
        <v>1</v>
      </c>
      <c r="F2414" s="126"/>
      <c r="G2414" s="3">
        <v>0</v>
      </c>
      <c r="H2414" s="3">
        <v>0</v>
      </c>
      <c r="I2414" s="3">
        <v>0</v>
      </c>
      <c r="J2414" s="3">
        <v>0</v>
      </c>
      <c r="K2414" s="3">
        <f t="shared" si="90"/>
        <v>0</v>
      </c>
      <c r="L2414" s="3"/>
      <c r="M2414" s="3">
        <f t="shared" si="89"/>
        <v>0</v>
      </c>
      <c r="O2414" s="5"/>
      <c r="S2414" s="6"/>
    </row>
    <row r="2415" spans="1:23" customFormat="1" x14ac:dyDescent="0.45">
      <c r="A2415">
        <v>509620</v>
      </c>
      <c r="B2415" t="s">
        <v>20949</v>
      </c>
      <c r="C2415" t="s">
        <v>16331</v>
      </c>
      <c r="D2415">
        <v>2</v>
      </c>
      <c r="E2415" t="s">
        <v>16331</v>
      </c>
      <c r="F2415" s="126"/>
      <c r="G2415" s="7">
        <v>0</v>
      </c>
      <c r="H2415" s="7">
        <v>0</v>
      </c>
      <c r="I2415" s="7">
        <v>0</v>
      </c>
      <c r="J2415" s="7">
        <v>0</v>
      </c>
      <c r="K2415" s="3">
        <f t="shared" si="90"/>
        <v>0</v>
      </c>
      <c r="L2415" s="3"/>
      <c r="M2415" s="3">
        <f t="shared" si="89"/>
        <v>0</v>
      </c>
      <c r="O2415" s="5"/>
      <c r="S2415" s="6"/>
    </row>
    <row r="2416" spans="1:23" customFormat="1" x14ac:dyDescent="0.45">
      <c r="A2416">
        <v>509756</v>
      </c>
      <c r="B2416" t="s">
        <v>20950</v>
      </c>
      <c r="C2416" s="2" t="s">
        <v>20951</v>
      </c>
      <c r="D2416">
        <v>19</v>
      </c>
      <c r="E2416" t="s">
        <v>16334</v>
      </c>
      <c r="F2416" s="126"/>
      <c r="G2416" s="7">
        <v>0</v>
      </c>
      <c r="H2416" s="7">
        <v>0</v>
      </c>
      <c r="I2416" s="7">
        <v>0</v>
      </c>
      <c r="J2416" s="7">
        <v>0</v>
      </c>
      <c r="K2416" s="3">
        <f t="shared" si="90"/>
        <v>0</v>
      </c>
      <c r="L2416" s="3"/>
      <c r="M2416" s="3">
        <f t="shared" si="89"/>
        <v>0</v>
      </c>
      <c r="O2416" s="5"/>
      <c r="S2416" s="6"/>
    </row>
    <row r="2417" spans="1:22" customFormat="1" x14ac:dyDescent="0.45">
      <c r="A2417">
        <v>509758</v>
      </c>
      <c r="B2417" t="s">
        <v>20952</v>
      </c>
      <c r="C2417" t="s">
        <v>20953</v>
      </c>
      <c r="D2417">
        <v>5</v>
      </c>
      <c r="F2417" s="126"/>
      <c r="G2417" s="7">
        <v>0</v>
      </c>
      <c r="H2417" s="7">
        <v>0</v>
      </c>
      <c r="I2417" s="7">
        <v>0</v>
      </c>
      <c r="J2417" s="7">
        <v>0</v>
      </c>
      <c r="K2417" s="3">
        <f t="shared" si="90"/>
        <v>0</v>
      </c>
      <c r="L2417" s="3"/>
      <c r="M2417" s="3">
        <f t="shared" si="89"/>
        <v>0</v>
      </c>
      <c r="O2417" s="5"/>
      <c r="S2417" s="6"/>
    </row>
    <row r="2418" spans="1:22" customFormat="1" x14ac:dyDescent="0.45">
      <c r="A2418">
        <v>509765</v>
      </c>
      <c r="B2418" t="s">
        <v>20954</v>
      </c>
      <c r="C2418" t="s">
        <v>20955</v>
      </c>
      <c r="D2418">
        <v>6</v>
      </c>
      <c r="F2418" s="126"/>
      <c r="G2418" s="7">
        <v>0</v>
      </c>
      <c r="H2418" s="7">
        <v>0</v>
      </c>
      <c r="I2418" s="7">
        <v>0</v>
      </c>
      <c r="J2418" s="7">
        <v>0</v>
      </c>
      <c r="K2418" s="3">
        <f t="shared" si="90"/>
        <v>0</v>
      </c>
      <c r="L2418" s="3"/>
      <c r="M2418" s="3">
        <f t="shared" si="89"/>
        <v>0</v>
      </c>
      <c r="O2418" s="5"/>
      <c r="S2418" s="6"/>
    </row>
    <row r="2419" spans="1:22" customFormat="1" x14ac:dyDescent="0.45">
      <c r="A2419">
        <v>509803</v>
      </c>
      <c r="B2419" t="s">
        <v>20956</v>
      </c>
      <c r="C2419" t="s">
        <v>20957</v>
      </c>
      <c r="D2419">
        <v>3</v>
      </c>
      <c r="F2419" s="126"/>
      <c r="K2419" s="3">
        <f t="shared" si="90"/>
        <v>0</v>
      </c>
      <c r="L2419" s="3"/>
      <c r="M2419" s="3">
        <f t="shared" si="89"/>
        <v>0</v>
      </c>
      <c r="O2419" s="5"/>
      <c r="S2419" s="6"/>
    </row>
    <row r="2420" spans="1:22" customFormat="1" x14ac:dyDescent="0.45">
      <c r="A2420">
        <v>509804</v>
      </c>
      <c r="B2420" t="s">
        <v>20958</v>
      </c>
      <c r="C2420" t="s">
        <v>20959</v>
      </c>
      <c r="D2420">
        <v>3</v>
      </c>
      <c r="F2420" s="126"/>
      <c r="G2420" s="7">
        <v>0</v>
      </c>
      <c r="H2420" s="7">
        <v>0</v>
      </c>
      <c r="I2420" s="7">
        <v>0</v>
      </c>
      <c r="J2420" s="7">
        <v>0</v>
      </c>
      <c r="K2420" s="3">
        <f t="shared" si="90"/>
        <v>0</v>
      </c>
      <c r="L2420" s="3"/>
      <c r="M2420" s="3">
        <f t="shared" si="89"/>
        <v>0</v>
      </c>
      <c r="O2420" s="5"/>
      <c r="S2420" s="6"/>
    </row>
    <row r="2421" spans="1:22" x14ac:dyDescent="0.45">
      <c r="A2421" s="124">
        <v>146717</v>
      </c>
      <c r="B2421" s="124" t="s">
        <v>20960</v>
      </c>
      <c r="C2421" s="124" t="s">
        <v>20961</v>
      </c>
      <c r="D2421" s="124">
        <v>4</v>
      </c>
      <c r="E2421" s="124" t="s">
        <v>16334</v>
      </c>
      <c r="F2421" s="126">
        <v>1.6999999999999999E-3</v>
      </c>
      <c r="G2421" s="127">
        <v>0.01</v>
      </c>
      <c r="H2421" s="126">
        <v>7.0000000000000001E-3</v>
      </c>
      <c r="I2421" s="127"/>
      <c r="J2421" s="127"/>
      <c r="K2421" s="126">
        <f t="shared" si="90"/>
        <v>1.7000000000000001E-2</v>
      </c>
      <c r="L2421" s="3"/>
      <c r="M2421" s="126">
        <f t="shared" si="89"/>
        <v>1.8700000000000001E-2</v>
      </c>
      <c r="O2421" s="125" t="s">
        <v>20962</v>
      </c>
      <c r="P2421" s="128" t="s">
        <v>26918</v>
      </c>
      <c r="Q2421" s="130">
        <v>314916</v>
      </c>
      <c r="R2421" s="124" t="s">
        <v>16348</v>
      </c>
      <c r="S2421" s="130">
        <v>313669</v>
      </c>
      <c r="T2421" s="142">
        <f>S2421/Q2421</f>
        <v>0.99604021389830943</v>
      </c>
      <c r="V2421" s="125" t="s">
        <v>18462</v>
      </c>
    </row>
    <row r="2422" spans="1:22" customFormat="1" x14ac:dyDescent="0.45">
      <c r="A2422">
        <v>509905</v>
      </c>
      <c r="B2422" t="s">
        <v>20963</v>
      </c>
      <c r="C2422" t="s">
        <v>20964</v>
      </c>
      <c r="D2422">
        <v>12</v>
      </c>
      <c r="F2422" s="126"/>
      <c r="G2422" s="7">
        <v>0</v>
      </c>
      <c r="H2422" s="7">
        <v>0</v>
      </c>
      <c r="I2422" s="7">
        <v>0</v>
      </c>
      <c r="J2422" s="7">
        <v>0</v>
      </c>
      <c r="K2422" s="3">
        <f t="shared" si="90"/>
        <v>0</v>
      </c>
      <c r="L2422" s="3"/>
      <c r="M2422" s="3">
        <f t="shared" si="89"/>
        <v>0</v>
      </c>
      <c r="O2422" s="5"/>
      <c r="S2422" s="6"/>
    </row>
    <row r="2423" spans="1:22" x14ac:dyDescent="0.45">
      <c r="A2423" s="124">
        <v>147608</v>
      </c>
      <c r="B2423" s="124" t="s">
        <v>20965</v>
      </c>
      <c r="C2423" s="124" t="s">
        <v>20961</v>
      </c>
      <c r="D2423" s="124">
        <v>4</v>
      </c>
      <c r="E2423" s="124" t="s">
        <v>16334</v>
      </c>
      <c r="F2423" s="126">
        <v>1.6999999999999999E-3</v>
      </c>
      <c r="G2423" s="127">
        <v>0.01</v>
      </c>
      <c r="H2423" s="127">
        <v>7.0000000000000001E-3</v>
      </c>
      <c r="I2423" s="127"/>
      <c r="J2423" s="127"/>
      <c r="K2423" s="126">
        <f t="shared" si="90"/>
        <v>1.7000000000000001E-2</v>
      </c>
      <c r="L2423" s="3"/>
      <c r="M2423" s="126">
        <f t="shared" si="89"/>
        <v>1.8700000000000001E-2</v>
      </c>
      <c r="O2423" s="125" t="s">
        <v>20962</v>
      </c>
      <c r="P2423" s="128" t="s">
        <v>26918</v>
      </c>
      <c r="Q2423" s="130">
        <v>314916</v>
      </c>
      <c r="R2423" s="124" t="s">
        <v>16348</v>
      </c>
      <c r="S2423" s="130">
        <v>313669</v>
      </c>
      <c r="T2423" s="142">
        <f>S2423/Q2423</f>
        <v>0.99604021389830943</v>
      </c>
      <c r="V2423" s="125" t="s">
        <v>18462</v>
      </c>
    </row>
    <row r="2424" spans="1:22" customFormat="1" x14ac:dyDescent="0.45">
      <c r="A2424">
        <v>510117</v>
      </c>
      <c r="B2424" t="s">
        <v>20966</v>
      </c>
      <c r="C2424" t="s">
        <v>20967</v>
      </c>
      <c r="D2424">
        <v>1</v>
      </c>
      <c r="F2424" s="126"/>
      <c r="G2424" s="7">
        <v>0</v>
      </c>
      <c r="H2424" s="7">
        <v>0</v>
      </c>
      <c r="I2424" s="7">
        <v>0</v>
      </c>
      <c r="J2424" s="7">
        <v>0</v>
      </c>
      <c r="K2424" s="3">
        <f t="shared" si="90"/>
        <v>0</v>
      </c>
      <c r="L2424" s="3"/>
      <c r="M2424" s="3">
        <f t="shared" si="89"/>
        <v>0</v>
      </c>
      <c r="O2424" s="5"/>
      <c r="S2424" s="6"/>
    </row>
    <row r="2425" spans="1:22" customFormat="1" x14ac:dyDescent="0.45">
      <c r="A2425">
        <v>511140</v>
      </c>
      <c r="B2425" t="s">
        <v>20968</v>
      </c>
      <c r="C2425" t="s">
        <v>20969</v>
      </c>
      <c r="D2425">
        <v>3</v>
      </c>
      <c r="F2425" s="126"/>
      <c r="K2425" s="3">
        <f t="shared" si="90"/>
        <v>0</v>
      </c>
      <c r="L2425" s="3"/>
      <c r="M2425" s="3">
        <f t="shared" si="89"/>
        <v>0</v>
      </c>
      <c r="O2425" s="5"/>
      <c r="S2425" s="6"/>
    </row>
    <row r="2426" spans="1:22" customFormat="1" x14ac:dyDescent="0.45">
      <c r="A2426">
        <v>511176</v>
      </c>
      <c r="B2426" t="s">
        <v>20970</v>
      </c>
      <c r="C2426" t="s">
        <v>20971</v>
      </c>
      <c r="D2426">
        <v>2</v>
      </c>
      <c r="F2426" s="126"/>
      <c r="G2426" s="7">
        <v>0</v>
      </c>
      <c r="H2426" s="7">
        <v>0</v>
      </c>
      <c r="I2426" s="7">
        <v>0</v>
      </c>
      <c r="J2426" s="7">
        <v>0</v>
      </c>
      <c r="K2426" s="3">
        <f t="shared" si="90"/>
        <v>0</v>
      </c>
      <c r="L2426" s="3"/>
      <c r="M2426" s="3">
        <f t="shared" si="89"/>
        <v>0</v>
      </c>
      <c r="O2426" s="5"/>
      <c r="S2426" s="6"/>
    </row>
    <row r="2427" spans="1:22" customFormat="1" x14ac:dyDescent="0.45">
      <c r="A2427">
        <v>511220</v>
      </c>
      <c r="B2427" t="s">
        <v>20972</v>
      </c>
      <c r="C2427" t="s">
        <v>20973</v>
      </c>
      <c r="D2427">
        <v>3</v>
      </c>
      <c r="F2427" s="126"/>
      <c r="G2427" s="7">
        <v>0</v>
      </c>
      <c r="H2427" s="7">
        <v>0</v>
      </c>
      <c r="I2427" s="7">
        <v>0</v>
      </c>
      <c r="J2427" s="7">
        <v>0</v>
      </c>
      <c r="K2427" s="3">
        <f t="shared" si="90"/>
        <v>0</v>
      </c>
      <c r="L2427" s="3"/>
      <c r="M2427" s="3">
        <f t="shared" si="89"/>
        <v>0</v>
      </c>
      <c r="O2427" s="5"/>
      <c r="S2427" s="6"/>
    </row>
    <row r="2428" spans="1:22" customFormat="1" x14ac:dyDescent="0.45">
      <c r="A2428">
        <v>511386</v>
      </c>
      <c r="B2428" t="s">
        <v>20974</v>
      </c>
      <c r="C2428" t="s">
        <v>20975</v>
      </c>
      <c r="D2428">
        <v>1</v>
      </c>
      <c r="F2428" s="126"/>
      <c r="K2428" s="3">
        <f t="shared" si="90"/>
        <v>0</v>
      </c>
      <c r="L2428" s="3"/>
      <c r="M2428" s="3">
        <f t="shared" si="89"/>
        <v>0</v>
      </c>
      <c r="O2428" s="5"/>
      <c r="S2428" s="6"/>
    </row>
    <row r="2429" spans="1:22" customFormat="1" x14ac:dyDescent="0.45">
      <c r="A2429">
        <v>511417</v>
      </c>
      <c r="B2429" t="s">
        <v>20976</v>
      </c>
      <c r="C2429" t="s">
        <v>20977</v>
      </c>
      <c r="D2429">
        <v>4</v>
      </c>
      <c r="F2429" s="126"/>
      <c r="G2429" s="7">
        <v>0</v>
      </c>
      <c r="H2429" s="7">
        <v>0</v>
      </c>
      <c r="I2429" s="7">
        <v>0</v>
      </c>
      <c r="J2429" s="7">
        <v>0</v>
      </c>
      <c r="K2429" s="3">
        <f t="shared" si="90"/>
        <v>0</v>
      </c>
      <c r="L2429" s="3"/>
      <c r="M2429" s="3">
        <f t="shared" si="89"/>
        <v>0</v>
      </c>
      <c r="O2429" s="5"/>
      <c r="S2429" s="6"/>
    </row>
    <row r="2430" spans="1:22" customFormat="1" x14ac:dyDescent="0.45">
      <c r="A2430">
        <v>511609</v>
      </c>
      <c r="B2430" t="s">
        <v>20978</v>
      </c>
      <c r="C2430" t="s">
        <v>16331</v>
      </c>
      <c r="D2430">
        <v>1</v>
      </c>
      <c r="E2430" t="s">
        <v>16331</v>
      </c>
      <c r="F2430" s="126"/>
      <c r="G2430" s="7">
        <v>0</v>
      </c>
      <c r="H2430" s="7">
        <v>0</v>
      </c>
      <c r="I2430" s="7">
        <v>0</v>
      </c>
      <c r="J2430" s="7">
        <v>0</v>
      </c>
      <c r="K2430" s="3">
        <f t="shared" si="90"/>
        <v>0</v>
      </c>
      <c r="L2430" s="3"/>
      <c r="M2430" s="3">
        <f t="shared" si="89"/>
        <v>0</v>
      </c>
      <c r="O2430" s="5"/>
      <c r="S2430" s="6"/>
    </row>
    <row r="2431" spans="1:22" customFormat="1" x14ac:dyDescent="0.45">
      <c r="A2431">
        <v>511619</v>
      </c>
      <c r="B2431" t="s">
        <v>20979</v>
      </c>
      <c r="C2431" t="s">
        <v>20980</v>
      </c>
      <c r="D2431">
        <v>2</v>
      </c>
      <c r="F2431" s="126"/>
      <c r="G2431" s="7">
        <v>0</v>
      </c>
      <c r="H2431" s="7">
        <v>0</v>
      </c>
      <c r="I2431" s="7">
        <v>0</v>
      </c>
      <c r="J2431" s="7">
        <v>0</v>
      </c>
      <c r="K2431" s="3">
        <f t="shared" si="90"/>
        <v>0</v>
      </c>
      <c r="L2431" s="3"/>
      <c r="M2431" s="3">
        <f t="shared" si="89"/>
        <v>0</v>
      </c>
      <c r="O2431" s="5"/>
      <c r="S2431" s="6"/>
    </row>
    <row r="2432" spans="1:22" customFormat="1" x14ac:dyDescent="0.45">
      <c r="A2432">
        <v>511977</v>
      </c>
      <c r="B2432" t="s">
        <v>20981</v>
      </c>
      <c r="C2432" t="s">
        <v>16331</v>
      </c>
      <c r="D2432">
        <v>2</v>
      </c>
      <c r="E2432" t="s">
        <v>16331</v>
      </c>
      <c r="F2432" s="126"/>
      <c r="G2432" s="7">
        <v>0</v>
      </c>
      <c r="H2432" s="7">
        <v>0</v>
      </c>
      <c r="I2432" s="7">
        <v>0</v>
      </c>
      <c r="J2432" s="7">
        <v>0</v>
      </c>
      <c r="K2432" s="3">
        <f t="shared" si="90"/>
        <v>0</v>
      </c>
      <c r="L2432" s="3"/>
      <c r="M2432" s="3">
        <f t="shared" si="89"/>
        <v>0</v>
      </c>
      <c r="O2432" s="5"/>
      <c r="S2432" s="6"/>
    </row>
    <row r="2433" spans="1:19" customFormat="1" x14ac:dyDescent="0.45">
      <c r="A2433">
        <v>512084</v>
      </c>
      <c r="B2433" t="s">
        <v>20982</v>
      </c>
      <c r="C2433" t="s">
        <v>20983</v>
      </c>
      <c r="D2433">
        <v>2</v>
      </c>
      <c r="F2433" s="126"/>
      <c r="K2433" s="3">
        <f t="shared" si="90"/>
        <v>0</v>
      </c>
      <c r="L2433" s="3"/>
      <c r="M2433" s="3">
        <f t="shared" si="89"/>
        <v>0</v>
      </c>
      <c r="O2433" s="5"/>
      <c r="S2433" s="6"/>
    </row>
    <row r="2434" spans="1:19" customFormat="1" x14ac:dyDescent="0.45">
      <c r="A2434">
        <v>512100</v>
      </c>
      <c r="B2434" t="s">
        <v>20984</v>
      </c>
      <c r="C2434" t="s">
        <v>16331</v>
      </c>
      <c r="D2434">
        <v>1</v>
      </c>
      <c r="E2434" t="s">
        <v>16331</v>
      </c>
      <c r="F2434" s="126"/>
      <c r="G2434" s="7">
        <v>0</v>
      </c>
      <c r="H2434" s="7">
        <v>0</v>
      </c>
      <c r="I2434" s="7">
        <v>0</v>
      </c>
      <c r="J2434" s="7">
        <v>0</v>
      </c>
      <c r="K2434" s="3">
        <f t="shared" si="90"/>
        <v>0</v>
      </c>
      <c r="L2434" s="3"/>
      <c r="M2434" s="3">
        <f t="shared" si="89"/>
        <v>0</v>
      </c>
      <c r="O2434" s="5"/>
      <c r="S2434" s="6"/>
    </row>
    <row r="2435" spans="1:19" customFormat="1" x14ac:dyDescent="0.45">
      <c r="A2435">
        <v>512406</v>
      </c>
      <c r="B2435" t="s">
        <v>20985</v>
      </c>
      <c r="C2435" t="s">
        <v>20986</v>
      </c>
      <c r="D2435">
        <v>5</v>
      </c>
      <c r="F2435" s="126"/>
      <c r="G2435" s="3">
        <v>0</v>
      </c>
      <c r="H2435" s="3">
        <v>0</v>
      </c>
      <c r="I2435" s="3">
        <v>0</v>
      </c>
      <c r="J2435" s="3">
        <v>0</v>
      </c>
      <c r="K2435" s="3">
        <f t="shared" si="90"/>
        <v>0</v>
      </c>
      <c r="L2435" s="3"/>
      <c r="M2435" s="3">
        <f t="shared" si="89"/>
        <v>0</v>
      </c>
      <c r="O2435" s="5"/>
      <c r="S2435" s="6"/>
    </row>
    <row r="2436" spans="1:19" customFormat="1" x14ac:dyDescent="0.45">
      <c r="A2436">
        <v>512436</v>
      </c>
      <c r="B2436" t="s">
        <v>20987</v>
      </c>
      <c r="C2436" t="s">
        <v>16331</v>
      </c>
      <c r="D2436">
        <v>2</v>
      </c>
      <c r="E2436" t="s">
        <v>16331</v>
      </c>
      <c r="F2436" s="126"/>
      <c r="G2436" s="7">
        <v>0</v>
      </c>
      <c r="H2436" s="7">
        <v>0</v>
      </c>
      <c r="I2436" s="7">
        <v>0</v>
      </c>
      <c r="J2436" s="7">
        <v>0</v>
      </c>
      <c r="K2436" s="3">
        <f t="shared" si="90"/>
        <v>0</v>
      </c>
      <c r="L2436" s="3"/>
      <c r="M2436" s="3">
        <f t="shared" si="89"/>
        <v>0</v>
      </c>
      <c r="O2436" s="5"/>
      <c r="S2436" s="6"/>
    </row>
    <row r="2437" spans="1:19" customFormat="1" x14ac:dyDescent="0.45">
      <c r="A2437">
        <v>512448</v>
      </c>
      <c r="B2437" t="s">
        <v>20988</v>
      </c>
      <c r="C2437" t="s">
        <v>16331</v>
      </c>
      <c r="D2437">
        <v>3</v>
      </c>
      <c r="E2437" t="s">
        <v>16331</v>
      </c>
      <c r="F2437" s="126"/>
      <c r="G2437" s="7">
        <v>0</v>
      </c>
      <c r="H2437" s="7">
        <v>0</v>
      </c>
      <c r="I2437" s="7">
        <v>0</v>
      </c>
      <c r="J2437" s="7">
        <v>0</v>
      </c>
      <c r="K2437" s="3">
        <f t="shared" si="90"/>
        <v>0</v>
      </c>
      <c r="L2437" s="3"/>
      <c r="M2437" s="3">
        <f t="shared" si="89"/>
        <v>0</v>
      </c>
      <c r="O2437" s="5"/>
      <c r="S2437" s="6"/>
    </row>
    <row r="2438" spans="1:19" customFormat="1" x14ac:dyDescent="0.45">
      <c r="A2438">
        <v>512486</v>
      </c>
      <c r="B2438" t="s">
        <v>20989</v>
      </c>
      <c r="C2438" t="s">
        <v>16331</v>
      </c>
      <c r="D2438">
        <v>1</v>
      </c>
      <c r="E2438" t="s">
        <v>16331</v>
      </c>
      <c r="F2438" s="126"/>
      <c r="G2438" s="7">
        <v>0</v>
      </c>
      <c r="H2438" s="7">
        <v>0</v>
      </c>
      <c r="I2438" s="7">
        <v>0</v>
      </c>
      <c r="J2438" s="7">
        <v>0</v>
      </c>
      <c r="K2438" s="3">
        <f t="shared" si="90"/>
        <v>0</v>
      </c>
      <c r="L2438" s="3"/>
      <c r="M2438" s="3">
        <f t="shared" si="89"/>
        <v>0</v>
      </c>
      <c r="O2438" s="5"/>
      <c r="S2438" s="6"/>
    </row>
    <row r="2439" spans="1:19" customFormat="1" x14ac:dyDescent="0.45">
      <c r="A2439">
        <v>512517</v>
      </c>
      <c r="B2439" t="s">
        <v>20990</v>
      </c>
      <c r="C2439" t="s">
        <v>16331</v>
      </c>
      <c r="D2439">
        <v>1</v>
      </c>
      <c r="E2439" t="s">
        <v>16331</v>
      </c>
      <c r="F2439" s="126"/>
      <c r="K2439" s="3">
        <f t="shared" si="90"/>
        <v>0</v>
      </c>
      <c r="L2439" s="3"/>
      <c r="M2439" s="3">
        <f t="shared" si="89"/>
        <v>0</v>
      </c>
      <c r="O2439" s="5"/>
      <c r="S2439" s="6"/>
    </row>
    <row r="2440" spans="1:19" customFormat="1" x14ac:dyDescent="0.45">
      <c r="A2440">
        <v>512554</v>
      </c>
      <c r="B2440" t="s">
        <v>20991</v>
      </c>
      <c r="C2440" t="s">
        <v>20992</v>
      </c>
      <c r="D2440">
        <v>1</v>
      </c>
      <c r="F2440" s="126"/>
      <c r="G2440" s="3">
        <v>0</v>
      </c>
      <c r="H2440" s="3">
        <v>0</v>
      </c>
      <c r="I2440" s="3">
        <v>0</v>
      </c>
      <c r="J2440" s="3">
        <v>0</v>
      </c>
      <c r="K2440" s="3">
        <f t="shared" si="90"/>
        <v>0</v>
      </c>
      <c r="L2440" s="3"/>
      <c r="M2440" s="3">
        <f t="shared" si="89"/>
        <v>0</v>
      </c>
      <c r="O2440" s="5"/>
      <c r="S2440" s="6"/>
    </row>
    <row r="2441" spans="1:19" customFormat="1" x14ac:dyDescent="0.45">
      <c r="A2441">
        <v>513138</v>
      </c>
      <c r="B2441" t="s">
        <v>20993</v>
      </c>
      <c r="C2441" t="s">
        <v>20994</v>
      </c>
      <c r="D2441">
        <v>13</v>
      </c>
      <c r="F2441" s="126"/>
      <c r="G2441" s="7">
        <v>0</v>
      </c>
      <c r="H2441" s="7">
        <v>0</v>
      </c>
      <c r="I2441" s="7">
        <v>0</v>
      </c>
      <c r="J2441" s="7">
        <v>0</v>
      </c>
      <c r="K2441" s="3">
        <f t="shared" si="90"/>
        <v>0</v>
      </c>
      <c r="L2441" s="3"/>
      <c r="M2441" s="3">
        <f t="shared" si="89"/>
        <v>0</v>
      </c>
      <c r="N2441" s="7"/>
      <c r="O2441" s="5"/>
      <c r="S2441" s="6"/>
    </row>
    <row r="2442" spans="1:19" customFormat="1" x14ac:dyDescent="0.45">
      <c r="A2442">
        <v>513177</v>
      </c>
      <c r="B2442" t="s">
        <v>20995</v>
      </c>
      <c r="C2442" t="s">
        <v>20996</v>
      </c>
      <c r="D2442">
        <v>2</v>
      </c>
      <c r="F2442" s="126"/>
      <c r="G2442" s="7">
        <v>0</v>
      </c>
      <c r="H2442" s="7">
        <v>0</v>
      </c>
      <c r="I2442" s="7">
        <v>0</v>
      </c>
      <c r="J2442" s="7">
        <v>0</v>
      </c>
      <c r="K2442" s="3">
        <f t="shared" si="90"/>
        <v>0</v>
      </c>
      <c r="L2442" s="3"/>
      <c r="M2442" s="3">
        <f t="shared" ref="M2442:M2505" si="91">K2442+F2442</f>
        <v>0</v>
      </c>
      <c r="O2442" s="5"/>
      <c r="S2442" s="6"/>
    </row>
    <row r="2443" spans="1:19" customFormat="1" x14ac:dyDescent="0.45">
      <c r="A2443">
        <v>513178</v>
      </c>
      <c r="B2443" t="s">
        <v>20997</v>
      </c>
      <c r="C2443" t="s">
        <v>20998</v>
      </c>
      <c r="D2443">
        <v>4</v>
      </c>
      <c r="F2443" s="126"/>
      <c r="G2443" s="7">
        <v>0</v>
      </c>
      <c r="H2443" s="7">
        <v>0</v>
      </c>
      <c r="I2443" s="7">
        <v>0</v>
      </c>
      <c r="J2443" s="7">
        <v>0</v>
      </c>
      <c r="K2443" s="3">
        <f t="shared" si="90"/>
        <v>0</v>
      </c>
      <c r="L2443" s="3"/>
      <c r="M2443" s="3">
        <f t="shared" si="91"/>
        <v>0</v>
      </c>
      <c r="O2443" s="5"/>
      <c r="S2443" s="6"/>
    </row>
    <row r="2444" spans="1:19" customFormat="1" x14ac:dyDescent="0.45">
      <c r="A2444">
        <v>513210</v>
      </c>
      <c r="B2444" t="s">
        <v>20999</v>
      </c>
      <c r="C2444" t="s">
        <v>21000</v>
      </c>
      <c r="D2444">
        <v>3</v>
      </c>
      <c r="F2444" s="126"/>
      <c r="G2444" s="7">
        <v>0</v>
      </c>
      <c r="H2444" s="7">
        <v>0</v>
      </c>
      <c r="I2444" s="7">
        <v>0</v>
      </c>
      <c r="J2444" s="7">
        <v>0</v>
      </c>
      <c r="K2444" s="3">
        <f t="shared" si="90"/>
        <v>0</v>
      </c>
      <c r="L2444" s="3"/>
      <c r="M2444" s="3">
        <f t="shared" si="91"/>
        <v>0</v>
      </c>
      <c r="O2444" s="5"/>
      <c r="S2444" s="6"/>
    </row>
    <row r="2445" spans="1:19" customFormat="1" x14ac:dyDescent="0.45">
      <c r="A2445">
        <v>513246</v>
      </c>
      <c r="B2445" t="s">
        <v>21001</v>
      </c>
      <c r="C2445" t="s">
        <v>21002</v>
      </c>
      <c r="D2445">
        <v>22</v>
      </c>
      <c r="F2445" s="126"/>
      <c r="G2445" s="7">
        <v>0</v>
      </c>
      <c r="H2445" s="7">
        <v>0</v>
      </c>
      <c r="I2445" s="7">
        <v>0</v>
      </c>
      <c r="J2445" s="7">
        <v>0</v>
      </c>
      <c r="K2445" s="3">
        <f t="shared" si="90"/>
        <v>0</v>
      </c>
      <c r="L2445" s="3"/>
      <c r="M2445" s="3">
        <f t="shared" si="91"/>
        <v>0</v>
      </c>
      <c r="N2445" s="7"/>
      <c r="O2445" s="5"/>
      <c r="S2445" s="6"/>
    </row>
    <row r="2446" spans="1:19" customFormat="1" x14ac:dyDescent="0.45">
      <c r="A2446">
        <v>513250</v>
      </c>
      <c r="B2446" t="s">
        <v>21003</v>
      </c>
      <c r="C2446" t="s">
        <v>16331</v>
      </c>
      <c r="D2446">
        <v>2</v>
      </c>
      <c r="E2446" t="s">
        <v>16331</v>
      </c>
      <c r="F2446" s="126"/>
      <c r="G2446" s="7">
        <v>0</v>
      </c>
      <c r="H2446" s="7">
        <v>0</v>
      </c>
      <c r="I2446" s="7">
        <v>0</v>
      </c>
      <c r="J2446" s="7">
        <v>0</v>
      </c>
      <c r="K2446" s="3">
        <f t="shared" si="90"/>
        <v>0</v>
      </c>
      <c r="L2446" s="3"/>
      <c r="M2446" s="3">
        <f t="shared" si="91"/>
        <v>0</v>
      </c>
      <c r="O2446" s="5"/>
      <c r="S2446" s="6"/>
    </row>
    <row r="2447" spans="1:19" customFormat="1" x14ac:dyDescent="0.45">
      <c r="A2447">
        <v>513289</v>
      </c>
      <c r="B2447" t="s">
        <v>21004</v>
      </c>
      <c r="C2447" t="s">
        <v>21005</v>
      </c>
      <c r="D2447">
        <v>18</v>
      </c>
      <c r="E2447" t="s">
        <v>16334</v>
      </c>
      <c r="F2447" s="126"/>
      <c r="G2447" s="3">
        <v>0</v>
      </c>
      <c r="H2447" s="3">
        <v>0</v>
      </c>
      <c r="I2447" s="3">
        <v>0</v>
      </c>
      <c r="J2447" s="3">
        <v>0</v>
      </c>
      <c r="K2447" s="3">
        <f t="shared" si="90"/>
        <v>0</v>
      </c>
      <c r="L2447" s="3"/>
      <c r="M2447" s="3">
        <f t="shared" si="91"/>
        <v>0</v>
      </c>
      <c r="O2447" s="5"/>
      <c r="S2447" s="6"/>
    </row>
    <row r="2448" spans="1:19" customFormat="1" x14ac:dyDescent="0.45">
      <c r="A2448">
        <v>513562</v>
      </c>
      <c r="B2448" t="s">
        <v>21006</v>
      </c>
      <c r="C2448" s="2" t="s">
        <v>21007</v>
      </c>
      <c r="D2448">
        <v>1</v>
      </c>
      <c r="F2448" s="126"/>
      <c r="G2448" s="3">
        <v>0</v>
      </c>
      <c r="H2448" s="3">
        <v>0</v>
      </c>
      <c r="I2448" s="3">
        <v>0</v>
      </c>
      <c r="J2448" s="3">
        <v>0</v>
      </c>
      <c r="K2448" s="3">
        <f t="shared" si="90"/>
        <v>0</v>
      </c>
      <c r="L2448" s="3"/>
      <c r="M2448" s="3">
        <f t="shared" si="91"/>
        <v>0</v>
      </c>
      <c r="O2448" s="5"/>
      <c r="S2448" s="6"/>
    </row>
    <row r="2449" spans="1:22" customFormat="1" x14ac:dyDescent="0.45">
      <c r="A2449">
        <v>513637</v>
      </c>
      <c r="B2449" t="s">
        <v>21008</v>
      </c>
      <c r="C2449" t="s">
        <v>21009</v>
      </c>
      <c r="D2449">
        <v>1</v>
      </c>
      <c r="F2449" s="126"/>
      <c r="G2449" s="7">
        <v>0</v>
      </c>
      <c r="H2449" s="7">
        <v>0</v>
      </c>
      <c r="I2449" s="7">
        <v>0</v>
      </c>
      <c r="J2449" s="7">
        <v>0</v>
      </c>
      <c r="K2449" s="3">
        <f t="shared" si="90"/>
        <v>0</v>
      </c>
      <c r="L2449" s="3"/>
      <c r="M2449" s="3">
        <f t="shared" si="91"/>
        <v>0</v>
      </c>
      <c r="O2449" s="5"/>
      <c r="S2449" s="6"/>
    </row>
    <row r="2450" spans="1:22" customFormat="1" x14ac:dyDescent="0.45">
      <c r="A2450">
        <v>513644</v>
      </c>
      <c r="B2450" t="s">
        <v>21010</v>
      </c>
      <c r="C2450" t="s">
        <v>21011</v>
      </c>
      <c r="D2450">
        <v>1</v>
      </c>
      <c r="F2450" s="126"/>
      <c r="G2450" s="7">
        <v>0</v>
      </c>
      <c r="H2450" s="7">
        <v>0</v>
      </c>
      <c r="I2450" s="7">
        <v>0</v>
      </c>
      <c r="J2450" s="7">
        <v>0</v>
      </c>
      <c r="K2450" s="3">
        <f t="shared" si="90"/>
        <v>0</v>
      </c>
      <c r="L2450" s="3"/>
      <c r="M2450" s="3">
        <f t="shared" si="91"/>
        <v>0</v>
      </c>
      <c r="O2450" s="5"/>
      <c r="S2450" s="6"/>
    </row>
    <row r="2451" spans="1:22" x14ac:dyDescent="0.45">
      <c r="A2451" s="124">
        <v>192999</v>
      </c>
      <c r="B2451" s="124" t="s">
        <v>21012</v>
      </c>
      <c r="C2451" s="124" t="s">
        <v>21013</v>
      </c>
      <c r="D2451" s="124">
        <v>34</v>
      </c>
      <c r="E2451" s="124" t="s">
        <v>16334</v>
      </c>
      <c r="F2451" s="126">
        <v>1.6999999999999999E-3</v>
      </c>
      <c r="G2451" s="127">
        <v>0.01</v>
      </c>
      <c r="H2451" s="127">
        <v>7.0000000000000001E-3</v>
      </c>
      <c r="I2451" s="127">
        <v>0</v>
      </c>
      <c r="J2451" s="127">
        <v>0</v>
      </c>
      <c r="K2451" s="126">
        <f t="shared" si="90"/>
        <v>1.7000000000000001E-2</v>
      </c>
      <c r="L2451" s="3"/>
      <c r="M2451" s="126">
        <f t="shared" si="91"/>
        <v>1.8700000000000001E-2</v>
      </c>
      <c r="O2451" s="125" t="s">
        <v>20962</v>
      </c>
      <c r="P2451" s="128" t="s">
        <v>26918</v>
      </c>
      <c r="Q2451" s="132">
        <v>771625</v>
      </c>
      <c r="R2451" s="124" t="s">
        <v>16348</v>
      </c>
      <c r="S2451" s="130">
        <v>759247</v>
      </c>
      <c r="T2451" s="129">
        <f>S2451/Q2451</f>
        <v>0.98395852907824399</v>
      </c>
      <c r="V2451" s="125" t="s">
        <v>21014</v>
      </c>
    </row>
    <row r="2452" spans="1:22" customFormat="1" x14ac:dyDescent="0.45">
      <c r="A2452">
        <v>513667</v>
      </c>
      <c r="B2452" t="s">
        <v>21015</v>
      </c>
      <c r="C2452" t="s">
        <v>21016</v>
      </c>
      <c r="D2452">
        <v>7</v>
      </c>
      <c r="F2452" s="126"/>
      <c r="G2452" s="3">
        <v>0</v>
      </c>
      <c r="H2452" s="3">
        <v>0</v>
      </c>
      <c r="I2452" s="3">
        <v>0</v>
      </c>
      <c r="J2452" s="3">
        <v>0</v>
      </c>
      <c r="K2452" s="3">
        <f t="shared" si="90"/>
        <v>0</v>
      </c>
      <c r="L2452" s="3"/>
      <c r="M2452" s="3">
        <f t="shared" si="91"/>
        <v>0</v>
      </c>
      <c r="O2452" s="5"/>
      <c r="S2452" s="6"/>
    </row>
    <row r="2453" spans="1:22" customFormat="1" x14ac:dyDescent="0.45">
      <c r="A2453">
        <v>513673</v>
      </c>
      <c r="B2453" t="s">
        <v>21017</v>
      </c>
      <c r="C2453" t="s">
        <v>21018</v>
      </c>
      <c r="D2453">
        <v>2</v>
      </c>
      <c r="F2453" s="126"/>
      <c r="G2453" s="7">
        <v>0</v>
      </c>
      <c r="H2453" s="7">
        <v>0</v>
      </c>
      <c r="I2453" s="7">
        <v>0</v>
      </c>
      <c r="J2453" s="7">
        <v>0</v>
      </c>
      <c r="K2453" s="3">
        <f t="shared" si="90"/>
        <v>0</v>
      </c>
      <c r="L2453" s="3"/>
      <c r="M2453" s="3">
        <f t="shared" si="91"/>
        <v>0</v>
      </c>
      <c r="O2453" s="5"/>
      <c r="S2453" s="6"/>
    </row>
    <row r="2454" spans="1:22" customFormat="1" x14ac:dyDescent="0.45">
      <c r="A2454">
        <v>513803</v>
      </c>
      <c r="B2454" t="s">
        <v>21019</v>
      </c>
      <c r="C2454" t="s">
        <v>21020</v>
      </c>
      <c r="D2454">
        <v>3</v>
      </c>
      <c r="F2454" s="126"/>
      <c r="K2454" s="3">
        <f t="shared" si="90"/>
        <v>0</v>
      </c>
      <c r="L2454" s="3"/>
      <c r="M2454" s="3">
        <f t="shared" si="91"/>
        <v>0</v>
      </c>
      <c r="O2454" s="5"/>
      <c r="S2454" s="6"/>
    </row>
    <row r="2455" spans="1:22" customFormat="1" x14ac:dyDescent="0.45">
      <c r="A2455">
        <v>513993</v>
      </c>
      <c r="B2455" t="s">
        <v>21021</v>
      </c>
      <c r="C2455" t="s">
        <v>16331</v>
      </c>
      <c r="D2455">
        <v>3</v>
      </c>
      <c r="E2455" t="s">
        <v>16331</v>
      </c>
      <c r="F2455" s="126"/>
      <c r="G2455" s="7">
        <v>0</v>
      </c>
      <c r="H2455" s="7">
        <v>0</v>
      </c>
      <c r="I2455" s="7">
        <v>0</v>
      </c>
      <c r="J2455" s="7">
        <v>0</v>
      </c>
      <c r="K2455" s="3">
        <f t="shared" si="90"/>
        <v>0</v>
      </c>
      <c r="L2455" s="3"/>
      <c r="M2455" s="3">
        <f t="shared" si="91"/>
        <v>0</v>
      </c>
      <c r="O2455" s="5"/>
      <c r="S2455" s="6"/>
    </row>
    <row r="2456" spans="1:22" customFormat="1" x14ac:dyDescent="0.45">
      <c r="A2456">
        <v>514128</v>
      </c>
      <c r="B2456" t="s">
        <v>21022</v>
      </c>
      <c r="C2456" t="s">
        <v>16331</v>
      </c>
      <c r="D2456">
        <v>2</v>
      </c>
      <c r="E2456" t="s">
        <v>16331</v>
      </c>
      <c r="F2456" s="126"/>
      <c r="G2456" s="7">
        <v>0</v>
      </c>
      <c r="H2456" s="7">
        <v>0</v>
      </c>
      <c r="I2456" s="7">
        <v>0</v>
      </c>
      <c r="J2456" s="7">
        <v>0</v>
      </c>
      <c r="K2456" s="3">
        <f t="shared" si="90"/>
        <v>0</v>
      </c>
      <c r="L2456" s="3"/>
      <c r="M2456" s="3">
        <f t="shared" si="91"/>
        <v>0</v>
      </c>
      <c r="O2456" s="5"/>
      <c r="S2456" s="6"/>
    </row>
    <row r="2457" spans="1:22" customFormat="1" x14ac:dyDescent="0.45">
      <c r="A2457">
        <v>514205</v>
      </c>
      <c r="B2457" t="s">
        <v>21023</v>
      </c>
      <c r="C2457" t="s">
        <v>16331</v>
      </c>
      <c r="D2457">
        <v>0</v>
      </c>
      <c r="E2457" t="s">
        <v>16331</v>
      </c>
      <c r="F2457" s="126"/>
      <c r="G2457" s="7">
        <v>0</v>
      </c>
      <c r="H2457" s="7">
        <v>0</v>
      </c>
      <c r="I2457" s="7">
        <v>0</v>
      </c>
      <c r="J2457" s="7">
        <v>0</v>
      </c>
      <c r="K2457" s="3">
        <f t="shared" si="90"/>
        <v>0</v>
      </c>
      <c r="L2457" s="3"/>
      <c r="M2457" s="3">
        <f t="shared" si="91"/>
        <v>0</v>
      </c>
      <c r="O2457" s="5"/>
      <c r="S2457" s="6"/>
    </row>
    <row r="2458" spans="1:22" customFormat="1" x14ac:dyDescent="0.45">
      <c r="A2458">
        <v>514224</v>
      </c>
      <c r="B2458" t="s">
        <v>21024</v>
      </c>
      <c r="C2458" t="s">
        <v>21025</v>
      </c>
      <c r="D2458">
        <v>8</v>
      </c>
      <c r="F2458" s="126"/>
      <c r="G2458" s="7">
        <v>0</v>
      </c>
      <c r="H2458" s="7">
        <v>0</v>
      </c>
      <c r="I2458" s="7">
        <v>0</v>
      </c>
      <c r="J2458" s="7">
        <v>0</v>
      </c>
      <c r="K2458" s="3">
        <f t="shared" si="90"/>
        <v>0</v>
      </c>
      <c r="L2458" s="3"/>
      <c r="M2458" s="3">
        <f t="shared" si="91"/>
        <v>0</v>
      </c>
      <c r="O2458" s="5"/>
      <c r="S2458" s="6"/>
    </row>
    <row r="2459" spans="1:22" customFormat="1" x14ac:dyDescent="0.45">
      <c r="A2459">
        <v>514240</v>
      </c>
      <c r="B2459" t="s">
        <v>21026</v>
      </c>
      <c r="C2459" t="s">
        <v>16331</v>
      </c>
      <c r="D2459">
        <v>1</v>
      </c>
      <c r="E2459" t="s">
        <v>16331</v>
      </c>
      <c r="F2459" s="126"/>
      <c r="G2459" s="7">
        <v>0</v>
      </c>
      <c r="H2459" s="7">
        <v>0</v>
      </c>
      <c r="I2459" s="7">
        <v>0</v>
      </c>
      <c r="J2459" s="7">
        <v>0</v>
      </c>
      <c r="K2459" s="3">
        <f t="shared" si="90"/>
        <v>0</v>
      </c>
      <c r="L2459" s="3"/>
      <c r="M2459" s="3">
        <f t="shared" si="91"/>
        <v>0</v>
      </c>
      <c r="O2459" s="5"/>
      <c r="S2459" s="6"/>
    </row>
    <row r="2460" spans="1:22" customFormat="1" x14ac:dyDescent="0.45">
      <c r="A2460">
        <v>514264</v>
      </c>
      <c r="B2460" t="s">
        <v>21027</v>
      </c>
      <c r="C2460" t="s">
        <v>21028</v>
      </c>
      <c r="D2460">
        <v>1</v>
      </c>
      <c r="F2460" s="126"/>
      <c r="G2460" s="7">
        <v>0</v>
      </c>
      <c r="H2460" s="7">
        <v>0</v>
      </c>
      <c r="I2460" s="7">
        <v>0</v>
      </c>
      <c r="J2460" s="7">
        <v>0</v>
      </c>
      <c r="K2460" s="3">
        <f t="shared" si="90"/>
        <v>0</v>
      </c>
      <c r="L2460" s="3"/>
      <c r="M2460" s="3">
        <f t="shared" si="91"/>
        <v>0</v>
      </c>
      <c r="N2460" s="7"/>
      <c r="O2460" s="5"/>
      <c r="S2460" s="6"/>
    </row>
    <row r="2461" spans="1:22" customFormat="1" x14ac:dyDescent="0.45">
      <c r="A2461">
        <v>514290</v>
      </c>
      <c r="B2461" t="s">
        <v>21029</v>
      </c>
      <c r="C2461" t="s">
        <v>21030</v>
      </c>
      <c r="D2461">
        <v>1</v>
      </c>
      <c r="F2461" s="126"/>
      <c r="K2461" s="3">
        <f t="shared" si="90"/>
        <v>0</v>
      </c>
      <c r="L2461" s="3"/>
      <c r="M2461" s="3">
        <f t="shared" si="91"/>
        <v>0</v>
      </c>
      <c r="O2461" s="5"/>
      <c r="S2461" s="6"/>
    </row>
    <row r="2462" spans="1:22" customFormat="1" x14ac:dyDescent="0.45">
      <c r="A2462">
        <v>514308</v>
      </c>
      <c r="B2462" t="s">
        <v>21031</v>
      </c>
      <c r="C2462" t="s">
        <v>21032</v>
      </c>
      <c r="D2462">
        <v>2</v>
      </c>
      <c r="F2462" s="126"/>
      <c r="G2462" s="7">
        <v>0</v>
      </c>
      <c r="H2462" s="7">
        <v>0</v>
      </c>
      <c r="I2462" s="7">
        <v>0</v>
      </c>
      <c r="J2462" s="7">
        <v>0</v>
      </c>
      <c r="K2462" s="3">
        <f t="shared" si="90"/>
        <v>0</v>
      </c>
      <c r="L2462" s="3"/>
      <c r="M2462" s="3">
        <f t="shared" si="91"/>
        <v>0</v>
      </c>
      <c r="O2462" s="5"/>
      <c r="S2462" s="6"/>
    </row>
    <row r="2463" spans="1:22" customFormat="1" x14ac:dyDescent="0.45">
      <c r="A2463">
        <v>514387</v>
      </c>
      <c r="B2463" t="s">
        <v>21033</v>
      </c>
      <c r="C2463" t="s">
        <v>21034</v>
      </c>
      <c r="D2463">
        <v>2</v>
      </c>
      <c r="F2463" s="126"/>
      <c r="G2463" s="7">
        <v>0</v>
      </c>
      <c r="H2463" s="7">
        <v>0</v>
      </c>
      <c r="I2463" s="7">
        <v>0</v>
      </c>
      <c r="J2463" s="7">
        <v>0</v>
      </c>
      <c r="K2463" s="3">
        <f t="shared" si="90"/>
        <v>0</v>
      </c>
      <c r="L2463" s="3"/>
      <c r="M2463" s="3">
        <f t="shared" si="91"/>
        <v>0</v>
      </c>
      <c r="O2463" s="5"/>
      <c r="S2463" s="6"/>
    </row>
    <row r="2464" spans="1:22" customFormat="1" x14ac:dyDescent="0.45">
      <c r="A2464">
        <v>514394</v>
      </c>
      <c r="B2464" t="s">
        <v>21035</v>
      </c>
      <c r="C2464" t="s">
        <v>21036</v>
      </c>
      <c r="D2464">
        <v>0</v>
      </c>
      <c r="E2464" t="s">
        <v>16561</v>
      </c>
      <c r="F2464" s="126"/>
      <c r="G2464" s="7">
        <v>0</v>
      </c>
      <c r="H2464" s="7">
        <v>0</v>
      </c>
      <c r="I2464" s="7">
        <v>0</v>
      </c>
      <c r="J2464" s="7">
        <v>0</v>
      </c>
      <c r="K2464" s="3">
        <f t="shared" si="90"/>
        <v>0</v>
      </c>
      <c r="L2464" s="3"/>
      <c r="M2464" s="3">
        <f t="shared" si="91"/>
        <v>0</v>
      </c>
      <c r="N2464" s="7"/>
      <c r="O2464" s="5"/>
      <c r="S2464" s="6"/>
    </row>
    <row r="2465" spans="1:22" customFormat="1" x14ac:dyDescent="0.45">
      <c r="A2465">
        <v>514480</v>
      </c>
      <c r="B2465" t="s">
        <v>21037</v>
      </c>
      <c r="C2465" t="s">
        <v>21038</v>
      </c>
      <c r="D2465">
        <v>7</v>
      </c>
      <c r="F2465" s="126"/>
      <c r="G2465" s="7">
        <v>0</v>
      </c>
      <c r="H2465" s="7">
        <v>0</v>
      </c>
      <c r="I2465" s="7">
        <v>0</v>
      </c>
      <c r="J2465" s="7">
        <v>0</v>
      </c>
      <c r="K2465" s="3">
        <f t="shared" si="90"/>
        <v>0</v>
      </c>
      <c r="L2465" s="3"/>
      <c r="M2465" s="3">
        <f t="shared" si="91"/>
        <v>0</v>
      </c>
      <c r="O2465" s="5"/>
      <c r="S2465" s="6"/>
    </row>
    <row r="2466" spans="1:22" customFormat="1" x14ac:dyDescent="0.45">
      <c r="A2466">
        <v>514493</v>
      </c>
      <c r="B2466" t="s">
        <v>21039</v>
      </c>
      <c r="C2466" t="s">
        <v>21040</v>
      </c>
      <c r="D2466">
        <v>12</v>
      </c>
      <c r="F2466" s="126"/>
      <c r="K2466" s="3">
        <f t="shared" si="90"/>
        <v>0</v>
      </c>
      <c r="L2466" s="3"/>
      <c r="M2466" s="3">
        <f t="shared" si="91"/>
        <v>0</v>
      </c>
      <c r="O2466" s="5"/>
      <c r="S2466" s="6"/>
    </row>
    <row r="2467" spans="1:22" customFormat="1" x14ac:dyDescent="0.45">
      <c r="A2467">
        <v>514546</v>
      </c>
      <c r="B2467" t="s">
        <v>21041</v>
      </c>
      <c r="C2467" t="s">
        <v>21042</v>
      </c>
      <c r="D2467">
        <v>1</v>
      </c>
      <c r="F2467" s="126"/>
      <c r="G2467" s="7">
        <v>0</v>
      </c>
      <c r="H2467" s="7">
        <v>0</v>
      </c>
      <c r="I2467" s="7">
        <v>0</v>
      </c>
      <c r="J2467" s="7">
        <v>0</v>
      </c>
      <c r="K2467" s="3">
        <f t="shared" si="90"/>
        <v>0</v>
      </c>
      <c r="L2467" s="3"/>
      <c r="M2467" s="3">
        <f t="shared" si="91"/>
        <v>0</v>
      </c>
      <c r="N2467" s="7"/>
      <c r="O2467" s="5"/>
      <c r="S2467" s="6"/>
    </row>
    <row r="2468" spans="1:22" customFormat="1" x14ac:dyDescent="0.45">
      <c r="A2468" s="51">
        <v>514624</v>
      </c>
      <c r="B2468" s="51" t="s">
        <v>21043</v>
      </c>
      <c r="C2468" s="51" t="s">
        <v>21044</v>
      </c>
      <c r="D2468">
        <v>3</v>
      </c>
      <c r="F2468" s="126"/>
      <c r="G2468" s="52">
        <v>0</v>
      </c>
      <c r="H2468" s="52">
        <v>0</v>
      </c>
      <c r="I2468" s="52">
        <v>0</v>
      </c>
      <c r="J2468" s="52">
        <v>0</v>
      </c>
      <c r="K2468" s="3">
        <f t="shared" si="90"/>
        <v>0</v>
      </c>
      <c r="L2468" s="3"/>
      <c r="M2468" s="3">
        <f t="shared" si="91"/>
        <v>0</v>
      </c>
      <c r="N2468" s="51"/>
      <c r="O2468" s="51"/>
      <c r="Q2468" s="51"/>
      <c r="S2468" s="6"/>
    </row>
    <row r="2469" spans="1:22" customFormat="1" x14ac:dyDescent="0.45">
      <c r="A2469">
        <v>514680</v>
      </c>
      <c r="B2469" t="s">
        <v>21045</v>
      </c>
      <c r="C2469" t="s">
        <v>21046</v>
      </c>
      <c r="D2469">
        <v>10</v>
      </c>
      <c r="F2469" s="126"/>
      <c r="K2469" s="3">
        <f t="shared" si="90"/>
        <v>0</v>
      </c>
      <c r="L2469" s="3"/>
      <c r="M2469" s="3">
        <f t="shared" si="91"/>
        <v>0</v>
      </c>
      <c r="O2469" s="5"/>
      <c r="S2469" s="6"/>
    </row>
    <row r="2470" spans="1:22" customFormat="1" x14ac:dyDescent="0.45">
      <c r="A2470">
        <v>514725</v>
      </c>
      <c r="B2470" t="s">
        <v>21047</v>
      </c>
      <c r="C2470" t="s">
        <v>21048</v>
      </c>
      <c r="D2470">
        <v>0</v>
      </c>
      <c r="E2470" t="s">
        <v>16561</v>
      </c>
      <c r="F2470" s="126"/>
      <c r="G2470" s="7">
        <v>0</v>
      </c>
      <c r="H2470" s="7">
        <v>0</v>
      </c>
      <c r="I2470" s="7">
        <v>0</v>
      </c>
      <c r="J2470" s="7">
        <v>0</v>
      </c>
      <c r="K2470" s="3">
        <f t="shared" si="90"/>
        <v>0</v>
      </c>
      <c r="L2470" s="3"/>
      <c r="M2470" s="3">
        <f t="shared" si="91"/>
        <v>0</v>
      </c>
      <c r="N2470" s="7"/>
      <c r="O2470" s="5"/>
      <c r="S2470" s="6"/>
    </row>
    <row r="2471" spans="1:22" customFormat="1" x14ac:dyDescent="0.45">
      <c r="A2471">
        <v>514731</v>
      </c>
      <c r="B2471" t="s">
        <v>21049</v>
      </c>
      <c r="C2471" t="s">
        <v>21050</v>
      </c>
      <c r="D2471">
        <v>1</v>
      </c>
      <c r="F2471" s="126"/>
      <c r="G2471" s="3">
        <v>0</v>
      </c>
      <c r="H2471" s="3">
        <v>0</v>
      </c>
      <c r="I2471" s="3">
        <v>0</v>
      </c>
      <c r="J2471" s="3">
        <v>0</v>
      </c>
      <c r="K2471" s="3">
        <f t="shared" si="90"/>
        <v>0</v>
      </c>
      <c r="L2471" s="3"/>
      <c r="M2471" s="3">
        <f t="shared" si="91"/>
        <v>0</v>
      </c>
      <c r="O2471" s="5"/>
      <c r="S2471" s="6"/>
    </row>
    <row r="2472" spans="1:22" customFormat="1" x14ac:dyDescent="0.45">
      <c r="A2472">
        <v>514817</v>
      </c>
      <c r="B2472" t="s">
        <v>21051</v>
      </c>
      <c r="C2472" t="s">
        <v>21052</v>
      </c>
      <c r="D2472">
        <v>1</v>
      </c>
      <c r="F2472" s="126"/>
      <c r="G2472" s="3">
        <v>0</v>
      </c>
      <c r="H2472" s="3">
        <v>0</v>
      </c>
      <c r="I2472" s="3">
        <v>0</v>
      </c>
      <c r="J2472" s="3">
        <v>0</v>
      </c>
      <c r="K2472" s="3">
        <f t="shared" si="90"/>
        <v>0</v>
      </c>
      <c r="L2472" s="3"/>
      <c r="M2472" s="3">
        <f t="shared" si="91"/>
        <v>0</v>
      </c>
      <c r="O2472" s="5"/>
      <c r="S2472" s="6"/>
    </row>
    <row r="2473" spans="1:22" customFormat="1" x14ac:dyDescent="0.45">
      <c r="A2473">
        <v>514841</v>
      </c>
      <c r="B2473" t="s">
        <v>21053</v>
      </c>
      <c r="C2473" t="s">
        <v>16331</v>
      </c>
      <c r="D2473">
        <v>1</v>
      </c>
      <c r="E2473" t="s">
        <v>16331</v>
      </c>
      <c r="F2473" s="126"/>
      <c r="G2473" s="7">
        <v>0</v>
      </c>
      <c r="H2473" s="7">
        <v>0</v>
      </c>
      <c r="I2473" s="7">
        <v>0</v>
      </c>
      <c r="J2473" s="7">
        <v>0</v>
      </c>
      <c r="K2473" s="3">
        <f t="shared" si="90"/>
        <v>0</v>
      </c>
      <c r="L2473" s="3"/>
      <c r="M2473" s="3">
        <f t="shared" si="91"/>
        <v>0</v>
      </c>
      <c r="O2473" s="5"/>
      <c r="S2473" s="6"/>
    </row>
    <row r="2474" spans="1:22" x14ac:dyDescent="0.45">
      <c r="A2474" s="124">
        <v>427640</v>
      </c>
      <c r="B2474" s="124" t="s">
        <v>21054</v>
      </c>
      <c r="C2474" s="124" t="s">
        <v>20961</v>
      </c>
      <c r="D2474" s="124">
        <v>23</v>
      </c>
      <c r="E2474" s="124" t="s">
        <v>16334</v>
      </c>
      <c r="F2474" s="126">
        <v>1.6999999999999999E-3</v>
      </c>
      <c r="G2474" s="127">
        <v>0.01</v>
      </c>
      <c r="H2474" s="127">
        <v>7.0000000000000001E-3</v>
      </c>
      <c r="I2474" s="127"/>
      <c r="J2474" s="127"/>
      <c r="K2474" s="126">
        <f t="shared" si="90"/>
        <v>1.7000000000000001E-2</v>
      </c>
      <c r="L2474" s="3"/>
      <c r="M2474" s="126">
        <f t="shared" si="91"/>
        <v>1.8700000000000001E-2</v>
      </c>
      <c r="O2474" s="125" t="s">
        <v>20962</v>
      </c>
      <c r="P2474" s="128" t="s">
        <v>26918</v>
      </c>
      <c r="Q2474" s="130">
        <v>314916</v>
      </c>
      <c r="R2474" s="124" t="s">
        <v>16348</v>
      </c>
      <c r="S2474" s="130">
        <v>313669</v>
      </c>
      <c r="T2474" s="129">
        <f>S2474/Q2474</f>
        <v>0.99604021389830943</v>
      </c>
      <c r="V2474" s="125" t="s">
        <v>18462</v>
      </c>
    </row>
    <row r="2475" spans="1:22" x14ac:dyDescent="0.45">
      <c r="A2475" s="124">
        <v>514965</v>
      </c>
      <c r="B2475" s="124" t="s">
        <v>21055</v>
      </c>
      <c r="C2475" s="124" t="s">
        <v>20961</v>
      </c>
      <c r="D2475" s="124">
        <v>1</v>
      </c>
      <c r="E2475" s="124" t="s">
        <v>16334</v>
      </c>
      <c r="F2475" s="126">
        <v>1.6999999999999999E-3</v>
      </c>
      <c r="G2475" s="127">
        <v>0.01</v>
      </c>
      <c r="H2475" s="127">
        <v>7.0000000000000001E-3</v>
      </c>
      <c r="I2475" s="127"/>
      <c r="J2475" s="127"/>
      <c r="K2475" s="126">
        <f t="shared" si="90"/>
        <v>1.7000000000000001E-2</v>
      </c>
      <c r="L2475" s="3"/>
      <c r="M2475" s="126">
        <f t="shared" si="91"/>
        <v>1.8700000000000001E-2</v>
      </c>
      <c r="O2475" s="141" t="s">
        <v>20962</v>
      </c>
      <c r="P2475" s="128" t="s">
        <v>26918</v>
      </c>
      <c r="Q2475" s="130">
        <v>314916</v>
      </c>
      <c r="R2475" s="124" t="s">
        <v>16348</v>
      </c>
      <c r="S2475" s="130">
        <v>313669</v>
      </c>
      <c r="T2475" s="129">
        <f>S2475/Q2475</f>
        <v>0.99604021389830943</v>
      </c>
      <c r="V2475" s="125" t="s">
        <v>18462</v>
      </c>
    </row>
    <row r="2476" spans="1:22" customFormat="1" x14ac:dyDescent="0.45">
      <c r="A2476">
        <v>515003</v>
      </c>
      <c r="B2476" t="s">
        <v>21056</v>
      </c>
      <c r="C2476" t="s">
        <v>21057</v>
      </c>
      <c r="D2476">
        <v>1</v>
      </c>
      <c r="F2476" s="126"/>
      <c r="G2476" s="3">
        <v>0</v>
      </c>
      <c r="H2476" s="3">
        <v>0</v>
      </c>
      <c r="I2476" s="3">
        <v>0</v>
      </c>
      <c r="J2476" s="3">
        <v>0</v>
      </c>
      <c r="K2476" s="3">
        <f t="shared" ref="K2476:K2539" si="92">SUM(G2476:J2476)</f>
        <v>0</v>
      </c>
      <c r="L2476" s="3"/>
      <c r="M2476" s="3">
        <f t="shared" si="91"/>
        <v>0</v>
      </c>
      <c r="O2476" s="5"/>
      <c r="S2476" s="6"/>
    </row>
    <row r="2477" spans="1:22" customFormat="1" x14ac:dyDescent="0.45">
      <c r="A2477">
        <v>515015</v>
      </c>
      <c r="B2477" t="s">
        <v>21058</v>
      </c>
      <c r="C2477" t="s">
        <v>21059</v>
      </c>
      <c r="D2477">
        <v>1</v>
      </c>
      <c r="F2477" s="126"/>
      <c r="G2477" s="7">
        <v>0</v>
      </c>
      <c r="H2477" s="7">
        <v>0</v>
      </c>
      <c r="I2477" s="7">
        <v>0</v>
      </c>
      <c r="J2477" s="7">
        <v>0</v>
      </c>
      <c r="K2477" s="3">
        <f t="shared" si="92"/>
        <v>0</v>
      </c>
      <c r="L2477" s="3"/>
      <c r="M2477" s="3">
        <f t="shared" si="91"/>
        <v>0</v>
      </c>
      <c r="O2477" s="5"/>
      <c r="S2477" s="6"/>
    </row>
    <row r="2478" spans="1:22" customFormat="1" x14ac:dyDescent="0.45">
      <c r="A2478">
        <v>515272</v>
      </c>
      <c r="B2478" t="s">
        <v>21060</v>
      </c>
      <c r="C2478" t="s">
        <v>21061</v>
      </c>
      <c r="D2478">
        <v>11</v>
      </c>
      <c r="F2478" s="126"/>
      <c r="G2478" s="7">
        <v>0</v>
      </c>
      <c r="H2478" s="7">
        <v>0</v>
      </c>
      <c r="I2478" s="7">
        <v>0</v>
      </c>
      <c r="J2478" s="7">
        <v>0</v>
      </c>
      <c r="K2478" s="3">
        <f t="shared" si="92"/>
        <v>0</v>
      </c>
      <c r="L2478" s="3"/>
      <c r="M2478" s="3">
        <f t="shared" si="91"/>
        <v>0</v>
      </c>
      <c r="O2478" s="5"/>
      <c r="S2478" s="6"/>
    </row>
    <row r="2479" spans="1:22" customFormat="1" x14ac:dyDescent="0.45">
      <c r="A2479">
        <v>515359</v>
      </c>
      <c r="B2479" t="s">
        <v>21062</v>
      </c>
      <c r="C2479" t="s">
        <v>16331</v>
      </c>
      <c r="D2479">
        <v>1</v>
      </c>
      <c r="E2479" t="s">
        <v>16331</v>
      </c>
      <c r="F2479" s="126"/>
      <c r="G2479" s="7">
        <v>0</v>
      </c>
      <c r="H2479" s="7">
        <v>0</v>
      </c>
      <c r="I2479" s="7">
        <v>0</v>
      </c>
      <c r="J2479" s="7">
        <v>0</v>
      </c>
      <c r="K2479" s="3">
        <f t="shared" si="92"/>
        <v>0</v>
      </c>
      <c r="L2479" s="3"/>
      <c r="M2479" s="3">
        <f t="shared" si="91"/>
        <v>0</v>
      </c>
      <c r="O2479" s="5"/>
      <c r="S2479" s="6"/>
    </row>
    <row r="2480" spans="1:22" customFormat="1" x14ac:dyDescent="0.45">
      <c r="A2480">
        <v>515361</v>
      </c>
      <c r="B2480" t="s">
        <v>21063</v>
      </c>
      <c r="C2480" t="s">
        <v>16331</v>
      </c>
      <c r="D2480">
        <v>3</v>
      </c>
      <c r="E2480" t="s">
        <v>16331</v>
      </c>
      <c r="F2480" s="126"/>
      <c r="G2480" s="7">
        <v>0</v>
      </c>
      <c r="H2480" s="7">
        <v>0</v>
      </c>
      <c r="I2480" s="7">
        <v>0</v>
      </c>
      <c r="J2480" s="7">
        <v>0</v>
      </c>
      <c r="K2480" s="3">
        <f t="shared" si="92"/>
        <v>0</v>
      </c>
      <c r="L2480" s="3"/>
      <c r="M2480" s="3">
        <f t="shared" si="91"/>
        <v>0</v>
      </c>
      <c r="O2480" s="5"/>
      <c r="S2480" s="6"/>
    </row>
    <row r="2481" spans="1:19" customFormat="1" x14ac:dyDescent="0.45">
      <c r="A2481">
        <v>515373</v>
      </c>
      <c r="B2481" t="s">
        <v>21064</v>
      </c>
      <c r="C2481" t="s">
        <v>16331</v>
      </c>
      <c r="D2481">
        <v>3</v>
      </c>
      <c r="E2481" t="s">
        <v>16331</v>
      </c>
      <c r="F2481" s="126"/>
      <c r="G2481" s="7">
        <v>0</v>
      </c>
      <c r="H2481" s="7">
        <v>0</v>
      </c>
      <c r="I2481" s="7">
        <v>0</v>
      </c>
      <c r="J2481" s="7">
        <v>0</v>
      </c>
      <c r="K2481" s="3">
        <f t="shared" si="92"/>
        <v>0</v>
      </c>
      <c r="L2481" s="3"/>
      <c r="M2481" s="3">
        <f t="shared" si="91"/>
        <v>0</v>
      </c>
      <c r="O2481" s="5"/>
      <c r="S2481" s="6"/>
    </row>
    <row r="2482" spans="1:19" customFormat="1" x14ac:dyDescent="0.45">
      <c r="A2482">
        <v>515404</v>
      </c>
      <c r="B2482" t="s">
        <v>21065</v>
      </c>
      <c r="C2482" t="s">
        <v>16331</v>
      </c>
      <c r="D2482">
        <v>1</v>
      </c>
      <c r="E2482" t="s">
        <v>16331</v>
      </c>
      <c r="F2482" s="126"/>
      <c r="G2482" s="7">
        <v>0</v>
      </c>
      <c r="H2482" s="7">
        <v>0</v>
      </c>
      <c r="I2482" s="7">
        <v>0</v>
      </c>
      <c r="J2482" s="7">
        <v>0</v>
      </c>
      <c r="K2482" s="3">
        <f t="shared" si="92"/>
        <v>0</v>
      </c>
      <c r="L2482" s="3"/>
      <c r="M2482" s="3">
        <f t="shared" si="91"/>
        <v>0</v>
      </c>
      <c r="O2482" s="5"/>
      <c r="S2482" s="6"/>
    </row>
    <row r="2483" spans="1:19" customFormat="1" x14ac:dyDescent="0.45">
      <c r="A2483">
        <v>515410</v>
      </c>
      <c r="B2483" t="s">
        <v>21066</v>
      </c>
      <c r="C2483" t="s">
        <v>16331</v>
      </c>
      <c r="D2483">
        <v>1</v>
      </c>
      <c r="E2483" t="s">
        <v>16331</v>
      </c>
      <c r="F2483" s="126"/>
      <c r="G2483" s="7">
        <v>0</v>
      </c>
      <c r="H2483" s="7">
        <v>0</v>
      </c>
      <c r="I2483" s="7">
        <v>0</v>
      </c>
      <c r="J2483" s="7">
        <v>0</v>
      </c>
      <c r="K2483" s="3">
        <f t="shared" si="92"/>
        <v>0</v>
      </c>
      <c r="L2483" s="3"/>
      <c r="M2483" s="3">
        <f t="shared" si="91"/>
        <v>0</v>
      </c>
      <c r="O2483" s="5"/>
      <c r="S2483" s="6"/>
    </row>
    <row r="2484" spans="1:19" customFormat="1" x14ac:dyDescent="0.45">
      <c r="A2484">
        <v>515432</v>
      </c>
      <c r="B2484" t="s">
        <v>21067</v>
      </c>
      <c r="C2484" t="s">
        <v>21068</v>
      </c>
      <c r="D2484">
        <v>2</v>
      </c>
      <c r="F2484" s="126"/>
      <c r="G2484" s="7">
        <v>0</v>
      </c>
      <c r="H2484" s="7">
        <v>0</v>
      </c>
      <c r="I2484" s="7">
        <v>0</v>
      </c>
      <c r="J2484" s="7">
        <v>0</v>
      </c>
      <c r="K2484" s="3">
        <f t="shared" si="92"/>
        <v>0</v>
      </c>
      <c r="L2484" s="3"/>
      <c r="M2484" s="3">
        <f t="shared" si="91"/>
        <v>0</v>
      </c>
      <c r="O2484" s="5"/>
      <c r="S2484" s="6"/>
    </row>
    <row r="2485" spans="1:19" customFormat="1" x14ac:dyDescent="0.45">
      <c r="A2485">
        <v>515473</v>
      </c>
      <c r="B2485" t="s">
        <v>21069</v>
      </c>
      <c r="C2485" t="s">
        <v>16331</v>
      </c>
      <c r="D2485">
        <v>1</v>
      </c>
      <c r="E2485" t="s">
        <v>16331</v>
      </c>
      <c r="F2485" s="126"/>
      <c r="G2485" s="7">
        <v>0</v>
      </c>
      <c r="H2485" s="7">
        <v>0</v>
      </c>
      <c r="I2485" s="7">
        <v>0</v>
      </c>
      <c r="J2485" s="7">
        <v>0</v>
      </c>
      <c r="K2485" s="3">
        <f t="shared" si="92"/>
        <v>0</v>
      </c>
      <c r="L2485" s="3"/>
      <c r="M2485" s="3">
        <f t="shared" si="91"/>
        <v>0</v>
      </c>
      <c r="O2485" s="5"/>
      <c r="S2485" s="6"/>
    </row>
    <row r="2486" spans="1:19" customFormat="1" x14ac:dyDescent="0.45">
      <c r="A2486">
        <v>515793</v>
      </c>
      <c r="B2486" t="s">
        <v>21070</v>
      </c>
      <c r="C2486" t="s">
        <v>16331</v>
      </c>
      <c r="D2486">
        <v>1</v>
      </c>
      <c r="E2486" t="s">
        <v>16331</v>
      </c>
      <c r="F2486" s="126"/>
      <c r="G2486" s="7">
        <v>0</v>
      </c>
      <c r="H2486" s="3">
        <v>0</v>
      </c>
      <c r="I2486" s="3">
        <v>0</v>
      </c>
      <c r="J2486">
        <v>0</v>
      </c>
      <c r="K2486" s="3">
        <f t="shared" si="92"/>
        <v>0</v>
      </c>
      <c r="L2486" s="3"/>
      <c r="M2486" s="3">
        <f t="shared" si="91"/>
        <v>0</v>
      </c>
      <c r="O2486" s="5"/>
      <c r="S2486" s="6"/>
    </row>
    <row r="2487" spans="1:19" customFormat="1" x14ac:dyDescent="0.45">
      <c r="A2487">
        <v>515946</v>
      </c>
      <c r="B2487" t="s">
        <v>21071</v>
      </c>
      <c r="C2487" t="s">
        <v>21072</v>
      </c>
      <c r="D2487">
        <v>1</v>
      </c>
      <c r="F2487" s="126"/>
      <c r="G2487" s="7">
        <v>0</v>
      </c>
      <c r="H2487" s="7">
        <v>0</v>
      </c>
      <c r="I2487" s="7">
        <v>0</v>
      </c>
      <c r="J2487" s="7">
        <v>0</v>
      </c>
      <c r="K2487" s="3">
        <f t="shared" si="92"/>
        <v>0</v>
      </c>
      <c r="L2487" s="3"/>
      <c r="M2487" s="3">
        <f t="shared" si="91"/>
        <v>0</v>
      </c>
      <c r="N2487" s="7"/>
      <c r="O2487" s="5"/>
      <c r="S2487" s="6"/>
    </row>
    <row r="2488" spans="1:19" customFormat="1" x14ac:dyDescent="0.45">
      <c r="A2488">
        <v>516109</v>
      </c>
      <c r="B2488" t="s">
        <v>21073</v>
      </c>
      <c r="C2488" t="s">
        <v>21074</v>
      </c>
      <c r="D2488">
        <v>3</v>
      </c>
      <c r="F2488" s="126"/>
      <c r="G2488" s="7">
        <v>0</v>
      </c>
      <c r="H2488" s="7">
        <v>0</v>
      </c>
      <c r="I2488" s="7">
        <v>0</v>
      </c>
      <c r="J2488" s="7">
        <v>0</v>
      </c>
      <c r="K2488" s="3">
        <f t="shared" si="92"/>
        <v>0</v>
      </c>
      <c r="L2488" s="3"/>
      <c r="M2488" s="3">
        <f t="shared" si="91"/>
        <v>0</v>
      </c>
      <c r="O2488" s="5"/>
      <c r="S2488" s="6"/>
    </row>
    <row r="2489" spans="1:19" customFormat="1" x14ac:dyDescent="0.45">
      <c r="A2489">
        <v>516196</v>
      </c>
      <c r="B2489" t="s">
        <v>21075</v>
      </c>
      <c r="C2489" t="s">
        <v>21076</v>
      </c>
      <c r="D2489">
        <v>3</v>
      </c>
      <c r="F2489" s="126"/>
      <c r="G2489" s="7">
        <v>0</v>
      </c>
      <c r="H2489" s="7">
        <v>0</v>
      </c>
      <c r="I2489" s="7">
        <v>0</v>
      </c>
      <c r="J2489" s="7">
        <v>0</v>
      </c>
      <c r="K2489" s="3">
        <f t="shared" si="92"/>
        <v>0</v>
      </c>
      <c r="L2489" s="3"/>
      <c r="M2489" s="3">
        <f t="shared" si="91"/>
        <v>0</v>
      </c>
      <c r="N2489" s="7"/>
      <c r="O2489" s="5"/>
      <c r="S2489" s="6"/>
    </row>
    <row r="2490" spans="1:19" customFormat="1" x14ac:dyDescent="0.45">
      <c r="A2490">
        <v>516222</v>
      </c>
      <c r="B2490" t="s">
        <v>21077</v>
      </c>
      <c r="C2490" t="s">
        <v>16331</v>
      </c>
      <c r="D2490">
        <v>1</v>
      </c>
      <c r="E2490" t="s">
        <v>16331</v>
      </c>
      <c r="F2490" s="126"/>
      <c r="G2490" s="7">
        <v>0</v>
      </c>
      <c r="H2490" s="7">
        <v>0</v>
      </c>
      <c r="I2490" s="7">
        <v>0</v>
      </c>
      <c r="J2490" s="7">
        <v>0</v>
      </c>
      <c r="K2490" s="3">
        <f t="shared" si="92"/>
        <v>0</v>
      </c>
      <c r="L2490" s="3"/>
      <c r="M2490" s="3">
        <f t="shared" si="91"/>
        <v>0</v>
      </c>
      <c r="O2490" s="5"/>
      <c r="S2490" s="6"/>
    </row>
    <row r="2491" spans="1:19" customFormat="1" x14ac:dyDescent="0.45">
      <c r="A2491">
        <v>516359</v>
      </c>
      <c r="B2491" t="s">
        <v>21078</v>
      </c>
      <c r="C2491" t="s">
        <v>16331</v>
      </c>
      <c r="D2491">
        <v>1</v>
      </c>
      <c r="E2491" t="s">
        <v>16331</v>
      </c>
      <c r="F2491" s="126"/>
      <c r="G2491" s="7">
        <v>0</v>
      </c>
      <c r="H2491" s="7">
        <v>0</v>
      </c>
      <c r="I2491" s="7">
        <v>0</v>
      </c>
      <c r="J2491" s="7">
        <v>0</v>
      </c>
      <c r="K2491" s="3">
        <f t="shared" si="92"/>
        <v>0</v>
      </c>
      <c r="L2491" s="3"/>
      <c r="M2491" s="3">
        <f t="shared" si="91"/>
        <v>0</v>
      </c>
      <c r="O2491" s="5"/>
      <c r="S2491" s="6"/>
    </row>
    <row r="2492" spans="1:19" customFormat="1" x14ac:dyDescent="0.45">
      <c r="A2492">
        <v>516496</v>
      </c>
      <c r="B2492" t="s">
        <v>21079</v>
      </c>
      <c r="C2492" t="s">
        <v>21080</v>
      </c>
      <c r="D2492">
        <v>0</v>
      </c>
      <c r="E2492" t="s">
        <v>16561</v>
      </c>
      <c r="F2492" s="126"/>
      <c r="G2492" s="7">
        <v>0</v>
      </c>
      <c r="H2492" s="7">
        <v>0</v>
      </c>
      <c r="I2492" s="7">
        <v>0</v>
      </c>
      <c r="J2492" s="7">
        <v>0</v>
      </c>
      <c r="K2492" s="3">
        <f t="shared" si="92"/>
        <v>0</v>
      </c>
      <c r="L2492" s="3"/>
      <c r="M2492" s="3">
        <f t="shared" si="91"/>
        <v>0</v>
      </c>
      <c r="N2492" s="7"/>
      <c r="O2492" s="5"/>
      <c r="S2492" s="6"/>
    </row>
    <row r="2493" spans="1:19" customFormat="1" x14ac:dyDescent="0.45">
      <c r="A2493">
        <v>516577</v>
      </c>
      <c r="B2493" t="s">
        <v>21081</v>
      </c>
      <c r="C2493" t="s">
        <v>21082</v>
      </c>
      <c r="D2493">
        <v>2</v>
      </c>
      <c r="F2493" s="126"/>
      <c r="G2493" s="7">
        <v>0</v>
      </c>
      <c r="H2493" s="7">
        <v>0</v>
      </c>
      <c r="I2493" s="7">
        <v>0</v>
      </c>
      <c r="J2493" s="7">
        <v>0</v>
      </c>
      <c r="K2493" s="3">
        <f t="shared" si="92"/>
        <v>0</v>
      </c>
      <c r="L2493" s="3"/>
      <c r="M2493" s="3">
        <f t="shared" si="91"/>
        <v>0</v>
      </c>
      <c r="O2493" s="5"/>
      <c r="S2493" s="6"/>
    </row>
    <row r="2494" spans="1:19" customFormat="1" x14ac:dyDescent="0.45">
      <c r="A2494">
        <v>516653</v>
      </c>
      <c r="B2494" t="s">
        <v>21083</v>
      </c>
      <c r="C2494" t="s">
        <v>21084</v>
      </c>
      <c r="D2494">
        <v>3</v>
      </c>
      <c r="F2494" s="126"/>
      <c r="G2494" s="7">
        <v>0</v>
      </c>
      <c r="H2494" s="7">
        <v>0</v>
      </c>
      <c r="I2494" s="7">
        <v>0</v>
      </c>
      <c r="J2494" s="7">
        <v>0</v>
      </c>
      <c r="K2494" s="3">
        <f t="shared" si="92"/>
        <v>0</v>
      </c>
      <c r="L2494" s="3"/>
      <c r="M2494" s="3">
        <f t="shared" si="91"/>
        <v>0</v>
      </c>
      <c r="O2494" s="5"/>
      <c r="S2494" s="6"/>
    </row>
    <row r="2495" spans="1:19" customFormat="1" x14ac:dyDescent="0.45">
      <c r="A2495">
        <v>516758</v>
      </c>
      <c r="B2495" t="s">
        <v>21085</v>
      </c>
      <c r="C2495" t="s">
        <v>21086</v>
      </c>
      <c r="D2495">
        <v>0</v>
      </c>
      <c r="E2495" t="s">
        <v>16561</v>
      </c>
      <c r="F2495" s="126"/>
      <c r="G2495" s="7">
        <v>0</v>
      </c>
      <c r="H2495" s="7">
        <v>0</v>
      </c>
      <c r="I2495" s="7">
        <v>0</v>
      </c>
      <c r="J2495" s="7">
        <v>0</v>
      </c>
      <c r="K2495" s="3">
        <f t="shared" si="92"/>
        <v>0</v>
      </c>
      <c r="L2495" s="3"/>
      <c r="M2495" s="3">
        <f t="shared" si="91"/>
        <v>0</v>
      </c>
      <c r="N2495" s="7"/>
      <c r="O2495" s="5"/>
      <c r="S2495" s="6"/>
    </row>
    <row r="2496" spans="1:19" customFormat="1" x14ac:dyDescent="0.45">
      <c r="A2496">
        <v>516797</v>
      </c>
      <c r="B2496" t="s">
        <v>21087</v>
      </c>
      <c r="C2496" t="s">
        <v>21088</v>
      </c>
      <c r="D2496">
        <v>1</v>
      </c>
      <c r="F2496" s="126"/>
      <c r="G2496" s="7">
        <v>0</v>
      </c>
      <c r="H2496" s="7">
        <v>0</v>
      </c>
      <c r="I2496" s="7">
        <v>0</v>
      </c>
      <c r="J2496" s="7">
        <v>0</v>
      </c>
      <c r="K2496" s="3">
        <f t="shared" si="92"/>
        <v>0</v>
      </c>
      <c r="L2496" s="3"/>
      <c r="M2496" s="3">
        <f t="shared" si="91"/>
        <v>0</v>
      </c>
      <c r="O2496" s="5"/>
      <c r="S2496" s="6"/>
    </row>
    <row r="2497" spans="1:22" customFormat="1" x14ac:dyDescent="0.45">
      <c r="A2497">
        <v>516829</v>
      </c>
      <c r="B2497" t="s">
        <v>21089</v>
      </c>
      <c r="C2497" t="s">
        <v>21090</v>
      </c>
      <c r="D2497">
        <v>1</v>
      </c>
      <c r="F2497" s="126"/>
      <c r="G2497" s="7">
        <v>0</v>
      </c>
      <c r="H2497" s="7">
        <v>0</v>
      </c>
      <c r="I2497" s="7">
        <v>0</v>
      </c>
      <c r="J2497" s="7">
        <v>0</v>
      </c>
      <c r="K2497" s="3">
        <f t="shared" si="92"/>
        <v>0</v>
      </c>
      <c r="L2497" s="3"/>
      <c r="M2497" s="3">
        <f t="shared" si="91"/>
        <v>0</v>
      </c>
      <c r="O2497" s="5"/>
      <c r="S2497" s="6"/>
    </row>
    <row r="2498" spans="1:22" customFormat="1" x14ac:dyDescent="0.45">
      <c r="A2498">
        <v>516932</v>
      </c>
      <c r="B2498" t="s">
        <v>21091</v>
      </c>
      <c r="C2498" t="s">
        <v>21092</v>
      </c>
      <c r="D2498">
        <v>0</v>
      </c>
      <c r="E2498" t="s">
        <v>16561</v>
      </c>
      <c r="F2498" s="126"/>
      <c r="G2498" s="7">
        <v>0</v>
      </c>
      <c r="H2498" s="7">
        <v>0</v>
      </c>
      <c r="I2498" s="7">
        <v>0</v>
      </c>
      <c r="J2498" s="7">
        <v>0</v>
      </c>
      <c r="K2498" s="3">
        <f t="shared" si="92"/>
        <v>0</v>
      </c>
      <c r="L2498" s="3"/>
      <c r="M2498" s="3">
        <f t="shared" si="91"/>
        <v>0</v>
      </c>
      <c r="N2498" s="7"/>
      <c r="O2498" s="5"/>
      <c r="S2498" s="6"/>
    </row>
    <row r="2499" spans="1:22" customFormat="1" x14ac:dyDescent="0.45">
      <c r="A2499">
        <v>516955</v>
      </c>
      <c r="B2499" t="s">
        <v>21093</v>
      </c>
      <c r="C2499" t="s">
        <v>16331</v>
      </c>
      <c r="D2499">
        <v>1</v>
      </c>
      <c r="E2499" t="s">
        <v>16331</v>
      </c>
      <c r="F2499" s="126"/>
      <c r="G2499" s="7">
        <v>0</v>
      </c>
      <c r="H2499" s="7">
        <v>0</v>
      </c>
      <c r="I2499" s="7">
        <v>0</v>
      </c>
      <c r="J2499" s="7">
        <v>0</v>
      </c>
      <c r="K2499" s="3">
        <f t="shared" si="92"/>
        <v>0</v>
      </c>
      <c r="L2499" s="3"/>
      <c r="M2499" s="3">
        <f t="shared" si="91"/>
        <v>0</v>
      </c>
      <c r="O2499" s="5"/>
      <c r="S2499" s="6"/>
    </row>
    <row r="2500" spans="1:22" x14ac:dyDescent="0.45">
      <c r="A2500" s="124">
        <v>827417</v>
      </c>
      <c r="B2500" s="124" t="s">
        <v>21094</v>
      </c>
      <c r="C2500" s="124" t="s">
        <v>20961</v>
      </c>
      <c r="D2500" s="124">
        <v>3</v>
      </c>
      <c r="E2500" s="124" t="s">
        <v>16334</v>
      </c>
      <c r="F2500" s="126">
        <v>1.6999999999999999E-3</v>
      </c>
      <c r="G2500" s="127">
        <v>0.01</v>
      </c>
      <c r="H2500" s="127">
        <v>7.0000000000000001E-3</v>
      </c>
      <c r="I2500" s="127"/>
      <c r="J2500" s="127"/>
      <c r="K2500" s="126">
        <f t="shared" si="92"/>
        <v>1.7000000000000001E-2</v>
      </c>
      <c r="L2500" s="3"/>
      <c r="M2500" s="126">
        <f t="shared" si="91"/>
        <v>1.8700000000000001E-2</v>
      </c>
      <c r="N2500" s="124" t="s">
        <v>20962</v>
      </c>
      <c r="O2500" s="141" t="s">
        <v>20962</v>
      </c>
      <c r="P2500" s="128" t="s">
        <v>26918</v>
      </c>
      <c r="Q2500" s="130">
        <v>314916</v>
      </c>
      <c r="R2500" s="124" t="s">
        <v>16348</v>
      </c>
      <c r="S2500" s="130">
        <v>313669</v>
      </c>
      <c r="T2500" s="129">
        <f>S2500/Q2500</f>
        <v>0.99604021389830943</v>
      </c>
      <c r="V2500" s="125" t="s">
        <v>18462</v>
      </c>
    </row>
    <row r="2501" spans="1:22" customFormat="1" x14ac:dyDescent="0.45">
      <c r="A2501">
        <v>517098</v>
      </c>
      <c r="B2501" t="s">
        <v>21095</v>
      </c>
      <c r="C2501" t="s">
        <v>21096</v>
      </c>
      <c r="D2501">
        <v>2</v>
      </c>
      <c r="F2501" s="126"/>
      <c r="G2501" s="7">
        <v>0</v>
      </c>
      <c r="H2501" s="7">
        <v>0</v>
      </c>
      <c r="I2501" s="7">
        <v>0</v>
      </c>
      <c r="J2501" s="7">
        <v>0</v>
      </c>
      <c r="K2501" s="3">
        <f t="shared" si="92"/>
        <v>0</v>
      </c>
      <c r="L2501" s="3"/>
      <c r="M2501" s="3">
        <f t="shared" si="91"/>
        <v>0</v>
      </c>
      <c r="O2501" s="5"/>
      <c r="S2501" s="6"/>
    </row>
    <row r="2502" spans="1:22" customFormat="1" x14ac:dyDescent="0.45">
      <c r="A2502">
        <v>517235</v>
      </c>
      <c r="B2502" t="s">
        <v>21097</v>
      </c>
      <c r="C2502" s="2" t="s">
        <v>21098</v>
      </c>
      <c r="D2502">
        <v>6</v>
      </c>
      <c r="F2502" s="126"/>
      <c r="G2502" s="3">
        <v>0</v>
      </c>
      <c r="H2502" s="3">
        <v>0</v>
      </c>
      <c r="I2502" s="3">
        <v>0</v>
      </c>
      <c r="J2502" s="3">
        <v>0</v>
      </c>
      <c r="K2502" s="3">
        <f t="shared" si="92"/>
        <v>0</v>
      </c>
      <c r="L2502" s="3"/>
      <c r="M2502" s="3">
        <f t="shared" si="91"/>
        <v>0</v>
      </c>
      <c r="O2502" s="5"/>
      <c r="S2502" s="6"/>
    </row>
    <row r="2503" spans="1:22" customFormat="1" x14ac:dyDescent="0.45">
      <c r="A2503">
        <v>517308</v>
      </c>
      <c r="B2503" t="s">
        <v>21099</v>
      </c>
      <c r="C2503" t="s">
        <v>21100</v>
      </c>
      <c r="D2503">
        <v>2</v>
      </c>
      <c r="F2503" s="126"/>
      <c r="G2503" s="3">
        <v>0</v>
      </c>
      <c r="H2503" s="3">
        <v>0</v>
      </c>
      <c r="I2503" s="3">
        <v>0</v>
      </c>
      <c r="J2503" s="3">
        <v>0</v>
      </c>
      <c r="K2503" s="3">
        <f t="shared" si="92"/>
        <v>0</v>
      </c>
      <c r="L2503" s="3"/>
      <c r="M2503" s="3">
        <f t="shared" si="91"/>
        <v>0</v>
      </c>
      <c r="O2503" s="5"/>
      <c r="S2503" s="6"/>
    </row>
    <row r="2504" spans="1:22" customFormat="1" x14ac:dyDescent="0.45">
      <c r="A2504">
        <v>517309</v>
      </c>
      <c r="B2504" t="s">
        <v>21101</v>
      </c>
      <c r="C2504" t="s">
        <v>21102</v>
      </c>
      <c r="D2504">
        <v>1</v>
      </c>
      <c r="F2504" s="126"/>
      <c r="G2504" s="7">
        <v>0</v>
      </c>
      <c r="H2504" s="7">
        <v>0</v>
      </c>
      <c r="I2504" s="7">
        <v>0</v>
      </c>
      <c r="J2504" s="7">
        <v>0</v>
      </c>
      <c r="K2504" s="3">
        <f t="shared" si="92"/>
        <v>0</v>
      </c>
      <c r="L2504" s="3"/>
      <c r="M2504" s="3">
        <f t="shared" si="91"/>
        <v>0</v>
      </c>
      <c r="O2504" s="5"/>
      <c r="S2504" s="6"/>
    </row>
    <row r="2505" spans="1:22" customFormat="1" x14ac:dyDescent="0.45">
      <c r="A2505">
        <v>517310</v>
      </c>
      <c r="B2505" t="s">
        <v>21103</v>
      </c>
      <c r="C2505" t="s">
        <v>21104</v>
      </c>
      <c r="D2505">
        <v>1</v>
      </c>
      <c r="F2505" s="126"/>
      <c r="G2505" s="7">
        <v>0</v>
      </c>
      <c r="H2505" s="7">
        <v>0</v>
      </c>
      <c r="I2505" s="7">
        <v>0</v>
      </c>
      <c r="J2505" s="7">
        <v>0</v>
      </c>
      <c r="K2505" s="3">
        <f t="shared" si="92"/>
        <v>0</v>
      </c>
      <c r="L2505" s="3"/>
      <c r="M2505" s="3">
        <f t="shared" si="91"/>
        <v>0</v>
      </c>
      <c r="O2505" s="5"/>
      <c r="S2505" s="6"/>
    </row>
    <row r="2506" spans="1:22" customFormat="1" x14ac:dyDescent="0.45">
      <c r="A2506">
        <v>517403</v>
      </c>
      <c r="B2506" t="s">
        <v>21105</v>
      </c>
      <c r="C2506" t="s">
        <v>21106</v>
      </c>
      <c r="D2506">
        <v>1</v>
      </c>
      <c r="F2506" s="126"/>
      <c r="G2506" s="7">
        <v>0</v>
      </c>
      <c r="H2506" s="7">
        <v>0</v>
      </c>
      <c r="I2506" s="7">
        <v>0</v>
      </c>
      <c r="J2506" s="7">
        <v>0</v>
      </c>
      <c r="K2506" s="3">
        <f t="shared" si="92"/>
        <v>0</v>
      </c>
      <c r="L2506" s="3"/>
      <c r="M2506" s="3">
        <f t="shared" ref="M2506:M2569" si="93">K2506+F2506</f>
        <v>0</v>
      </c>
      <c r="O2506" s="5"/>
      <c r="S2506" s="6"/>
    </row>
    <row r="2507" spans="1:22" customFormat="1" x14ac:dyDescent="0.45">
      <c r="A2507">
        <v>517588</v>
      </c>
      <c r="B2507" t="s">
        <v>21107</v>
      </c>
      <c r="C2507" t="s">
        <v>16331</v>
      </c>
      <c r="D2507">
        <v>1</v>
      </c>
      <c r="E2507" t="s">
        <v>16331</v>
      </c>
      <c r="F2507" s="126"/>
      <c r="G2507" s="7">
        <v>0</v>
      </c>
      <c r="H2507" s="7">
        <v>0</v>
      </c>
      <c r="I2507" s="7">
        <v>0</v>
      </c>
      <c r="J2507" s="7">
        <v>0</v>
      </c>
      <c r="K2507" s="3">
        <f t="shared" si="92"/>
        <v>0</v>
      </c>
      <c r="L2507" s="3"/>
      <c r="M2507" s="3">
        <f t="shared" si="93"/>
        <v>0</v>
      </c>
      <c r="O2507" s="5"/>
      <c r="S2507" s="6"/>
    </row>
    <row r="2508" spans="1:22" customFormat="1" x14ac:dyDescent="0.45">
      <c r="A2508">
        <v>517598</v>
      </c>
      <c r="B2508" t="s">
        <v>21108</v>
      </c>
      <c r="C2508" t="s">
        <v>21109</v>
      </c>
      <c r="D2508">
        <v>1</v>
      </c>
      <c r="F2508" s="126"/>
      <c r="G2508" s="7">
        <v>0</v>
      </c>
      <c r="H2508" s="7">
        <v>0</v>
      </c>
      <c r="I2508" s="7">
        <v>0</v>
      </c>
      <c r="J2508" s="7">
        <v>0</v>
      </c>
      <c r="K2508" s="3">
        <f t="shared" si="92"/>
        <v>0</v>
      </c>
      <c r="L2508" s="3"/>
      <c r="M2508" s="3">
        <f t="shared" si="93"/>
        <v>0</v>
      </c>
      <c r="O2508" s="5"/>
      <c r="S2508" s="6"/>
    </row>
    <row r="2509" spans="1:22" customFormat="1" x14ac:dyDescent="0.45">
      <c r="A2509">
        <v>517892</v>
      </c>
      <c r="B2509" t="s">
        <v>21110</v>
      </c>
      <c r="C2509" t="s">
        <v>21111</v>
      </c>
      <c r="D2509">
        <v>3</v>
      </c>
      <c r="F2509" s="126"/>
      <c r="G2509" s="3">
        <v>0</v>
      </c>
      <c r="H2509" s="3">
        <v>0</v>
      </c>
      <c r="I2509" s="3">
        <v>0</v>
      </c>
      <c r="J2509" s="3">
        <v>0</v>
      </c>
      <c r="K2509" s="3">
        <f t="shared" si="92"/>
        <v>0</v>
      </c>
      <c r="L2509" s="3"/>
      <c r="M2509" s="3">
        <f t="shared" si="93"/>
        <v>0</v>
      </c>
      <c r="O2509" s="5"/>
      <c r="S2509" s="6"/>
    </row>
    <row r="2510" spans="1:22" customFormat="1" x14ac:dyDescent="0.45">
      <c r="A2510">
        <v>518096</v>
      </c>
      <c r="B2510" t="s">
        <v>21112</v>
      </c>
      <c r="C2510" t="s">
        <v>21113</v>
      </c>
      <c r="D2510">
        <v>3</v>
      </c>
      <c r="F2510" s="126"/>
      <c r="G2510" s="7">
        <v>0</v>
      </c>
      <c r="H2510" s="7">
        <v>0</v>
      </c>
      <c r="I2510" s="7">
        <v>0</v>
      </c>
      <c r="J2510" s="7">
        <v>0</v>
      </c>
      <c r="K2510" s="3">
        <f t="shared" si="92"/>
        <v>0</v>
      </c>
      <c r="L2510" s="3"/>
      <c r="M2510" s="3">
        <f t="shared" si="93"/>
        <v>0</v>
      </c>
      <c r="O2510" s="5"/>
      <c r="S2510" s="6"/>
    </row>
    <row r="2511" spans="1:22" customFormat="1" x14ac:dyDescent="0.45">
      <c r="A2511">
        <v>518150</v>
      </c>
      <c r="B2511" t="s">
        <v>21114</v>
      </c>
      <c r="C2511" t="s">
        <v>21115</v>
      </c>
      <c r="D2511">
        <v>2</v>
      </c>
      <c r="F2511" s="126"/>
      <c r="G2511" s="7">
        <v>0</v>
      </c>
      <c r="H2511" s="7">
        <v>0</v>
      </c>
      <c r="I2511" s="7">
        <v>0</v>
      </c>
      <c r="J2511" s="7">
        <v>0</v>
      </c>
      <c r="K2511" s="3">
        <f t="shared" si="92"/>
        <v>0</v>
      </c>
      <c r="L2511" s="3"/>
      <c r="M2511" s="3">
        <f t="shared" si="93"/>
        <v>0</v>
      </c>
      <c r="O2511" s="5"/>
      <c r="S2511" s="6"/>
    </row>
    <row r="2512" spans="1:22" customFormat="1" x14ac:dyDescent="0.45">
      <c r="A2512">
        <v>518152</v>
      </c>
      <c r="B2512" t="s">
        <v>21116</v>
      </c>
      <c r="C2512" s="2" t="s">
        <v>21117</v>
      </c>
      <c r="D2512">
        <v>2</v>
      </c>
      <c r="F2512" s="126"/>
      <c r="G2512" s="3">
        <v>0</v>
      </c>
      <c r="H2512" s="3">
        <v>0</v>
      </c>
      <c r="I2512" s="3">
        <v>0</v>
      </c>
      <c r="J2512" s="3">
        <v>0</v>
      </c>
      <c r="K2512" s="3">
        <f t="shared" si="92"/>
        <v>0</v>
      </c>
      <c r="L2512" s="3"/>
      <c r="M2512" s="3">
        <f t="shared" si="93"/>
        <v>0</v>
      </c>
      <c r="O2512" s="5"/>
      <c r="S2512" s="6"/>
    </row>
    <row r="2513" spans="1:22" customFormat="1" x14ac:dyDescent="0.45">
      <c r="A2513">
        <v>518176</v>
      </c>
      <c r="B2513" t="s">
        <v>21118</v>
      </c>
      <c r="C2513" t="s">
        <v>21119</v>
      </c>
      <c r="D2513">
        <v>4</v>
      </c>
      <c r="F2513" s="126"/>
      <c r="G2513" s="7">
        <v>0</v>
      </c>
      <c r="H2513" s="7">
        <v>0</v>
      </c>
      <c r="I2513" s="7">
        <v>0</v>
      </c>
      <c r="J2513" s="7">
        <v>0</v>
      </c>
      <c r="K2513" s="3">
        <f t="shared" si="92"/>
        <v>0</v>
      </c>
      <c r="L2513" s="3"/>
      <c r="M2513" s="3">
        <f t="shared" si="93"/>
        <v>0</v>
      </c>
      <c r="O2513" s="5"/>
      <c r="S2513" s="6"/>
    </row>
    <row r="2514" spans="1:22" customFormat="1" x14ac:dyDescent="0.45">
      <c r="A2514">
        <v>518338</v>
      </c>
      <c r="B2514" t="s">
        <v>21120</v>
      </c>
      <c r="C2514" t="s">
        <v>21121</v>
      </c>
      <c r="D2514">
        <v>2</v>
      </c>
      <c r="F2514" s="126"/>
      <c r="G2514" s="3">
        <v>0</v>
      </c>
      <c r="H2514" s="3">
        <v>0</v>
      </c>
      <c r="I2514" s="3">
        <v>0</v>
      </c>
      <c r="J2514" s="3">
        <v>0</v>
      </c>
      <c r="K2514" s="3">
        <f t="shared" si="92"/>
        <v>0</v>
      </c>
      <c r="L2514" s="3"/>
      <c r="M2514" s="3">
        <f t="shared" si="93"/>
        <v>0</v>
      </c>
      <c r="O2514" s="5"/>
      <c r="S2514" s="6"/>
    </row>
    <row r="2515" spans="1:22" customFormat="1" x14ac:dyDescent="0.45">
      <c r="A2515">
        <v>518402</v>
      </c>
      <c r="B2515" t="s">
        <v>21122</v>
      </c>
      <c r="C2515" t="s">
        <v>16331</v>
      </c>
      <c r="D2515">
        <v>2</v>
      </c>
      <c r="E2515" t="s">
        <v>16331</v>
      </c>
      <c r="F2515" s="126"/>
      <c r="G2515" s="7">
        <v>0</v>
      </c>
      <c r="H2515" s="7">
        <v>0</v>
      </c>
      <c r="I2515" s="7">
        <v>0</v>
      </c>
      <c r="J2515" s="7">
        <v>0</v>
      </c>
      <c r="K2515" s="3">
        <f t="shared" si="92"/>
        <v>0</v>
      </c>
      <c r="L2515" s="3"/>
      <c r="M2515" s="3">
        <f t="shared" si="93"/>
        <v>0</v>
      </c>
      <c r="O2515" s="5"/>
      <c r="S2515" s="6"/>
    </row>
    <row r="2516" spans="1:22" customFormat="1" x14ac:dyDescent="0.45">
      <c r="A2516">
        <v>518429</v>
      </c>
      <c r="B2516" t="s">
        <v>21123</v>
      </c>
      <c r="C2516" t="s">
        <v>21124</v>
      </c>
      <c r="D2516">
        <v>0</v>
      </c>
      <c r="E2516" t="s">
        <v>16561</v>
      </c>
      <c r="F2516" s="126"/>
      <c r="G2516" s="7">
        <v>0</v>
      </c>
      <c r="H2516" s="7">
        <v>0</v>
      </c>
      <c r="I2516" s="7">
        <v>0</v>
      </c>
      <c r="J2516" s="7">
        <v>0</v>
      </c>
      <c r="K2516" s="3">
        <f t="shared" si="92"/>
        <v>0</v>
      </c>
      <c r="L2516" s="3"/>
      <c r="M2516" s="3">
        <f t="shared" si="93"/>
        <v>0</v>
      </c>
      <c r="N2516" s="7"/>
      <c r="O2516" s="5"/>
      <c r="S2516" s="6"/>
    </row>
    <row r="2517" spans="1:22" customFormat="1" x14ac:dyDescent="0.45">
      <c r="A2517">
        <v>518468</v>
      </c>
      <c r="B2517" t="s">
        <v>21125</v>
      </c>
      <c r="C2517" t="s">
        <v>21126</v>
      </c>
      <c r="D2517">
        <v>9</v>
      </c>
      <c r="F2517" s="126"/>
      <c r="G2517" s="7">
        <v>0</v>
      </c>
      <c r="H2517" s="7">
        <v>0</v>
      </c>
      <c r="I2517" s="7">
        <v>0</v>
      </c>
      <c r="J2517" s="7">
        <v>0</v>
      </c>
      <c r="K2517" s="3">
        <f t="shared" si="92"/>
        <v>0</v>
      </c>
      <c r="L2517" s="3"/>
      <c r="M2517" s="3">
        <f t="shared" si="93"/>
        <v>0</v>
      </c>
      <c r="N2517" s="7"/>
      <c r="O2517" s="5"/>
      <c r="S2517" s="6"/>
    </row>
    <row r="2518" spans="1:22" customFormat="1" x14ac:dyDescent="0.45">
      <c r="A2518">
        <v>518498</v>
      </c>
      <c r="B2518" t="s">
        <v>21127</v>
      </c>
      <c r="C2518" t="s">
        <v>16331</v>
      </c>
      <c r="D2518">
        <v>2</v>
      </c>
      <c r="E2518" t="s">
        <v>16331</v>
      </c>
      <c r="F2518" s="126"/>
      <c r="G2518" s="7">
        <v>0</v>
      </c>
      <c r="H2518" s="7">
        <v>0</v>
      </c>
      <c r="I2518" s="7">
        <v>0</v>
      </c>
      <c r="J2518" s="7">
        <v>0</v>
      </c>
      <c r="K2518" s="3">
        <f t="shared" si="92"/>
        <v>0</v>
      </c>
      <c r="L2518" s="3"/>
      <c r="M2518" s="3">
        <f t="shared" si="93"/>
        <v>0</v>
      </c>
      <c r="O2518" s="5"/>
      <c r="S2518" s="6"/>
    </row>
    <row r="2519" spans="1:22" customFormat="1" x14ac:dyDescent="0.45">
      <c r="A2519">
        <v>518520</v>
      </c>
      <c r="B2519" t="s">
        <v>21128</v>
      </c>
      <c r="C2519" t="s">
        <v>21129</v>
      </c>
      <c r="D2519">
        <v>3</v>
      </c>
      <c r="F2519" s="126"/>
      <c r="G2519" s="3">
        <v>0</v>
      </c>
      <c r="H2519" s="3">
        <v>0</v>
      </c>
      <c r="I2519" s="3">
        <v>0</v>
      </c>
      <c r="J2519" s="3">
        <v>0</v>
      </c>
      <c r="K2519" s="3">
        <f t="shared" si="92"/>
        <v>0</v>
      </c>
      <c r="L2519" s="3"/>
      <c r="M2519" s="3">
        <f t="shared" si="93"/>
        <v>0</v>
      </c>
      <c r="O2519" s="5"/>
      <c r="S2519" s="6"/>
    </row>
    <row r="2520" spans="1:22" customFormat="1" x14ac:dyDescent="0.45">
      <c r="A2520">
        <v>518551</v>
      </c>
      <c r="B2520" t="s">
        <v>21130</v>
      </c>
      <c r="C2520" t="s">
        <v>16331</v>
      </c>
      <c r="D2520">
        <v>1</v>
      </c>
      <c r="E2520" t="s">
        <v>16331</v>
      </c>
      <c r="F2520" s="126"/>
      <c r="G2520" s="7">
        <v>0</v>
      </c>
      <c r="H2520" s="7">
        <v>0</v>
      </c>
      <c r="I2520" s="7">
        <v>0</v>
      </c>
      <c r="J2520" s="7">
        <v>0</v>
      </c>
      <c r="K2520" s="3">
        <f t="shared" si="92"/>
        <v>0</v>
      </c>
      <c r="L2520" s="3"/>
      <c r="M2520" s="3">
        <f t="shared" si="93"/>
        <v>0</v>
      </c>
      <c r="O2520" s="5"/>
      <c r="S2520" s="6"/>
    </row>
    <row r="2521" spans="1:22" customFormat="1" x14ac:dyDescent="0.45">
      <c r="A2521">
        <v>518617</v>
      </c>
      <c r="B2521" t="s">
        <v>21131</v>
      </c>
      <c r="C2521" t="s">
        <v>21132</v>
      </c>
      <c r="D2521">
        <v>5</v>
      </c>
      <c r="F2521" s="126"/>
      <c r="G2521" s="7">
        <v>0</v>
      </c>
      <c r="H2521" s="7">
        <v>0</v>
      </c>
      <c r="I2521" s="7">
        <v>0</v>
      </c>
      <c r="J2521" s="7">
        <v>0</v>
      </c>
      <c r="K2521" s="3">
        <f t="shared" si="92"/>
        <v>0</v>
      </c>
      <c r="L2521" s="3"/>
      <c r="M2521" s="3">
        <f t="shared" si="93"/>
        <v>0</v>
      </c>
      <c r="O2521" s="5"/>
      <c r="S2521" s="6"/>
    </row>
    <row r="2522" spans="1:22" customFormat="1" x14ac:dyDescent="0.45">
      <c r="A2522">
        <v>518701</v>
      </c>
      <c r="B2522" t="s">
        <v>21133</v>
      </c>
      <c r="C2522" t="s">
        <v>16331</v>
      </c>
      <c r="D2522">
        <v>1</v>
      </c>
      <c r="E2522" t="s">
        <v>16331</v>
      </c>
      <c r="F2522" s="126"/>
      <c r="G2522" s="7">
        <v>0</v>
      </c>
      <c r="H2522" s="7">
        <v>0</v>
      </c>
      <c r="I2522" s="7">
        <v>0</v>
      </c>
      <c r="J2522" s="7">
        <v>0</v>
      </c>
      <c r="K2522" s="3">
        <f t="shared" si="92"/>
        <v>0</v>
      </c>
      <c r="L2522" s="3"/>
      <c r="M2522" s="3">
        <f t="shared" si="93"/>
        <v>0</v>
      </c>
      <c r="O2522" s="5"/>
      <c r="S2522" s="6"/>
    </row>
    <row r="2523" spans="1:22" customFormat="1" x14ac:dyDescent="0.45">
      <c r="A2523">
        <v>518813</v>
      </c>
      <c r="B2523" t="s">
        <v>21134</v>
      </c>
      <c r="C2523" t="s">
        <v>21135</v>
      </c>
      <c r="D2523">
        <v>6</v>
      </c>
      <c r="F2523" s="126"/>
      <c r="G2523" s="7">
        <v>0</v>
      </c>
      <c r="H2523" s="7">
        <v>0</v>
      </c>
      <c r="I2523" s="7">
        <v>0</v>
      </c>
      <c r="J2523" s="7">
        <v>0</v>
      </c>
      <c r="K2523" s="3">
        <f t="shared" si="92"/>
        <v>0</v>
      </c>
      <c r="L2523" s="3"/>
      <c r="M2523" s="3">
        <f t="shared" si="93"/>
        <v>0</v>
      </c>
      <c r="O2523" s="5"/>
      <c r="S2523" s="6"/>
    </row>
    <row r="2524" spans="1:22" customFormat="1" x14ac:dyDescent="0.45">
      <c r="A2524">
        <v>518833</v>
      </c>
      <c r="B2524" t="s">
        <v>21136</v>
      </c>
      <c r="C2524" t="s">
        <v>21137</v>
      </c>
      <c r="D2524">
        <v>5</v>
      </c>
      <c r="F2524" s="126"/>
      <c r="G2524" s="3">
        <v>0</v>
      </c>
      <c r="H2524" s="3">
        <v>0</v>
      </c>
      <c r="I2524" s="3">
        <v>0</v>
      </c>
      <c r="J2524" s="3">
        <v>0</v>
      </c>
      <c r="K2524" s="3">
        <f t="shared" si="92"/>
        <v>0</v>
      </c>
      <c r="L2524" s="3"/>
      <c r="M2524" s="3">
        <f t="shared" si="93"/>
        <v>0</v>
      </c>
      <c r="O2524" s="5"/>
      <c r="S2524" s="6"/>
    </row>
    <row r="2525" spans="1:22" customFormat="1" x14ac:dyDescent="0.45">
      <c r="A2525">
        <v>519014</v>
      </c>
      <c r="B2525" t="s">
        <v>21138</v>
      </c>
      <c r="C2525" t="s">
        <v>18179</v>
      </c>
      <c r="D2525">
        <v>8</v>
      </c>
      <c r="F2525" s="126"/>
      <c r="G2525" s="7">
        <v>0</v>
      </c>
      <c r="H2525" s="7">
        <v>0</v>
      </c>
      <c r="I2525" s="7">
        <v>0</v>
      </c>
      <c r="J2525" s="7">
        <v>0</v>
      </c>
      <c r="K2525" s="3">
        <f t="shared" si="92"/>
        <v>0</v>
      </c>
      <c r="L2525" s="3"/>
      <c r="M2525" s="3">
        <f t="shared" si="93"/>
        <v>0</v>
      </c>
      <c r="O2525" s="5"/>
      <c r="S2525" s="6"/>
    </row>
    <row r="2526" spans="1:22" customFormat="1" x14ac:dyDescent="0.45">
      <c r="A2526">
        <v>519228</v>
      </c>
      <c r="B2526" t="s">
        <v>21139</v>
      </c>
      <c r="C2526" t="s">
        <v>16331</v>
      </c>
      <c r="D2526">
        <v>3</v>
      </c>
      <c r="E2526" t="s">
        <v>16331</v>
      </c>
      <c r="F2526" s="126"/>
      <c r="G2526" s="7">
        <v>0</v>
      </c>
      <c r="H2526" s="7">
        <v>0</v>
      </c>
      <c r="I2526" s="7">
        <v>0</v>
      </c>
      <c r="J2526" s="7">
        <v>0</v>
      </c>
      <c r="K2526" s="3">
        <f t="shared" si="92"/>
        <v>0</v>
      </c>
      <c r="L2526" s="3"/>
      <c r="M2526" s="3">
        <f t="shared" si="93"/>
        <v>0</v>
      </c>
      <c r="O2526" s="5"/>
      <c r="S2526" s="6"/>
    </row>
    <row r="2527" spans="1:22" customFormat="1" x14ac:dyDescent="0.45">
      <c r="A2527">
        <v>519488</v>
      </c>
      <c r="B2527" t="s">
        <v>21140</v>
      </c>
      <c r="C2527" t="s">
        <v>16331</v>
      </c>
      <c r="D2527">
        <v>1</v>
      </c>
      <c r="E2527" t="s">
        <v>16331</v>
      </c>
      <c r="F2527" s="126"/>
      <c r="G2527" s="7">
        <v>0</v>
      </c>
      <c r="H2527" s="7">
        <v>0</v>
      </c>
      <c r="I2527" s="7">
        <v>0</v>
      </c>
      <c r="J2527" s="7">
        <v>0</v>
      </c>
      <c r="K2527" s="3">
        <f t="shared" si="92"/>
        <v>0</v>
      </c>
      <c r="L2527" s="3"/>
      <c r="M2527" s="3">
        <f t="shared" si="93"/>
        <v>0</v>
      </c>
      <c r="O2527" s="5"/>
      <c r="S2527" s="6"/>
    </row>
    <row r="2528" spans="1:22" x14ac:dyDescent="0.45">
      <c r="A2528" s="124">
        <v>135717</v>
      </c>
      <c r="B2528" s="124" t="s">
        <v>21141</v>
      </c>
      <c r="C2528" s="124" t="s">
        <v>21142</v>
      </c>
      <c r="D2528" s="124">
        <v>8</v>
      </c>
      <c r="E2528" s="124" t="s">
        <v>16334</v>
      </c>
      <c r="F2528" s="126">
        <v>1.6999999999999999E-3</v>
      </c>
      <c r="G2528" s="126">
        <v>3.5000000000000003E-2</v>
      </c>
      <c r="H2528" s="126">
        <v>2.3E-3</v>
      </c>
      <c r="I2528" s="127"/>
      <c r="J2528" s="127"/>
      <c r="K2528" s="126">
        <f t="shared" si="92"/>
        <v>3.73E-2</v>
      </c>
      <c r="L2528" s="3"/>
      <c r="M2528" s="126">
        <f t="shared" si="93"/>
        <v>3.9E-2</v>
      </c>
      <c r="N2528" s="124" t="s">
        <v>21143</v>
      </c>
      <c r="O2528" s="125" t="s">
        <v>21144</v>
      </c>
      <c r="P2528" s="128" t="s">
        <v>26918</v>
      </c>
      <c r="Q2528" s="130">
        <v>114223</v>
      </c>
      <c r="R2528" s="124" t="s">
        <v>16348</v>
      </c>
      <c r="S2528" s="130">
        <v>114223</v>
      </c>
      <c r="T2528" s="129">
        <f>S2528/Q2528</f>
        <v>1</v>
      </c>
      <c r="V2528" s="125" t="s">
        <v>21145</v>
      </c>
    </row>
    <row r="2529" spans="1:22" customFormat="1" x14ac:dyDescent="0.45">
      <c r="A2529">
        <v>519747</v>
      </c>
      <c r="B2529" t="s">
        <v>21146</v>
      </c>
      <c r="C2529" t="s">
        <v>21147</v>
      </c>
      <c r="D2529">
        <v>3</v>
      </c>
      <c r="F2529" s="126"/>
      <c r="G2529" s="7">
        <v>0</v>
      </c>
      <c r="H2529" s="7">
        <v>0</v>
      </c>
      <c r="I2529" s="7">
        <v>0</v>
      </c>
      <c r="J2529" s="7">
        <v>0</v>
      </c>
      <c r="K2529" s="3">
        <f t="shared" si="92"/>
        <v>0</v>
      </c>
      <c r="L2529" s="3"/>
      <c r="M2529" s="3">
        <f t="shared" si="93"/>
        <v>0</v>
      </c>
      <c r="O2529" s="5"/>
      <c r="S2529" s="6"/>
    </row>
    <row r="2530" spans="1:22" customFormat="1" x14ac:dyDescent="0.45">
      <c r="A2530">
        <v>520200</v>
      </c>
      <c r="B2530" t="s">
        <v>21148</v>
      </c>
      <c r="C2530" t="s">
        <v>21149</v>
      </c>
      <c r="D2530">
        <v>3</v>
      </c>
      <c r="F2530" s="126"/>
      <c r="G2530" s="7">
        <v>0</v>
      </c>
      <c r="H2530" s="7">
        <v>0</v>
      </c>
      <c r="I2530" s="7">
        <v>0</v>
      </c>
      <c r="J2530" s="7">
        <v>0</v>
      </c>
      <c r="K2530" s="3">
        <f t="shared" si="92"/>
        <v>0</v>
      </c>
      <c r="L2530" s="3"/>
      <c r="M2530" s="3">
        <f t="shared" si="93"/>
        <v>0</v>
      </c>
      <c r="O2530" s="5"/>
      <c r="S2530" s="6"/>
    </row>
    <row r="2531" spans="1:22" customFormat="1" x14ac:dyDescent="0.45">
      <c r="A2531">
        <v>520332</v>
      </c>
      <c r="B2531" t="s">
        <v>21150</v>
      </c>
      <c r="C2531" t="s">
        <v>16331</v>
      </c>
      <c r="D2531">
        <v>0</v>
      </c>
      <c r="E2531" t="s">
        <v>16331</v>
      </c>
      <c r="F2531" s="126"/>
      <c r="G2531" s="7">
        <v>0</v>
      </c>
      <c r="H2531" s="7">
        <v>0</v>
      </c>
      <c r="I2531" s="7">
        <v>0</v>
      </c>
      <c r="J2531" s="7">
        <v>0</v>
      </c>
      <c r="K2531" s="3">
        <f t="shared" si="92"/>
        <v>0</v>
      </c>
      <c r="L2531" s="3"/>
      <c r="M2531" s="3">
        <f t="shared" si="93"/>
        <v>0</v>
      </c>
      <c r="N2531" s="7"/>
      <c r="O2531" s="5"/>
      <c r="S2531" s="6"/>
    </row>
    <row r="2532" spans="1:22" customFormat="1" x14ac:dyDescent="0.45">
      <c r="A2532">
        <v>520362</v>
      </c>
      <c r="B2532" t="s">
        <v>21151</v>
      </c>
      <c r="C2532" t="s">
        <v>21152</v>
      </c>
      <c r="D2532">
        <v>3</v>
      </c>
      <c r="F2532" s="126"/>
      <c r="K2532" s="3">
        <f t="shared" si="92"/>
        <v>0</v>
      </c>
      <c r="L2532" s="3"/>
      <c r="M2532" s="3">
        <f t="shared" si="93"/>
        <v>0</v>
      </c>
      <c r="O2532" s="5"/>
      <c r="S2532" s="6"/>
    </row>
    <row r="2533" spans="1:22" customFormat="1" x14ac:dyDescent="0.45">
      <c r="A2533">
        <v>520403</v>
      </c>
      <c r="B2533" t="s">
        <v>21153</v>
      </c>
      <c r="C2533" t="s">
        <v>16331</v>
      </c>
      <c r="D2533">
        <v>1</v>
      </c>
      <c r="E2533" t="s">
        <v>16331</v>
      </c>
      <c r="F2533" s="126"/>
      <c r="G2533" s="7">
        <v>0</v>
      </c>
      <c r="H2533" s="7">
        <v>0</v>
      </c>
      <c r="I2533" s="7">
        <v>0</v>
      </c>
      <c r="J2533" s="7">
        <v>0</v>
      </c>
      <c r="K2533" s="3">
        <f t="shared" si="92"/>
        <v>0</v>
      </c>
      <c r="L2533" s="3"/>
      <c r="M2533" s="3">
        <f t="shared" si="93"/>
        <v>0</v>
      </c>
      <c r="O2533" s="5"/>
      <c r="S2533" s="6"/>
    </row>
    <row r="2534" spans="1:22" customFormat="1" x14ac:dyDescent="0.45">
      <c r="A2534">
        <v>520487</v>
      </c>
      <c r="B2534" t="s">
        <v>21154</v>
      </c>
      <c r="C2534" t="s">
        <v>21155</v>
      </c>
      <c r="D2534">
        <v>1</v>
      </c>
      <c r="F2534" s="126"/>
      <c r="G2534" s="7">
        <v>0</v>
      </c>
      <c r="H2534" s="7">
        <v>0</v>
      </c>
      <c r="I2534" s="7">
        <v>0</v>
      </c>
      <c r="J2534" s="7">
        <v>0</v>
      </c>
      <c r="K2534" s="3">
        <f t="shared" si="92"/>
        <v>0</v>
      </c>
      <c r="L2534" s="3"/>
      <c r="M2534" s="3">
        <f t="shared" si="93"/>
        <v>0</v>
      </c>
      <c r="O2534" s="5"/>
      <c r="S2534" s="6"/>
    </row>
    <row r="2535" spans="1:22" customFormat="1" x14ac:dyDescent="0.45">
      <c r="A2535">
        <v>520525</v>
      </c>
      <c r="B2535" t="s">
        <v>21156</v>
      </c>
      <c r="C2535" t="s">
        <v>16331</v>
      </c>
      <c r="D2535">
        <v>1</v>
      </c>
      <c r="E2535" t="s">
        <v>16331</v>
      </c>
      <c r="F2535" s="126"/>
      <c r="G2535" s="7">
        <v>0</v>
      </c>
      <c r="H2535" s="7">
        <v>0</v>
      </c>
      <c r="I2535" s="7">
        <v>0</v>
      </c>
      <c r="J2535" s="7">
        <v>0</v>
      </c>
      <c r="K2535" s="3">
        <f t="shared" si="92"/>
        <v>0</v>
      </c>
      <c r="L2535" s="3"/>
      <c r="M2535" s="3">
        <f t="shared" si="93"/>
        <v>0</v>
      </c>
      <c r="O2535" s="5"/>
      <c r="S2535" s="6"/>
    </row>
    <row r="2536" spans="1:22" customFormat="1" x14ac:dyDescent="0.45">
      <c r="A2536">
        <v>520614</v>
      </c>
      <c r="B2536" t="s">
        <v>21157</v>
      </c>
      <c r="C2536" t="s">
        <v>21158</v>
      </c>
      <c r="D2536">
        <v>3</v>
      </c>
      <c r="F2536" s="126"/>
      <c r="G2536" s="3">
        <v>0</v>
      </c>
      <c r="H2536" s="3">
        <v>0</v>
      </c>
      <c r="I2536" s="3">
        <v>0</v>
      </c>
      <c r="J2536" s="3">
        <v>0</v>
      </c>
      <c r="K2536" s="3">
        <f t="shared" si="92"/>
        <v>0</v>
      </c>
      <c r="L2536" s="3"/>
      <c r="M2536" s="3">
        <f t="shared" si="93"/>
        <v>0</v>
      </c>
      <c r="O2536" s="5"/>
      <c r="S2536" s="6"/>
    </row>
    <row r="2537" spans="1:22" x14ac:dyDescent="0.45">
      <c r="A2537" s="124">
        <v>189627</v>
      </c>
      <c r="B2537" s="124" t="s">
        <v>21159</v>
      </c>
      <c r="C2537" s="124" t="s">
        <v>21160</v>
      </c>
      <c r="D2537" s="124">
        <v>82</v>
      </c>
      <c r="E2537" s="124" t="s">
        <v>16417</v>
      </c>
      <c r="F2537" s="126">
        <v>8.2000000000000007E-3</v>
      </c>
      <c r="G2537" s="126">
        <v>0.02</v>
      </c>
      <c r="H2537" s="126">
        <v>3.65E-3</v>
      </c>
      <c r="I2537" s="127">
        <v>0</v>
      </c>
      <c r="J2537" s="127">
        <v>0</v>
      </c>
      <c r="K2537" s="126">
        <f t="shared" si="92"/>
        <v>2.3650000000000001E-2</v>
      </c>
      <c r="L2537" s="3"/>
      <c r="M2537" s="126">
        <f t="shared" si="93"/>
        <v>3.1850000000000003E-2</v>
      </c>
      <c r="N2537" s="124" t="s">
        <v>21161</v>
      </c>
      <c r="O2537" s="125" t="s">
        <v>21162</v>
      </c>
      <c r="P2537" s="125" t="s">
        <v>21163</v>
      </c>
      <c r="Q2537" s="130">
        <v>25922778</v>
      </c>
      <c r="R2537" s="124" t="s">
        <v>16</v>
      </c>
      <c r="S2537" s="130">
        <v>7901141</v>
      </c>
      <c r="T2537" s="129">
        <f>S2537/Q2537</f>
        <v>0.30479530396009252</v>
      </c>
      <c r="V2537" s="125" t="s">
        <v>21164</v>
      </c>
    </row>
    <row r="2538" spans="1:22" customFormat="1" x14ac:dyDescent="0.45">
      <c r="A2538">
        <v>520796</v>
      </c>
      <c r="B2538" t="s">
        <v>21165</v>
      </c>
      <c r="C2538" t="s">
        <v>21166</v>
      </c>
      <c r="D2538">
        <v>1</v>
      </c>
      <c r="F2538" s="126"/>
      <c r="G2538" s="7">
        <v>0</v>
      </c>
      <c r="H2538" s="7">
        <v>0</v>
      </c>
      <c r="I2538" s="7">
        <v>0</v>
      </c>
      <c r="J2538" s="7">
        <v>0</v>
      </c>
      <c r="K2538" s="3">
        <f t="shared" si="92"/>
        <v>0</v>
      </c>
      <c r="L2538" s="3"/>
      <c r="M2538" s="3">
        <f t="shared" si="93"/>
        <v>0</v>
      </c>
      <c r="O2538" s="5"/>
      <c r="S2538" s="6"/>
    </row>
    <row r="2539" spans="1:22" x14ac:dyDescent="0.45">
      <c r="A2539" s="124">
        <v>103287</v>
      </c>
      <c r="B2539" s="124" t="s">
        <v>21167</v>
      </c>
      <c r="C2539" s="125" t="s">
        <v>21168</v>
      </c>
      <c r="D2539" s="124">
        <v>1</v>
      </c>
      <c r="E2539" s="124" t="s">
        <v>16334</v>
      </c>
      <c r="F2539" s="126">
        <v>1.6999999999999999E-3</v>
      </c>
      <c r="G2539" s="126">
        <f>2.5%+1%</f>
        <v>3.5000000000000003E-2</v>
      </c>
      <c r="H2539" s="135">
        <v>0</v>
      </c>
      <c r="I2539" s="127">
        <v>0</v>
      </c>
      <c r="J2539" s="127">
        <v>0</v>
      </c>
      <c r="K2539" s="126">
        <f t="shared" si="92"/>
        <v>3.5000000000000003E-2</v>
      </c>
      <c r="L2539" s="3"/>
      <c r="M2539" s="126">
        <f t="shared" si="93"/>
        <v>3.6700000000000003E-2</v>
      </c>
      <c r="N2539" s="135" t="s">
        <v>21169</v>
      </c>
      <c r="O2539" s="125" t="s">
        <v>21170</v>
      </c>
      <c r="P2539" s="128" t="s">
        <v>26918</v>
      </c>
      <c r="Q2539" s="130">
        <v>144000</v>
      </c>
      <c r="R2539" s="130" t="s">
        <v>16348</v>
      </c>
      <c r="S2539" s="130">
        <v>140667</v>
      </c>
      <c r="T2539" s="134">
        <f>S2539/Q2539</f>
        <v>0.97685416666666669</v>
      </c>
      <c r="U2539" s="130"/>
      <c r="V2539" s="125" t="s">
        <v>21171</v>
      </c>
    </row>
    <row r="2540" spans="1:22" customFormat="1" x14ac:dyDescent="0.45">
      <c r="A2540">
        <v>521330</v>
      </c>
      <c r="B2540" t="s">
        <v>21172</v>
      </c>
      <c r="C2540" t="s">
        <v>21173</v>
      </c>
      <c r="D2540">
        <v>0</v>
      </c>
      <c r="E2540" t="s">
        <v>16334</v>
      </c>
      <c r="F2540" s="126"/>
      <c r="G2540" s="7">
        <v>0</v>
      </c>
      <c r="H2540" s="7">
        <v>0</v>
      </c>
      <c r="I2540" s="7">
        <v>0</v>
      </c>
      <c r="J2540" s="7">
        <v>0</v>
      </c>
      <c r="K2540" s="3">
        <f t="shared" ref="K2540:K2603" si="94">SUM(G2540:J2540)</f>
        <v>0</v>
      </c>
      <c r="L2540" s="3"/>
      <c r="M2540" s="3">
        <f t="shared" si="93"/>
        <v>0</v>
      </c>
      <c r="O2540" s="5"/>
      <c r="S2540" s="6"/>
    </row>
    <row r="2541" spans="1:22" customFormat="1" x14ac:dyDescent="0.45">
      <c r="A2541">
        <v>521333</v>
      </c>
      <c r="B2541" t="s">
        <v>21174</v>
      </c>
      <c r="C2541" t="s">
        <v>21175</v>
      </c>
      <c r="D2541">
        <v>5</v>
      </c>
      <c r="F2541" s="126"/>
      <c r="G2541" s="3">
        <v>0</v>
      </c>
      <c r="H2541" s="3">
        <v>0</v>
      </c>
      <c r="I2541" s="3">
        <v>0</v>
      </c>
      <c r="J2541" s="3">
        <v>0</v>
      </c>
      <c r="K2541" s="3">
        <f t="shared" si="94"/>
        <v>0</v>
      </c>
      <c r="L2541" s="3"/>
      <c r="M2541" s="3">
        <f t="shared" si="93"/>
        <v>0</v>
      </c>
      <c r="O2541" s="5"/>
      <c r="S2541" s="6"/>
    </row>
    <row r="2542" spans="1:22" customFormat="1" x14ac:dyDescent="0.45">
      <c r="A2542">
        <v>521369</v>
      </c>
      <c r="B2542" t="s">
        <v>21176</v>
      </c>
      <c r="C2542" t="s">
        <v>21177</v>
      </c>
      <c r="D2542">
        <v>1</v>
      </c>
      <c r="F2542" s="126"/>
      <c r="G2542" s="7">
        <v>0</v>
      </c>
      <c r="H2542" s="7">
        <v>0</v>
      </c>
      <c r="I2542" s="7">
        <v>0</v>
      </c>
      <c r="J2542" s="7">
        <v>0</v>
      </c>
      <c r="K2542" s="3">
        <f t="shared" si="94"/>
        <v>0</v>
      </c>
      <c r="L2542" s="3"/>
      <c r="M2542" s="3">
        <f t="shared" si="93"/>
        <v>0</v>
      </c>
      <c r="O2542" s="5"/>
      <c r="S2542" s="6"/>
    </row>
    <row r="2543" spans="1:22" customFormat="1" x14ac:dyDescent="0.45">
      <c r="A2543">
        <v>521875</v>
      </c>
      <c r="B2543" t="s">
        <v>21178</v>
      </c>
      <c r="C2543" t="s">
        <v>21179</v>
      </c>
      <c r="D2543">
        <v>5</v>
      </c>
      <c r="F2543" s="126"/>
      <c r="G2543" s="7">
        <v>0</v>
      </c>
      <c r="H2543" s="7">
        <v>0</v>
      </c>
      <c r="I2543" s="7">
        <v>0</v>
      </c>
      <c r="J2543" s="7">
        <v>0</v>
      </c>
      <c r="K2543" s="3">
        <f t="shared" si="94"/>
        <v>0</v>
      </c>
      <c r="L2543" s="3"/>
      <c r="M2543" s="3">
        <f t="shared" si="93"/>
        <v>0</v>
      </c>
      <c r="O2543" s="5"/>
      <c r="S2543" s="6"/>
    </row>
    <row r="2544" spans="1:22" customFormat="1" x14ac:dyDescent="0.45">
      <c r="A2544">
        <v>521904</v>
      </c>
      <c r="B2544" t="s">
        <v>21180</v>
      </c>
      <c r="C2544" t="s">
        <v>21181</v>
      </c>
      <c r="D2544">
        <v>1</v>
      </c>
      <c r="F2544" s="126"/>
      <c r="K2544" s="3">
        <f t="shared" si="94"/>
        <v>0</v>
      </c>
      <c r="L2544" s="3"/>
      <c r="M2544" s="3">
        <f t="shared" si="93"/>
        <v>0</v>
      </c>
      <c r="O2544" s="5"/>
      <c r="S2544" s="6"/>
    </row>
    <row r="2545" spans="1:23" customFormat="1" x14ac:dyDescent="0.45">
      <c r="A2545">
        <v>521913</v>
      </c>
      <c r="B2545" t="s">
        <v>21182</v>
      </c>
      <c r="C2545" t="s">
        <v>16331</v>
      </c>
      <c r="D2545">
        <v>1</v>
      </c>
      <c r="E2545" t="s">
        <v>16331</v>
      </c>
      <c r="F2545" s="126"/>
      <c r="G2545" s="7">
        <v>0</v>
      </c>
      <c r="H2545" s="7">
        <v>0</v>
      </c>
      <c r="I2545" s="7">
        <v>0</v>
      </c>
      <c r="J2545" s="7">
        <v>0</v>
      </c>
      <c r="K2545" s="3">
        <f t="shared" si="94"/>
        <v>0</v>
      </c>
      <c r="L2545" s="3"/>
      <c r="M2545" s="3">
        <f t="shared" si="93"/>
        <v>0</v>
      </c>
      <c r="O2545" s="5"/>
      <c r="S2545" s="6"/>
    </row>
    <row r="2546" spans="1:23" customFormat="1" x14ac:dyDescent="0.45">
      <c r="A2546">
        <v>522008</v>
      </c>
      <c r="B2546" t="s">
        <v>21183</v>
      </c>
      <c r="C2546" t="s">
        <v>21184</v>
      </c>
      <c r="D2546">
        <v>2</v>
      </c>
      <c r="F2546" s="126"/>
      <c r="G2546" s="7">
        <v>0</v>
      </c>
      <c r="H2546" s="7">
        <v>0</v>
      </c>
      <c r="I2546" s="7">
        <v>0</v>
      </c>
      <c r="J2546" s="7">
        <v>0</v>
      </c>
      <c r="K2546" s="3">
        <f t="shared" si="94"/>
        <v>0</v>
      </c>
      <c r="L2546" s="3"/>
      <c r="M2546" s="3">
        <f t="shared" si="93"/>
        <v>0</v>
      </c>
      <c r="O2546" s="5"/>
      <c r="S2546" s="6"/>
    </row>
    <row r="2547" spans="1:23" customFormat="1" x14ac:dyDescent="0.45">
      <c r="A2547">
        <v>522048</v>
      </c>
      <c r="B2547" t="s">
        <v>21185</v>
      </c>
      <c r="C2547" t="s">
        <v>21186</v>
      </c>
      <c r="D2547">
        <v>0</v>
      </c>
      <c r="E2547" t="s">
        <v>16334</v>
      </c>
      <c r="F2547" s="126"/>
      <c r="G2547" s="7">
        <v>0</v>
      </c>
      <c r="H2547" s="7">
        <v>0</v>
      </c>
      <c r="I2547" s="7">
        <v>0</v>
      </c>
      <c r="J2547" s="7">
        <v>0</v>
      </c>
      <c r="K2547" s="3">
        <f t="shared" si="94"/>
        <v>0</v>
      </c>
      <c r="L2547" s="3"/>
      <c r="M2547" s="3">
        <f t="shared" si="93"/>
        <v>0</v>
      </c>
      <c r="O2547" s="5"/>
      <c r="S2547" s="6"/>
    </row>
    <row r="2548" spans="1:23" customFormat="1" x14ac:dyDescent="0.45">
      <c r="A2548">
        <v>522125</v>
      </c>
      <c r="B2548" t="s">
        <v>21187</v>
      </c>
      <c r="C2548" t="s">
        <v>16331</v>
      </c>
      <c r="D2548">
        <v>3</v>
      </c>
      <c r="E2548" t="s">
        <v>16331</v>
      </c>
      <c r="F2548" s="126"/>
      <c r="G2548" s="7">
        <v>0</v>
      </c>
      <c r="H2548" s="7">
        <v>0</v>
      </c>
      <c r="I2548" s="7">
        <v>0</v>
      </c>
      <c r="J2548" s="7">
        <v>0</v>
      </c>
      <c r="K2548" s="3">
        <f t="shared" si="94"/>
        <v>0</v>
      </c>
      <c r="L2548" s="3"/>
      <c r="M2548" s="3">
        <f t="shared" si="93"/>
        <v>0</v>
      </c>
      <c r="O2548" s="5"/>
      <c r="S2548" s="6"/>
    </row>
    <row r="2549" spans="1:23" x14ac:dyDescent="0.45">
      <c r="A2549" s="124">
        <v>446291</v>
      </c>
      <c r="B2549" s="124" t="s">
        <v>21188</v>
      </c>
      <c r="C2549" s="124" t="s">
        <v>21189</v>
      </c>
      <c r="D2549" s="124">
        <v>11</v>
      </c>
      <c r="E2549" s="124" t="s">
        <v>16334</v>
      </c>
      <c r="F2549" s="126">
        <v>1.6999999999999999E-3</v>
      </c>
      <c r="G2549" s="137">
        <v>3.5000000000000003E-2</v>
      </c>
      <c r="H2549" s="135">
        <v>0.01</v>
      </c>
      <c r="I2549" s="127">
        <v>0</v>
      </c>
      <c r="J2549" s="127">
        <v>0</v>
      </c>
      <c r="K2549" s="126">
        <f t="shared" si="94"/>
        <v>4.5000000000000005E-2</v>
      </c>
      <c r="L2549" s="3"/>
      <c r="M2549" s="126">
        <f t="shared" si="93"/>
        <v>4.6700000000000005E-2</v>
      </c>
      <c r="N2549" s="135"/>
      <c r="O2549" s="131" t="s">
        <v>21170</v>
      </c>
      <c r="P2549" s="128" t="s">
        <v>26918</v>
      </c>
      <c r="Q2549" s="124">
        <f>896572+34204</f>
        <v>930776</v>
      </c>
      <c r="R2549" s="124" t="s">
        <v>16348</v>
      </c>
      <c r="S2549" s="132">
        <v>729542</v>
      </c>
      <c r="T2549" s="129">
        <f>S2549/Q2549</f>
        <v>0.78379975418360592</v>
      </c>
      <c r="V2549" s="125" t="s">
        <v>21190</v>
      </c>
      <c r="W2549" s="124" t="s">
        <v>17021</v>
      </c>
    </row>
    <row r="2550" spans="1:23" customFormat="1" x14ac:dyDescent="0.45">
      <c r="A2550">
        <v>522214</v>
      </c>
      <c r="B2550" t="s">
        <v>21191</v>
      </c>
      <c r="C2550" s="2" t="s">
        <v>21192</v>
      </c>
      <c r="D2550">
        <v>15</v>
      </c>
      <c r="F2550" s="126"/>
      <c r="G2550" s="3">
        <v>0</v>
      </c>
      <c r="H2550" s="3">
        <v>0</v>
      </c>
      <c r="I2550" s="3">
        <v>0</v>
      </c>
      <c r="J2550" s="3">
        <v>0</v>
      </c>
      <c r="K2550" s="3">
        <f t="shared" si="94"/>
        <v>0</v>
      </c>
      <c r="L2550" s="3"/>
      <c r="M2550" s="3">
        <f t="shared" si="93"/>
        <v>0</v>
      </c>
      <c r="O2550" s="5"/>
      <c r="S2550" s="6"/>
    </row>
    <row r="2551" spans="1:23" customFormat="1" x14ac:dyDescent="0.45">
      <c r="A2551">
        <v>522309</v>
      </c>
      <c r="B2551" t="s">
        <v>21193</v>
      </c>
      <c r="C2551" t="s">
        <v>16331</v>
      </c>
      <c r="D2551">
        <v>1</v>
      </c>
      <c r="E2551" t="s">
        <v>16331</v>
      </c>
      <c r="F2551" s="126"/>
      <c r="G2551" s="7">
        <v>0</v>
      </c>
      <c r="H2551" s="7">
        <v>0</v>
      </c>
      <c r="I2551" s="7">
        <v>0</v>
      </c>
      <c r="J2551" s="7">
        <v>0</v>
      </c>
      <c r="K2551" s="3">
        <f t="shared" si="94"/>
        <v>0</v>
      </c>
      <c r="L2551" s="3"/>
      <c r="M2551" s="3">
        <f t="shared" si="93"/>
        <v>0</v>
      </c>
      <c r="O2551" s="5"/>
      <c r="S2551" s="6"/>
    </row>
    <row r="2552" spans="1:23" customFormat="1" x14ac:dyDescent="0.45">
      <c r="A2552">
        <v>522330</v>
      </c>
      <c r="B2552" t="s">
        <v>21194</v>
      </c>
      <c r="C2552" t="s">
        <v>21195</v>
      </c>
      <c r="D2552">
        <v>3</v>
      </c>
      <c r="F2552" s="126"/>
      <c r="G2552" s="7">
        <v>0</v>
      </c>
      <c r="H2552" s="7">
        <v>0</v>
      </c>
      <c r="I2552" s="7">
        <v>0</v>
      </c>
      <c r="J2552" s="7">
        <v>0</v>
      </c>
      <c r="K2552" s="3">
        <f t="shared" si="94"/>
        <v>0</v>
      </c>
      <c r="L2552" s="3"/>
      <c r="M2552" s="3">
        <f t="shared" si="93"/>
        <v>0</v>
      </c>
      <c r="N2552" s="7"/>
      <c r="O2552" s="5"/>
      <c r="S2552" s="6"/>
    </row>
    <row r="2553" spans="1:23" customFormat="1" x14ac:dyDescent="0.45">
      <c r="A2553">
        <v>522337</v>
      </c>
      <c r="B2553" t="s">
        <v>21196</v>
      </c>
      <c r="C2553" t="s">
        <v>21197</v>
      </c>
      <c r="D2553">
        <v>1</v>
      </c>
      <c r="F2553" s="126"/>
      <c r="G2553" s="3">
        <v>0</v>
      </c>
      <c r="H2553" s="3">
        <v>0</v>
      </c>
      <c r="I2553" s="3">
        <v>0</v>
      </c>
      <c r="J2553" s="3">
        <v>0</v>
      </c>
      <c r="K2553" s="3">
        <f t="shared" si="94"/>
        <v>0</v>
      </c>
      <c r="L2553" s="3"/>
      <c r="M2553" s="3">
        <f t="shared" si="93"/>
        <v>0</v>
      </c>
      <c r="O2553" s="5"/>
      <c r="S2553" s="6"/>
    </row>
    <row r="2554" spans="1:23" customFormat="1" x14ac:dyDescent="0.45">
      <c r="A2554">
        <v>522390</v>
      </c>
      <c r="B2554" t="s">
        <v>21198</v>
      </c>
      <c r="C2554" t="s">
        <v>16331</v>
      </c>
      <c r="D2554">
        <v>0</v>
      </c>
      <c r="E2554" t="s">
        <v>16331</v>
      </c>
      <c r="F2554" s="126"/>
      <c r="G2554" s="7">
        <v>0</v>
      </c>
      <c r="H2554" s="7">
        <v>0</v>
      </c>
      <c r="I2554" s="7">
        <v>0</v>
      </c>
      <c r="J2554" s="7">
        <v>0</v>
      </c>
      <c r="K2554" s="3">
        <f t="shared" si="94"/>
        <v>0</v>
      </c>
      <c r="L2554" s="3"/>
      <c r="M2554" s="3">
        <f t="shared" si="93"/>
        <v>0</v>
      </c>
      <c r="O2554" s="5"/>
      <c r="S2554" s="6"/>
    </row>
    <row r="2555" spans="1:23" customFormat="1" x14ac:dyDescent="0.45">
      <c r="A2555">
        <v>522395</v>
      </c>
      <c r="B2555" t="s">
        <v>21199</v>
      </c>
      <c r="C2555" t="s">
        <v>16331</v>
      </c>
      <c r="D2555">
        <v>1</v>
      </c>
      <c r="E2555" t="s">
        <v>16331</v>
      </c>
      <c r="F2555" s="126"/>
      <c r="G2555" s="7">
        <v>0</v>
      </c>
      <c r="H2555" s="7">
        <v>0</v>
      </c>
      <c r="I2555" s="7">
        <v>0</v>
      </c>
      <c r="J2555" s="7">
        <v>0</v>
      </c>
      <c r="K2555" s="3">
        <f t="shared" si="94"/>
        <v>0</v>
      </c>
      <c r="L2555" s="3"/>
      <c r="M2555" s="3">
        <f t="shared" si="93"/>
        <v>0</v>
      </c>
      <c r="O2555" s="5"/>
      <c r="S2555" s="6"/>
    </row>
    <row r="2556" spans="1:23" customFormat="1" x14ac:dyDescent="0.45">
      <c r="A2556">
        <v>522649</v>
      </c>
      <c r="B2556" t="s">
        <v>21200</v>
      </c>
      <c r="C2556" t="s">
        <v>21201</v>
      </c>
      <c r="D2556">
        <v>8</v>
      </c>
      <c r="F2556" s="126"/>
      <c r="G2556" s="7">
        <v>0</v>
      </c>
      <c r="H2556" s="7">
        <v>0</v>
      </c>
      <c r="I2556" s="7">
        <v>0</v>
      </c>
      <c r="J2556" s="7">
        <v>0</v>
      </c>
      <c r="K2556" s="3">
        <f t="shared" si="94"/>
        <v>0</v>
      </c>
      <c r="L2556" s="3"/>
      <c r="M2556" s="3">
        <f t="shared" si="93"/>
        <v>0</v>
      </c>
      <c r="O2556" s="5"/>
      <c r="S2556" s="6"/>
    </row>
    <row r="2557" spans="1:23" customFormat="1" x14ac:dyDescent="0.45">
      <c r="A2557">
        <v>522660</v>
      </c>
      <c r="B2557" t="s">
        <v>21202</v>
      </c>
      <c r="C2557" t="s">
        <v>16331</v>
      </c>
      <c r="D2557">
        <v>2</v>
      </c>
      <c r="E2557" t="s">
        <v>16331</v>
      </c>
      <c r="F2557" s="126"/>
      <c r="G2557" s="7">
        <v>0</v>
      </c>
      <c r="H2557" s="7">
        <v>0</v>
      </c>
      <c r="I2557" s="7">
        <v>0</v>
      </c>
      <c r="J2557" s="7">
        <v>0</v>
      </c>
      <c r="K2557" s="3">
        <f t="shared" si="94"/>
        <v>0</v>
      </c>
      <c r="L2557" s="3"/>
      <c r="M2557" s="3">
        <f t="shared" si="93"/>
        <v>0</v>
      </c>
      <c r="O2557" s="5"/>
      <c r="S2557" s="6"/>
    </row>
    <row r="2558" spans="1:23" customFormat="1" x14ac:dyDescent="0.45">
      <c r="A2558">
        <v>523126</v>
      </c>
      <c r="B2558" t="s">
        <v>21203</v>
      </c>
      <c r="C2558" t="s">
        <v>16796</v>
      </c>
      <c r="D2558">
        <v>1</v>
      </c>
      <c r="F2558" s="126"/>
      <c r="G2558" s="7">
        <v>0</v>
      </c>
      <c r="H2558" s="7">
        <v>0</v>
      </c>
      <c r="I2558" s="7">
        <v>0</v>
      </c>
      <c r="J2558" s="7">
        <v>0</v>
      </c>
      <c r="K2558" s="3">
        <f t="shared" si="94"/>
        <v>0</v>
      </c>
      <c r="L2558" s="3"/>
      <c r="M2558" s="3">
        <f t="shared" si="93"/>
        <v>0</v>
      </c>
      <c r="O2558" s="5"/>
      <c r="S2558" s="6"/>
    </row>
    <row r="2559" spans="1:23" customFormat="1" x14ac:dyDescent="0.45">
      <c r="A2559">
        <v>523173</v>
      </c>
      <c r="B2559" t="s">
        <v>21204</v>
      </c>
      <c r="C2559" t="s">
        <v>21205</v>
      </c>
      <c r="D2559">
        <v>8</v>
      </c>
      <c r="F2559" s="126"/>
      <c r="G2559" s="3"/>
      <c r="H2559" s="3"/>
      <c r="I2559" s="3"/>
      <c r="J2559" s="3"/>
      <c r="K2559" s="3">
        <f t="shared" si="94"/>
        <v>0</v>
      </c>
      <c r="L2559" s="3"/>
      <c r="M2559" s="3">
        <f t="shared" si="93"/>
        <v>0</v>
      </c>
      <c r="O2559" s="5"/>
      <c r="S2559" s="6"/>
    </row>
    <row r="2560" spans="1:23" customFormat="1" x14ac:dyDescent="0.45">
      <c r="A2560">
        <v>523237</v>
      </c>
      <c r="B2560" t="s">
        <v>21206</v>
      </c>
      <c r="C2560" t="s">
        <v>21207</v>
      </c>
      <c r="D2560">
        <v>2</v>
      </c>
      <c r="F2560" s="126"/>
      <c r="G2560" s="7">
        <v>0</v>
      </c>
      <c r="H2560" s="7">
        <v>0</v>
      </c>
      <c r="I2560" s="7">
        <v>0</v>
      </c>
      <c r="J2560" s="7">
        <v>0</v>
      </c>
      <c r="K2560" s="3">
        <f t="shared" si="94"/>
        <v>0</v>
      </c>
      <c r="L2560" s="3"/>
      <c r="M2560" s="3">
        <f t="shared" si="93"/>
        <v>0</v>
      </c>
      <c r="O2560" s="5"/>
      <c r="S2560" s="6"/>
    </row>
    <row r="2561" spans="1:19" customFormat="1" x14ac:dyDescent="0.45">
      <c r="A2561">
        <v>523247</v>
      </c>
      <c r="B2561" t="s">
        <v>21208</v>
      </c>
      <c r="C2561" t="s">
        <v>21209</v>
      </c>
      <c r="D2561">
        <v>1</v>
      </c>
      <c r="F2561" s="126"/>
      <c r="G2561" s="7">
        <v>0</v>
      </c>
      <c r="H2561" s="7">
        <v>0</v>
      </c>
      <c r="I2561" s="7">
        <v>0</v>
      </c>
      <c r="J2561" s="7">
        <v>0</v>
      </c>
      <c r="K2561" s="3">
        <f t="shared" si="94"/>
        <v>0</v>
      </c>
      <c r="L2561" s="3"/>
      <c r="M2561" s="3">
        <f t="shared" si="93"/>
        <v>0</v>
      </c>
      <c r="O2561" s="5"/>
      <c r="S2561" s="6"/>
    </row>
    <row r="2562" spans="1:19" customFormat="1" x14ac:dyDescent="0.45">
      <c r="A2562">
        <v>523254</v>
      </c>
      <c r="B2562" t="s">
        <v>21210</v>
      </c>
      <c r="C2562" t="s">
        <v>17711</v>
      </c>
      <c r="D2562">
        <v>19</v>
      </c>
      <c r="F2562" s="126"/>
      <c r="K2562" s="3">
        <f t="shared" si="94"/>
        <v>0</v>
      </c>
      <c r="L2562" s="3"/>
      <c r="M2562" s="3">
        <f t="shared" si="93"/>
        <v>0</v>
      </c>
      <c r="O2562" s="5"/>
      <c r="S2562" s="6"/>
    </row>
    <row r="2563" spans="1:19" customFormat="1" x14ac:dyDescent="0.45">
      <c r="A2563">
        <v>523308</v>
      </c>
      <c r="B2563" t="s">
        <v>21211</v>
      </c>
      <c r="C2563" t="s">
        <v>21212</v>
      </c>
      <c r="D2563">
        <v>1</v>
      </c>
      <c r="F2563" s="126"/>
      <c r="G2563" s="7">
        <v>0</v>
      </c>
      <c r="H2563" s="7">
        <v>0</v>
      </c>
      <c r="I2563" s="7">
        <v>0</v>
      </c>
      <c r="J2563" s="7">
        <v>0</v>
      </c>
      <c r="K2563" s="3">
        <f t="shared" si="94"/>
        <v>0</v>
      </c>
      <c r="L2563" s="3"/>
      <c r="M2563" s="3">
        <f t="shared" si="93"/>
        <v>0</v>
      </c>
      <c r="O2563" s="5"/>
      <c r="S2563" s="6"/>
    </row>
    <row r="2564" spans="1:19" customFormat="1" x14ac:dyDescent="0.45">
      <c r="A2564">
        <v>523565</v>
      </c>
      <c r="B2564" t="s">
        <v>21213</v>
      </c>
      <c r="C2564" t="s">
        <v>21214</v>
      </c>
      <c r="D2564">
        <v>2</v>
      </c>
      <c r="F2564" s="126"/>
      <c r="G2564" s="7">
        <v>0</v>
      </c>
      <c r="H2564" s="3">
        <v>0</v>
      </c>
      <c r="I2564" s="3">
        <v>0</v>
      </c>
      <c r="J2564">
        <v>0</v>
      </c>
      <c r="K2564" s="3">
        <f t="shared" si="94"/>
        <v>0</v>
      </c>
      <c r="L2564" s="3"/>
      <c r="M2564" s="3">
        <f t="shared" si="93"/>
        <v>0</v>
      </c>
      <c r="O2564" s="5"/>
      <c r="S2564" s="6"/>
    </row>
    <row r="2565" spans="1:19" customFormat="1" x14ac:dyDescent="0.45">
      <c r="A2565">
        <v>523569</v>
      </c>
      <c r="B2565" t="s">
        <v>21215</v>
      </c>
      <c r="C2565" t="s">
        <v>16331</v>
      </c>
      <c r="D2565">
        <v>1</v>
      </c>
      <c r="E2565" t="s">
        <v>16331</v>
      </c>
      <c r="F2565" s="126"/>
      <c r="G2565" s="7">
        <v>0</v>
      </c>
      <c r="H2565" s="7">
        <v>0</v>
      </c>
      <c r="I2565" s="7">
        <v>0</v>
      </c>
      <c r="J2565" s="7">
        <v>0</v>
      </c>
      <c r="K2565" s="3">
        <f t="shared" si="94"/>
        <v>0</v>
      </c>
      <c r="L2565" s="3"/>
      <c r="M2565" s="3">
        <f t="shared" si="93"/>
        <v>0</v>
      </c>
      <c r="O2565" s="5"/>
      <c r="S2565" s="6"/>
    </row>
    <row r="2566" spans="1:19" customFormat="1" x14ac:dyDescent="0.45">
      <c r="A2566">
        <v>523620</v>
      </c>
      <c r="B2566" t="s">
        <v>21216</v>
      </c>
      <c r="C2566" t="s">
        <v>21217</v>
      </c>
      <c r="D2566">
        <v>0</v>
      </c>
      <c r="E2566" t="s">
        <v>16561</v>
      </c>
      <c r="F2566" s="126"/>
      <c r="K2566" s="3">
        <f t="shared" si="94"/>
        <v>0</v>
      </c>
      <c r="L2566" s="3"/>
      <c r="M2566" s="3">
        <f t="shared" si="93"/>
        <v>0</v>
      </c>
      <c r="O2566" s="5"/>
      <c r="S2566" s="6"/>
    </row>
    <row r="2567" spans="1:19" customFormat="1" x14ac:dyDescent="0.45">
      <c r="A2567">
        <v>523632</v>
      </c>
      <c r="B2567" t="s">
        <v>21218</v>
      </c>
      <c r="C2567" t="s">
        <v>21219</v>
      </c>
      <c r="D2567">
        <v>4</v>
      </c>
      <c r="F2567" s="126"/>
      <c r="G2567" s="3">
        <v>0</v>
      </c>
      <c r="H2567" s="3">
        <v>0</v>
      </c>
      <c r="I2567" s="3">
        <v>0</v>
      </c>
      <c r="J2567" s="3">
        <v>0</v>
      </c>
      <c r="K2567" s="3">
        <f t="shared" si="94"/>
        <v>0</v>
      </c>
      <c r="L2567" s="3"/>
      <c r="M2567" s="3">
        <f t="shared" si="93"/>
        <v>0</v>
      </c>
      <c r="O2567" s="5"/>
      <c r="S2567" s="6"/>
    </row>
    <row r="2568" spans="1:19" customFormat="1" x14ac:dyDescent="0.45">
      <c r="A2568">
        <v>524109</v>
      </c>
      <c r="B2568" t="s">
        <v>21220</v>
      </c>
      <c r="C2568" t="s">
        <v>21221</v>
      </c>
      <c r="D2568">
        <v>2</v>
      </c>
      <c r="F2568" s="126"/>
      <c r="G2568" s="3">
        <v>0</v>
      </c>
      <c r="H2568" s="3">
        <v>0</v>
      </c>
      <c r="I2568" s="3">
        <v>0</v>
      </c>
      <c r="J2568" s="3">
        <v>0</v>
      </c>
      <c r="K2568" s="3">
        <f t="shared" si="94"/>
        <v>0</v>
      </c>
      <c r="L2568" s="3"/>
      <c r="M2568" s="3">
        <f t="shared" si="93"/>
        <v>0</v>
      </c>
      <c r="O2568" s="5"/>
      <c r="S2568" s="6"/>
    </row>
    <row r="2569" spans="1:19" customFormat="1" x14ac:dyDescent="0.45">
      <c r="A2569">
        <v>524256</v>
      </c>
      <c r="B2569" t="s">
        <v>21222</v>
      </c>
      <c r="C2569" t="s">
        <v>16331</v>
      </c>
      <c r="D2569">
        <v>1</v>
      </c>
      <c r="E2569" t="s">
        <v>16331</v>
      </c>
      <c r="F2569" s="126"/>
      <c r="G2569" s="7">
        <v>0</v>
      </c>
      <c r="H2569" s="7">
        <v>0</v>
      </c>
      <c r="I2569" s="7">
        <v>0</v>
      </c>
      <c r="J2569" s="7">
        <v>0</v>
      </c>
      <c r="K2569" s="3">
        <f t="shared" si="94"/>
        <v>0</v>
      </c>
      <c r="L2569" s="3"/>
      <c r="M2569" s="3">
        <f t="shared" si="93"/>
        <v>0</v>
      </c>
      <c r="O2569" s="5"/>
      <c r="S2569" s="6"/>
    </row>
    <row r="2570" spans="1:19" customFormat="1" x14ac:dyDescent="0.45">
      <c r="A2570">
        <v>524428</v>
      </c>
      <c r="B2570" t="s">
        <v>21223</v>
      </c>
      <c r="C2570" t="s">
        <v>16331</v>
      </c>
      <c r="D2570">
        <v>3</v>
      </c>
      <c r="E2570" t="s">
        <v>16331</v>
      </c>
      <c r="F2570" s="126"/>
      <c r="G2570" s="7">
        <v>0</v>
      </c>
      <c r="H2570" s="7">
        <v>0</v>
      </c>
      <c r="I2570" s="7">
        <v>0</v>
      </c>
      <c r="J2570" s="7">
        <v>0</v>
      </c>
      <c r="K2570" s="3">
        <f t="shared" si="94"/>
        <v>0</v>
      </c>
      <c r="L2570" s="3"/>
      <c r="M2570" s="3">
        <f t="shared" ref="M2570:M2633" si="95">K2570+F2570</f>
        <v>0</v>
      </c>
      <c r="O2570" s="5"/>
      <c r="S2570" s="6"/>
    </row>
    <row r="2571" spans="1:19" customFormat="1" x14ac:dyDescent="0.45">
      <c r="A2571">
        <v>524458</v>
      </c>
      <c r="B2571" t="s">
        <v>21224</v>
      </c>
      <c r="C2571" t="s">
        <v>16331</v>
      </c>
      <c r="D2571">
        <v>1</v>
      </c>
      <c r="E2571" t="s">
        <v>16331</v>
      </c>
      <c r="F2571" s="126"/>
      <c r="G2571" s="7">
        <v>0</v>
      </c>
      <c r="H2571" s="7">
        <v>0</v>
      </c>
      <c r="I2571" s="7">
        <v>0</v>
      </c>
      <c r="J2571" s="7">
        <v>0</v>
      </c>
      <c r="K2571" s="3">
        <f t="shared" si="94"/>
        <v>0</v>
      </c>
      <c r="L2571" s="3"/>
      <c r="M2571" s="3">
        <f t="shared" si="95"/>
        <v>0</v>
      </c>
      <c r="O2571" s="5"/>
      <c r="S2571" s="6"/>
    </row>
    <row r="2572" spans="1:19" customFormat="1" x14ac:dyDescent="0.45">
      <c r="A2572">
        <v>524535</v>
      </c>
      <c r="B2572" t="s">
        <v>21225</v>
      </c>
      <c r="C2572" t="s">
        <v>16331</v>
      </c>
      <c r="D2572">
        <v>2</v>
      </c>
      <c r="E2572" t="s">
        <v>16331</v>
      </c>
      <c r="F2572" s="126"/>
      <c r="G2572" s="7">
        <v>0</v>
      </c>
      <c r="H2572" s="7">
        <v>0</v>
      </c>
      <c r="I2572" s="7">
        <v>0</v>
      </c>
      <c r="J2572" s="7">
        <v>0</v>
      </c>
      <c r="K2572" s="3">
        <f t="shared" si="94"/>
        <v>0</v>
      </c>
      <c r="L2572" s="3"/>
      <c r="M2572" s="3">
        <f t="shared" si="95"/>
        <v>0</v>
      </c>
      <c r="O2572" s="5"/>
      <c r="S2572" s="6"/>
    </row>
    <row r="2573" spans="1:19" customFormat="1" x14ac:dyDescent="0.45">
      <c r="A2573">
        <v>524635</v>
      </c>
      <c r="B2573" t="s">
        <v>21226</v>
      </c>
      <c r="C2573" t="s">
        <v>21227</v>
      </c>
      <c r="D2573">
        <v>1</v>
      </c>
      <c r="F2573" s="126"/>
      <c r="G2573" s="7">
        <v>0</v>
      </c>
      <c r="H2573" s="7">
        <v>0</v>
      </c>
      <c r="I2573" s="7">
        <v>0</v>
      </c>
      <c r="J2573" s="7">
        <v>0</v>
      </c>
      <c r="K2573" s="3">
        <f t="shared" si="94"/>
        <v>0</v>
      </c>
      <c r="L2573" s="3"/>
      <c r="M2573" s="3">
        <f t="shared" si="95"/>
        <v>0</v>
      </c>
      <c r="O2573" s="5"/>
      <c r="S2573" s="6"/>
    </row>
    <row r="2574" spans="1:19" customFormat="1" x14ac:dyDescent="0.45">
      <c r="A2574">
        <v>524674</v>
      </c>
      <c r="B2574" t="s">
        <v>21228</v>
      </c>
      <c r="C2574" t="s">
        <v>16331</v>
      </c>
      <c r="D2574">
        <v>3</v>
      </c>
      <c r="E2574" t="s">
        <v>16331</v>
      </c>
      <c r="F2574" s="126"/>
      <c r="K2574" s="3">
        <f t="shared" si="94"/>
        <v>0</v>
      </c>
      <c r="L2574" s="3"/>
      <c r="M2574" s="3">
        <f t="shared" si="95"/>
        <v>0</v>
      </c>
      <c r="O2574" s="5"/>
      <c r="S2574" s="6"/>
    </row>
    <row r="2575" spans="1:19" customFormat="1" x14ac:dyDescent="0.45">
      <c r="A2575">
        <v>524733</v>
      </c>
      <c r="B2575" t="s">
        <v>21229</v>
      </c>
      <c r="C2575" t="s">
        <v>21230</v>
      </c>
      <c r="D2575">
        <v>0</v>
      </c>
      <c r="E2575" t="s">
        <v>16561</v>
      </c>
      <c r="F2575" s="126"/>
      <c r="K2575" s="3">
        <f t="shared" si="94"/>
        <v>0</v>
      </c>
      <c r="L2575" s="3"/>
      <c r="M2575" s="3">
        <f t="shared" si="95"/>
        <v>0</v>
      </c>
      <c r="O2575" s="5"/>
      <c r="S2575" s="6"/>
    </row>
    <row r="2576" spans="1:19" customFormat="1" x14ac:dyDescent="0.45">
      <c r="A2576">
        <v>524775</v>
      </c>
      <c r="B2576" t="s">
        <v>21231</v>
      </c>
      <c r="C2576" t="s">
        <v>21232</v>
      </c>
      <c r="D2576">
        <v>2</v>
      </c>
      <c r="F2576" s="126"/>
      <c r="G2576" s="3">
        <v>0</v>
      </c>
      <c r="H2576" s="3">
        <v>0</v>
      </c>
      <c r="I2576" s="3">
        <v>0</v>
      </c>
      <c r="J2576" s="3">
        <v>0</v>
      </c>
      <c r="K2576" s="3">
        <f t="shared" si="94"/>
        <v>0</v>
      </c>
      <c r="L2576" s="3"/>
      <c r="M2576" s="3">
        <f t="shared" si="95"/>
        <v>0</v>
      </c>
      <c r="O2576" s="5"/>
      <c r="S2576" s="6"/>
    </row>
    <row r="2577" spans="1:22" customFormat="1" x14ac:dyDescent="0.45">
      <c r="A2577">
        <v>524896</v>
      </c>
      <c r="B2577" t="s">
        <v>21233</v>
      </c>
      <c r="C2577" t="s">
        <v>16331</v>
      </c>
      <c r="D2577">
        <v>1</v>
      </c>
      <c r="E2577" t="s">
        <v>16331</v>
      </c>
      <c r="F2577" s="126"/>
      <c r="G2577" s="7">
        <v>0</v>
      </c>
      <c r="H2577" s="7">
        <v>0</v>
      </c>
      <c r="I2577" s="7">
        <v>0</v>
      </c>
      <c r="J2577" s="7">
        <v>0</v>
      </c>
      <c r="K2577" s="3">
        <f t="shared" si="94"/>
        <v>0</v>
      </c>
      <c r="L2577" s="3"/>
      <c r="M2577" s="3">
        <f t="shared" si="95"/>
        <v>0</v>
      </c>
      <c r="O2577" s="5"/>
      <c r="S2577" s="6"/>
    </row>
    <row r="2578" spans="1:22" customFormat="1" x14ac:dyDescent="0.45">
      <c r="A2578">
        <v>524966</v>
      </c>
      <c r="B2578" t="s">
        <v>21234</v>
      </c>
      <c r="C2578" t="s">
        <v>21235</v>
      </c>
      <c r="D2578">
        <v>2</v>
      </c>
      <c r="F2578" s="126"/>
      <c r="G2578" s="7">
        <v>0</v>
      </c>
      <c r="H2578" s="7">
        <v>0</v>
      </c>
      <c r="I2578" s="7">
        <v>0</v>
      </c>
      <c r="J2578" s="7">
        <v>0</v>
      </c>
      <c r="K2578" s="3">
        <f t="shared" si="94"/>
        <v>0</v>
      </c>
      <c r="L2578" s="3"/>
      <c r="M2578" s="3">
        <f t="shared" si="95"/>
        <v>0</v>
      </c>
      <c r="O2578" s="5"/>
      <c r="S2578" s="6"/>
    </row>
    <row r="2579" spans="1:22" customFormat="1" x14ac:dyDescent="0.45">
      <c r="A2579">
        <v>525128</v>
      </c>
      <c r="B2579" t="s">
        <v>21236</v>
      </c>
      <c r="C2579" t="s">
        <v>16331</v>
      </c>
      <c r="D2579">
        <v>1</v>
      </c>
      <c r="E2579" t="s">
        <v>16331</v>
      </c>
      <c r="F2579" s="126"/>
      <c r="K2579" s="3">
        <f t="shared" si="94"/>
        <v>0</v>
      </c>
      <c r="L2579" s="3"/>
      <c r="M2579" s="3">
        <f t="shared" si="95"/>
        <v>0</v>
      </c>
      <c r="O2579" s="5"/>
      <c r="S2579" s="6"/>
    </row>
    <row r="2580" spans="1:22" customFormat="1" x14ac:dyDescent="0.45">
      <c r="A2580">
        <v>525140</v>
      </c>
      <c r="B2580" t="s">
        <v>21237</v>
      </c>
      <c r="C2580" t="s">
        <v>16331</v>
      </c>
      <c r="D2580">
        <v>1</v>
      </c>
      <c r="E2580" t="s">
        <v>16331</v>
      </c>
      <c r="F2580" s="126"/>
      <c r="K2580" s="3">
        <f t="shared" si="94"/>
        <v>0</v>
      </c>
      <c r="L2580" s="3"/>
      <c r="M2580" s="3">
        <f t="shared" si="95"/>
        <v>0</v>
      </c>
      <c r="O2580" s="5"/>
      <c r="S2580" s="6"/>
    </row>
    <row r="2581" spans="1:22" customFormat="1" x14ac:dyDescent="0.45">
      <c r="A2581">
        <v>525147</v>
      </c>
      <c r="B2581" t="s">
        <v>21238</v>
      </c>
      <c r="C2581" t="s">
        <v>21239</v>
      </c>
      <c r="D2581">
        <v>0</v>
      </c>
      <c r="E2581" t="s">
        <v>16334</v>
      </c>
      <c r="F2581" s="126"/>
      <c r="G2581" s="7">
        <v>0</v>
      </c>
      <c r="H2581" s="7">
        <v>0</v>
      </c>
      <c r="I2581" s="7">
        <v>0</v>
      </c>
      <c r="J2581" s="7">
        <v>0</v>
      </c>
      <c r="K2581" s="3">
        <f t="shared" si="94"/>
        <v>0</v>
      </c>
      <c r="L2581" s="3"/>
      <c r="M2581" s="3">
        <f t="shared" si="95"/>
        <v>0</v>
      </c>
      <c r="O2581" s="5"/>
      <c r="S2581" s="6"/>
    </row>
    <row r="2582" spans="1:22" customFormat="1" x14ac:dyDescent="0.45">
      <c r="A2582">
        <v>525407</v>
      </c>
      <c r="B2582" t="s">
        <v>21240</v>
      </c>
      <c r="C2582" t="s">
        <v>21241</v>
      </c>
      <c r="D2582">
        <v>2</v>
      </c>
      <c r="F2582" s="126"/>
      <c r="G2582" s="7">
        <v>0</v>
      </c>
      <c r="H2582" s="7">
        <v>0</v>
      </c>
      <c r="I2582" s="7">
        <v>0</v>
      </c>
      <c r="J2582" s="7">
        <v>0</v>
      </c>
      <c r="K2582" s="3">
        <f t="shared" si="94"/>
        <v>0</v>
      </c>
      <c r="L2582" s="3"/>
      <c r="M2582" s="3">
        <f t="shared" si="95"/>
        <v>0</v>
      </c>
      <c r="O2582" s="5"/>
      <c r="S2582" s="6"/>
    </row>
    <row r="2583" spans="1:22" customFormat="1" x14ac:dyDescent="0.45">
      <c r="A2583">
        <v>525431</v>
      </c>
      <c r="B2583" t="s">
        <v>21242</v>
      </c>
      <c r="C2583" t="s">
        <v>21243</v>
      </c>
      <c r="D2583">
        <v>1</v>
      </c>
      <c r="F2583" s="126"/>
      <c r="G2583" s="7">
        <v>0</v>
      </c>
      <c r="H2583" s="7">
        <v>0</v>
      </c>
      <c r="I2583" s="7">
        <v>0</v>
      </c>
      <c r="J2583" s="7">
        <v>0</v>
      </c>
      <c r="K2583" s="3">
        <f t="shared" si="94"/>
        <v>0</v>
      </c>
      <c r="L2583" s="3"/>
      <c r="M2583" s="3">
        <f t="shared" si="95"/>
        <v>0</v>
      </c>
      <c r="O2583" s="5"/>
      <c r="S2583" s="6"/>
    </row>
    <row r="2584" spans="1:22" customFormat="1" x14ac:dyDescent="0.45">
      <c r="A2584">
        <v>525567</v>
      </c>
      <c r="B2584" t="s">
        <v>21244</v>
      </c>
      <c r="C2584" t="s">
        <v>21245</v>
      </c>
      <c r="D2584">
        <v>4</v>
      </c>
      <c r="F2584" s="126"/>
      <c r="K2584" s="3">
        <f t="shared" si="94"/>
        <v>0</v>
      </c>
      <c r="L2584" s="3"/>
      <c r="M2584" s="3">
        <f t="shared" si="95"/>
        <v>0</v>
      </c>
      <c r="O2584" s="5"/>
      <c r="S2584" s="6"/>
    </row>
    <row r="2585" spans="1:22" customFormat="1" x14ac:dyDescent="0.45">
      <c r="A2585">
        <v>525679</v>
      </c>
      <c r="B2585" t="s">
        <v>21246</v>
      </c>
      <c r="C2585" t="s">
        <v>21247</v>
      </c>
      <c r="D2585">
        <v>2</v>
      </c>
      <c r="F2585" s="126"/>
      <c r="G2585" s="7">
        <v>0</v>
      </c>
      <c r="H2585" s="7">
        <v>0</v>
      </c>
      <c r="I2585" s="7">
        <v>0</v>
      </c>
      <c r="J2585" s="7">
        <v>0</v>
      </c>
      <c r="K2585" s="3">
        <f t="shared" si="94"/>
        <v>0</v>
      </c>
      <c r="L2585" s="3"/>
      <c r="M2585" s="3">
        <f t="shared" si="95"/>
        <v>0</v>
      </c>
      <c r="O2585" s="5"/>
      <c r="S2585" s="6"/>
    </row>
    <row r="2586" spans="1:22" x14ac:dyDescent="0.45">
      <c r="A2586" s="124">
        <v>197493</v>
      </c>
      <c r="B2586" s="124" t="s">
        <v>21248</v>
      </c>
      <c r="C2586" s="124" t="s">
        <v>21249</v>
      </c>
      <c r="D2586" s="124">
        <v>2</v>
      </c>
      <c r="E2586" s="124" t="s">
        <v>16334</v>
      </c>
      <c r="F2586" s="126">
        <v>1.6999999999999999E-3</v>
      </c>
      <c r="G2586" s="135">
        <v>0.01</v>
      </c>
      <c r="H2586" s="126">
        <v>7.4999999999999997E-3</v>
      </c>
      <c r="I2586" s="127">
        <v>0</v>
      </c>
      <c r="J2586" s="127">
        <v>0</v>
      </c>
      <c r="K2586" s="126">
        <f t="shared" si="94"/>
        <v>1.7500000000000002E-2</v>
      </c>
      <c r="L2586" s="3"/>
      <c r="M2586" s="126">
        <f t="shared" si="95"/>
        <v>1.9200000000000002E-2</v>
      </c>
      <c r="O2586" s="125" t="s">
        <v>21250</v>
      </c>
      <c r="P2586" s="128" t="s">
        <v>26918</v>
      </c>
      <c r="Q2586" s="130">
        <v>216317</v>
      </c>
      <c r="R2586" s="124" t="s">
        <v>16348</v>
      </c>
      <c r="S2586" s="130">
        <v>85954</v>
      </c>
      <c r="T2586" s="129">
        <f>S2586/Q2586</f>
        <v>0.39735203428301985</v>
      </c>
      <c r="V2586" s="125" t="s">
        <v>21251</v>
      </c>
    </row>
    <row r="2587" spans="1:22" customFormat="1" x14ac:dyDescent="0.45">
      <c r="A2587">
        <v>525739</v>
      </c>
      <c r="B2587" t="s">
        <v>21252</v>
      </c>
      <c r="C2587" t="s">
        <v>21253</v>
      </c>
      <c r="D2587">
        <v>1</v>
      </c>
      <c r="F2587" s="126"/>
      <c r="G2587" s="3">
        <v>0</v>
      </c>
      <c r="H2587" s="3">
        <v>0</v>
      </c>
      <c r="I2587" s="3">
        <v>0</v>
      </c>
      <c r="J2587" s="3">
        <v>0</v>
      </c>
      <c r="K2587" s="3">
        <f t="shared" si="94"/>
        <v>0</v>
      </c>
      <c r="L2587" s="3"/>
      <c r="M2587" s="3">
        <f t="shared" si="95"/>
        <v>0</v>
      </c>
      <c r="O2587" s="5"/>
      <c r="S2587" s="6"/>
    </row>
    <row r="2588" spans="1:22" x14ac:dyDescent="0.45">
      <c r="A2588" s="124">
        <v>192005</v>
      </c>
      <c r="B2588" s="124" t="s">
        <v>21254</v>
      </c>
      <c r="C2588" s="124" t="s">
        <v>21255</v>
      </c>
      <c r="D2588" s="124">
        <v>4</v>
      </c>
      <c r="E2588" s="124" t="s">
        <v>16334</v>
      </c>
      <c r="F2588" s="126">
        <v>1.6999999999999999E-3</v>
      </c>
      <c r="G2588" s="126">
        <v>0</v>
      </c>
      <c r="H2588" s="126">
        <v>0</v>
      </c>
      <c r="I2588" s="127">
        <v>7.4999999999999997E-3</v>
      </c>
      <c r="J2588" s="127">
        <v>0.01</v>
      </c>
      <c r="K2588" s="126">
        <f t="shared" si="94"/>
        <v>1.7500000000000002E-2</v>
      </c>
      <c r="L2588" s="3"/>
      <c r="M2588" s="126">
        <f t="shared" si="95"/>
        <v>1.9200000000000002E-2</v>
      </c>
      <c r="O2588" s="125" t="s">
        <v>21256</v>
      </c>
      <c r="P2588" s="128" t="s">
        <v>26918</v>
      </c>
      <c r="Q2588" s="130">
        <f>150140+338110</f>
        <v>488250</v>
      </c>
      <c r="R2588" s="124" t="s">
        <v>16348</v>
      </c>
      <c r="S2588" s="130">
        <v>270006</v>
      </c>
      <c r="T2588" s="129">
        <f>S2588/Q2588</f>
        <v>0.55300768049155147</v>
      </c>
      <c r="V2588" s="125" t="s">
        <v>21257</v>
      </c>
    </row>
    <row r="2589" spans="1:22" customFormat="1" x14ac:dyDescent="0.45">
      <c r="A2589">
        <v>525784</v>
      </c>
      <c r="B2589" t="s">
        <v>21258</v>
      </c>
      <c r="C2589" t="s">
        <v>21259</v>
      </c>
      <c r="D2589">
        <v>3</v>
      </c>
      <c r="F2589" s="126"/>
      <c r="G2589" s="7">
        <v>0</v>
      </c>
      <c r="H2589" s="7">
        <v>0</v>
      </c>
      <c r="I2589" s="7">
        <v>0</v>
      </c>
      <c r="J2589" s="7">
        <v>0</v>
      </c>
      <c r="K2589" s="3">
        <f t="shared" si="94"/>
        <v>0</v>
      </c>
      <c r="L2589" s="3"/>
      <c r="M2589" s="3">
        <f t="shared" si="95"/>
        <v>0</v>
      </c>
      <c r="N2589" s="7"/>
      <c r="O2589" s="5"/>
      <c r="S2589" s="6"/>
    </row>
    <row r="2590" spans="1:22" customFormat="1" x14ac:dyDescent="0.45">
      <c r="A2590">
        <v>525831</v>
      </c>
      <c r="B2590" t="s">
        <v>21260</v>
      </c>
      <c r="C2590" t="s">
        <v>21261</v>
      </c>
      <c r="D2590">
        <v>2</v>
      </c>
      <c r="F2590" s="126"/>
      <c r="G2590" s="3">
        <v>0</v>
      </c>
      <c r="H2590" s="3">
        <v>0</v>
      </c>
      <c r="I2590" s="3">
        <v>0</v>
      </c>
      <c r="J2590" s="3">
        <v>0</v>
      </c>
      <c r="K2590" s="3">
        <f t="shared" si="94"/>
        <v>0</v>
      </c>
      <c r="L2590" s="3"/>
      <c r="M2590" s="3">
        <f t="shared" si="95"/>
        <v>0</v>
      </c>
      <c r="O2590" s="5"/>
      <c r="S2590" s="6"/>
    </row>
    <row r="2591" spans="1:22" customFormat="1" x14ac:dyDescent="0.45">
      <c r="A2591">
        <v>525901</v>
      </c>
      <c r="B2591" t="s">
        <v>21262</v>
      </c>
      <c r="C2591" t="s">
        <v>16331</v>
      </c>
      <c r="D2591">
        <v>1</v>
      </c>
      <c r="E2591" t="s">
        <v>16331</v>
      </c>
      <c r="F2591" s="126"/>
      <c r="G2591" s="7">
        <v>0</v>
      </c>
      <c r="H2591" s="7">
        <v>0</v>
      </c>
      <c r="I2591" s="7">
        <v>0</v>
      </c>
      <c r="J2591" s="7">
        <v>0</v>
      </c>
      <c r="K2591" s="3">
        <f t="shared" si="94"/>
        <v>0</v>
      </c>
      <c r="L2591" s="3"/>
      <c r="M2591" s="3">
        <f t="shared" si="95"/>
        <v>0</v>
      </c>
      <c r="O2591" s="5"/>
      <c r="S2591" s="6"/>
    </row>
    <row r="2592" spans="1:22" customFormat="1" x14ac:dyDescent="0.45">
      <c r="A2592">
        <v>525915</v>
      </c>
      <c r="B2592" t="s">
        <v>21263</v>
      </c>
      <c r="C2592" t="s">
        <v>21264</v>
      </c>
      <c r="D2592">
        <v>4</v>
      </c>
      <c r="F2592" s="126"/>
      <c r="G2592" s="7">
        <v>0</v>
      </c>
      <c r="H2592" s="7">
        <v>0</v>
      </c>
      <c r="I2592" s="7">
        <v>0</v>
      </c>
      <c r="J2592" s="7">
        <v>0</v>
      </c>
      <c r="K2592" s="3">
        <f t="shared" si="94"/>
        <v>0</v>
      </c>
      <c r="L2592" s="3"/>
      <c r="M2592" s="3">
        <f t="shared" si="95"/>
        <v>0</v>
      </c>
      <c r="O2592" s="5"/>
      <c r="S2592" s="6"/>
    </row>
    <row r="2593" spans="1:22" customFormat="1" x14ac:dyDescent="0.45">
      <c r="A2593">
        <v>525929</v>
      </c>
      <c r="B2593" t="s">
        <v>21265</v>
      </c>
      <c r="C2593" t="s">
        <v>16331</v>
      </c>
      <c r="D2593">
        <v>1</v>
      </c>
      <c r="E2593" t="s">
        <v>16331</v>
      </c>
      <c r="F2593" s="126"/>
      <c r="G2593" s="7">
        <v>0</v>
      </c>
      <c r="H2593" s="7">
        <v>0</v>
      </c>
      <c r="I2593" s="7">
        <v>0</v>
      </c>
      <c r="J2593" s="7">
        <v>0</v>
      </c>
      <c r="K2593" s="3">
        <f t="shared" si="94"/>
        <v>0</v>
      </c>
      <c r="L2593" s="3"/>
      <c r="M2593" s="3">
        <f t="shared" si="95"/>
        <v>0</v>
      </c>
      <c r="O2593" s="5"/>
      <c r="S2593" s="6"/>
    </row>
    <row r="2594" spans="1:22" customFormat="1" x14ac:dyDescent="0.45">
      <c r="A2594">
        <v>525971</v>
      </c>
      <c r="B2594" t="s">
        <v>21266</v>
      </c>
      <c r="C2594" t="s">
        <v>21267</v>
      </c>
      <c r="D2594">
        <v>2</v>
      </c>
      <c r="F2594" s="126"/>
      <c r="G2594" s="3">
        <v>0</v>
      </c>
      <c r="H2594" s="3">
        <v>0</v>
      </c>
      <c r="I2594" s="3">
        <v>0</v>
      </c>
      <c r="J2594" s="3">
        <v>0</v>
      </c>
      <c r="K2594" s="3">
        <f t="shared" si="94"/>
        <v>0</v>
      </c>
      <c r="L2594" s="3"/>
      <c r="M2594" s="3">
        <f t="shared" si="95"/>
        <v>0</v>
      </c>
      <c r="O2594" s="5"/>
      <c r="S2594" s="6"/>
    </row>
    <row r="2595" spans="1:22" customFormat="1" x14ac:dyDescent="0.45">
      <c r="A2595">
        <v>525989</v>
      </c>
      <c r="B2595" t="s">
        <v>21268</v>
      </c>
      <c r="C2595" t="s">
        <v>21269</v>
      </c>
      <c r="D2595">
        <v>3</v>
      </c>
      <c r="F2595" s="126"/>
      <c r="G2595" s="3">
        <v>0</v>
      </c>
      <c r="H2595" s="3">
        <v>0</v>
      </c>
      <c r="I2595" s="3">
        <v>0</v>
      </c>
      <c r="J2595" s="3">
        <v>0</v>
      </c>
      <c r="K2595" s="3">
        <f t="shared" si="94"/>
        <v>0</v>
      </c>
      <c r="L2595" s="3"/>
      <c r="M2595" s="3">
        <f t="shared" si="95"/>
        <v>0</v>
      </c>
      <c r="O2595" s="5"/>
      <c r="S2595" s="6"/>
    </row>
    <row r="2596" spans="1:22" customFormat="1" x14ac:dyDescent="0.45">
      <c r="A2596">
        <v>526015</v>
      </c>
      <c r="B2596" t="s">
        <v>21270</v>
      </c>
      <c r="C2596" t="s">
        <v>21271</v>
      </c>
      <c r="D2596">
        <v>1</v>
      </c>
      <c r="F2596" s="126"/>
      <c r="G2596" s="7">
        <v>0</v>
      </c>
      <c r="H2596" s="7">
        <v>0</v>
      </c>
      <c r="I2596" s="7">
        <v>0</v>
      </c>
      <c r="J2596" s="7">
        <v>0</v>
      </c>
      <c r="K2596" s="3">
        <f t="shared" si="94"/>
        <v>0</v>
      </c>
      <c r="L2596" s="3"/>
      <c r="M2596" s="3">
        <f t="shared" si="95"/>
        <v>0</v>
      </c>
      <c r="N2596" s="7"/>
      <c r="O2596" s="5"/>
      <c r="S2596" s="6"/>
    </row>
    <row r="2597" spans="1:22" customFormat="1" x14ac:dyDescent="0.45">
      <c r="A2597">
        <v>526095</v>
      </c>
      <c r="B2597" t="s">
        <v>21272</v>
      </c>
      <c r="C2597" t="s">
        <v>16331</v>
      </c>
      <c r="D2597">
        <v>3</v>
      </c>
      <c r="E2597" t="s">
        <v>16331</v>
      </c>
      <c r="F2597" s="126"/>
      <c r="G2597" s="7">
        <v>0</v>
      </c>
      <c r="H2597" s="7">
        <v>0</v>
      </c>
      <c r="I2597" s="7">
        <v>0</v>
      </c>
      <c r="J2597" s="7">
        <v>0</v>
      </c>
      <c r="K2597" s="3">
        <f t="shared" si="94"/>
        <v>0</v>
      </c>
      <c r="L2597" s="3"/>
      <c r="M2597" s="3">
        <f t="shared" si="95"/>
        <v>0</v>
      </c>
      <c r="O2597" s="5"/>
      <c r="S2597" s="6"/>
    </row>
    <row r="2598" spans="1:22" customFormat="1" x14ac:dyDescent="0.45">
      <c r="A2598">
        <v>526101</v>
      </c>
      <c r="B2598" t="s">
        <v>21273</v>
      </c>
      <c r="C2598" t="s">
        <v>16331</v>
      </c>
      <c r="D2598">
        <v>1</v>
      </c>
      <c r="E2598" t="s">
        <v>16331</v>
      </c>
      <c r="F2598" s="126"/>
      <c r="G2598" s="7">
        <v>0</v>
      </c>
      <c r="H2598" s="7">
        <v>0</v>
      </c>
      <c r="I2598" s="7">
        <v>0</v>
      </c>
      <c r="J2598" s="7">
        <v>0</v>
      </c>
      <c r="K2598" s="3">
        <f t="shared" si="94"/>
        <v>0</v>
      </c>
      <c r="L2598" s="3"/>
      <c r="M2598" s="3">
        <f t="shared" si="95"/>
        <v>0</v>
      </c>
      <c r="O2598" s="5"/>
      <c r="S2598" s="6"/>
    </row>
    <row r="2599" spans="1:22" customFormat="1" x14ac:dyDescent="0.45">
      <c r="A2599">
        <v>526121</v>
      </c>
      <c r="B2599" t="s">
        <v>21274</v>
      </c>
      <c r="C2599" t="s">
        <v>16331</v>
      </c>
      <c r="D2599">
        <v>2</v>
      </c>
      <c r="E2599" t="s">
        <v>16331</v>
      </c>
      <c r="F2599" s="126"/>
      <c r="G2599" s="7">
        <v>0</v>
      </c>
      <c r="H2599" s="7">
        <v>0</v>
      </c>
      <c r="I2599" s="7">
        <v>0</v>
      </c>
      <c r="J2599" s="7">
        <v>0</v>
      </c>
      <c r="K2599" s="3">
        <f t="shared" si="94"/>
        <v>0</v>
      </c>
      <c r="L2599" s="3"/>
      <c r="M2599" s="3">
        <f t="shared" si="95"/>
        <v>0</v>
      </c>
      <c r="O2599" s="5"/>
      <c r="S2599" s="6"/>
    </row>
    <row r="2600" spans="1:22" customFormat="1" x14ac:dyDescent="0.45">
      <c r="A2600">
        <v>526124</v>
      </c>
      <c r="B2600" t="s">
        <v>21275</v>
      </c>
      <c r="C2600" t="s">
        <v>16331</v>
      </c>
      <c r="D2600">
        <v>1</v>
      </c>
      <c r="E2600" t="s">
        <v>16331</v>
      </c>
      <c r="F2600" s="126"/>
      <c r="K2600" s="3">
        <f t="shared" si="94"/>
        <v>0</v>
      </c>
      <c r="L2600" s="3"/>
      <c r="M2600" s="3">
        <f t="shared" si="95"/>
        <v>0</v>
      </c>
      <c r="O2600" s="5"/>
      <c r="S2600" s="6"/>
    </row>
    <row r="2601" spans="1:22" x14ac:dyDescent="0.45">
      <c r="A2601" s="124">
        <v>207297</v>
      </c>
      <c r="B2601" s="124" t="s">
        <v>21276</v>
      </c>
      <c r="C2601" s="124" t="s">
        <v>21277</v>
      </c>
      <c r="D2601" s="124">
        <v>5</v>
      </c>
      <c r="E2601" s="124" t="s">
        <v>16334</v>
      </c>
      <c r="F2601" s="126">
        <v>1.6999999999999999E-3</v>
      </c>
      <c r="G2601" s="126">
        <f>(1.5%+0.75%)/2</f>
        <v>1.125E-2</v>
      </c>
      <c r="H2601" s="126">
        <v>5.0000000000000001E-3</v>
      </c>
      <c r="I2601" s="127">
        <v>0</v>
      </c>
      <c r="J2601" s="127">
        <v>0</v>
      </c>
      <c r="K2601" s="126">
        <f t="shared" si="94"/>
        <v>1.6250000000000001E-2</v>
      </c>
      <c r="L2601" s="3"/>
      <c r="M2601" s="126">
        <f t="shared" si="95"/>
        <v>1.7950000000000001E-2</v>
      </c>
      <c r="O2601" s="125" t="s">
        <v>21278</v>
      </c>
      <c r="P2601" s="128" t="s">
        <v>26918</v>
      </c>
      <c r="Q2601" s="130">
        <f>173237+173548</f>
        <v>346785</v>
      </c>
      <c r="R2601" s="124" t="s">
        <v>16348</v>
      </c>
      <c r="S2601" s="130">
        <v>141117</v>
      </c>
      <c r="T2601" s="129">
        <f>S2601/Q2601</f>
        <v>0.40692936545698344</v>
      </c>
      <c r="V2601" s="125" t="s">
        <v>21279</v>
      </c>
    </row>
    <row r="2602" spans="1:22" customFormat="1" x14ac:dyDescent="0.45">
      <c r="A2602">
        <v>526157</v>
      </c>
      <c r="B2602" t="s">
        <v>21280</v>
      </c>
      <c r="C2602" t="s">
        <v>21281</v>
      </c>
      <c r="D2602">
        <v>1</v>
      </c>
      <c r="F2602" s="126"/>
      <c r="G2602" s="7">
        <v>0</v>
      </c>
      <c r="H2602" s="7">
        <v>0</v>
      </c>
      <c r="I2602" s="7">
        <v>0</v>
      </c>
      <c r="J2602" s="7">
        <v>0</v>
      </c>
      <c r="K2602" s="3">
        <f t="shared" si="94"/>
        <v>0</v>
      </c>
      <c r="L2602" s="3"/>
      <c r="M2602" s="3">
        <f t="shared" si="95"/>
        <v>0</v>
      </c>
      <c r="O2602" s="5"/>
      <c r="S2602" s="6"/>
    </row>
    <row r="2603" spans="1:22" customFormat="1" x14ac:dyDescent="0.45">
      <c r="A2603">
        <v>526599</v>
      </c>
      <c r="B2603" t="s">
        <v>21282</v>
      </c>
      <c r="C2603" t="s">
        <v>21283</v>
      </c>
      <c r="D2603">
        <v>6</v>
      </c>
      <c r="F2603" s="126"/>
      <c r="G2603" s="3">
        <v>0</v>
      </c>
      <c r="H2603" s="3">
        <v>0</v>
      </c>
      <c r="I2603" s="3">
        <v>0</v>
      </c>
      <c r="J2603" s="3">
        <v>0</v>
      </c>
      <c r="K2603" s="3">
        <f t="shared" si="94"/>
        <v>0</v>
      </c>
      <c r="L2603" s="3"/>
      <c r="M2603" s="3">
        <f t="shared" si="95"/>
        <v>0</v>
      </c>
      <c r="O2603" s="5"/>
      <c r="S2603" s="6"/>
    </row>
    <row r="2604" spans="1:22" customFormat="1" x14ac:dyDescent="0.45">
      <c r="A2604">
        <v>526604</v>
      </c>
      <c r="B2604" t="s">
        <v>21284</v>
      </c>
      <c r="C2604" t="s">
        <v>21285</v>
      </c>
      <c r="D2604">
        <v>2</v>
      </c>
      <c r="F2604" s="126"/>
      <c r="G2604" s="7">
        <v>0</v>
      </c>
      <c r="H2604" s="7">
        <v>0</v>
      </c>
      <c r="I2604" s="7">
        <v>0</v>
      </c>
      <c r="J2604" s="7">
        <v>0</v>
      </c>
      <c r="K2604" s="3">
        <f t="shared" ref="K2604:K2648" si="96">SUM(G2604:J2604)</f>
        <v>0</v>
      </c>
      <c r="L2604" s="3"/>
      <c r="M2604" s="3">
        <f t="shared" si="95"/>
        <v>0</v>
      </c>
      <c r="O2604" s="5"/>
      <c r="S2604" s="6"/>
    </row>
    <row r="2605" spans="1:22" customFormat="1" x14ac:dyDescent="0.45">
      <c r="A2605">
        <v>526994</v>
      </c>
      <c r="B2605" t="s">
        <v>21286</v>
      </c>
      <c r="C2605" t="s">
        <v>21287</v>
      </c>
      <c r="D2605">
        <v>1</v>
      </c>
      <c r="F2605" s="126"/>
      <c r="G2605" s="7">
        <v>0</v>
      </c>
      <c r="H2605" s="7">
        <v>0</v>
      </c>
      <c r="I2605" s="7">
        <v>0</v>
      </c>
      <c r="J2605" s="7">
        <v>0</v>
      </c>
      <c r="K2605" s="3">
        <f t="shared" si="96"/>
        <v>0</v>
      </c>
      <c r="L2605" s="3"/>
      <c r="M2605" s="3">
        <f t="shared" si="95"/>
        <v>0</v>
      </c>
      <c r="O2605" s="5"/>
      <c r="S2605" s="6"/>
    </row>
    <row r="2606" spans="1:22" customFormat="1" x14ac:dyDescent="0.45">
      <c r="A2606">
        <v>527015</v>
      </c>
      <c r="B2606" t="s">
        <v>21288</v>
      </c>
      <c r="C2606" t="s">
        <v>16331</v>
      </c>
      <c r="D2606">
        <v>1</v>
      </c>
      <c r="E2606" t="s">
        <v>16331</v>
      </c>
      <c r="F2606" s="126"/>
      <c r="K2606" s="3">
        <f t="shared" si="96"/>
        <v>0</v>
      </c>
      <c r="L2606" s="3"/>
      <c r="M2606" s="3">
        <f t="shared" si="95"/>
        <v>0</v>
      </c>
      <c r="O2606" s="5"/>
      <c r="S2606" s="6"/>
    </row>
    <row r="2607" spans="1:22" customFormat="1" x14ac:dyDescent="0.45">
      <c r="A2607">
        <v>527161</v>
      </c>
      <c r="B2607" t="s">
        <v>21289</v>
      </c>
      <c r="C2607" t="s">
        <v>21290</v>
      </c>
      <c r="D2607">
        <v>2</v>
      </c>
      <c r="F2607" s="126"/>
      <c r="G2607" s="46"/>
      <c r="H2607" s="46"/>
      <c r="I2607" s="46"/>
      <c r="J2607" s="46"/>
      <c r="K2607" s="3">
        <f t="shared" si="96"/>
        <v>0</v>
      </c>
      <c r="L2607" s="3"/>
      <c r="M2607" s="3">
        <f t="shared" si="95"/>
        <v>0</v>
      </c>
      <c r="O2607" s="5"/>
      <c r="S2607" s="6"/>
    </row>
    <row r="2608" spans="1:22" customFormat="1" x14ac:dyDescent="0.45">
      <c r="A2608">
        <v>527248</v>
      </c>
      <c r="B2608" t="s">
        <v>21291</v>
      </c>
      <c r="C2608" t="s">
        <v>16331</v>
      </c>
      <c r="D2608">
        <v>1</v>
      </c>
      <c r="E2608" t="s">
        <v>16331</v>
      </c>
      <c r="F2608" s="126"/>
      <c r="G2608" s="7"/>
      <c r="H2608" s="7"/>
      <c r="I2608" s="7"/>
      <c r="J2608" s="7"/>
      <c r="K2608" s="3">
        <f t="shared" si="96"/>
        <v>0</v>
      </c>
      <c r="L2608" s="3"/>
      <c r="M2608" s="3">
        <f t="shared" si="95"/>
        <v>0</v>
      </c>
      <c r="O2608" s="5"/>
      <c r="S2608" s="6"/>
    </row>
    <row r="2609" spans="1:22" customFormat="1" x14ac:dyDescent="0.45">
      <c r="A2609">
        <v>527253</v>
      </c>
      <c r="B2609" t="s">
        <v>21292</v>
      </c>
      <c r="C2609" t="s">
        <v>16331</v>
      </c>
      <c r="D2609">
        <v>4</v>
      </c>
      <c r="E2609" t="s">
        <v>16331</v>
      </c>
      <c r="F2609" s="126"/>
      <c r="G2609" s="7">
        <v>0</v>
      </c>
      <c r="H2609" s="7">
        <v>0</v>
      </c>
      <c r="I2609" s="7">
        <v>0</v>
      </c>
      <c r="J2609" s="7">
        <v>0</v>
      </c>
      <c r="K2609" s="3">
        <f t="shared" si="96"/>
        <v>0</v>
      </c>
      <c r="L2609" s="3"/>
      <c r="M2609" s="3">
        <f t="shared" si="95"/>
        <v>0</v>
      </c>
      <c r="O2609" s="5"/>
      <c r="S2609" s="6"/>
    </row>
    <row r="2610" spans="1:22" customFormat="1" x14ac:dyDescent="0.45">
      <c r="A2610">
        <v>527367</v>
      </c>
      <c r="B2610" t="s">
        <v>21293</v>
      </c>
      <c r="C2610" t="s">
        <v>16331</v>
      </c>
      <c r="D2610">
        <v>1</v>
      </c>
      <c r="E2610" t="s">
        <v>16331</v>
      </c>
      <c r="F2610" s="126"/>
      <c r="G2610" s="7">
        <v>0</v>
      </c>
      <c r="H2610" s="7">
        <v>0</v>
      </c>
      <c r="I2610" s="7">
        <v>0</v>
      </c>
      <c r="J2610" s="7">
        <v>0</v>
      </c>
      <c r="K2610" s="3">
        <f t="shared" si="96"/>
        <v>0</v>
      </c>
      <c r="L2610" s="3"/>
      <c r="M2610" s="3">
        <f t="shared" si="95"/>
        <v>0</v>
      </c>
      <c r="O2610" s="5"/>
      <c r="S2610" s="6"/>
    </row>
    <row r="2611" spans="1:22" customFormat="1" x14ac:dyDescent="0.45">
      <c r="A2611">
        <v>527402</v>
      </c>
      <c r="B2611" t="s">
        <v>21294</v>
      </c>
      <c r="C2611" t="s">
        <v>16331</v>
      </c>
      <c r="D2611">
        <v>1</v>
      </c>
      <c r="E2611" t="s">
        <v>16331</v>
      </c>
      <c r="F2611" s="126"/>
      <c r="G2611" s="7">
        <v>0</v>
      </c>
      <c r="H2611" s="7">
        <v>0</v>
      </c>
      <c r="I2611" s="7">
        <v>0</v>
      </c>
      <c r="J2611" s="7">
        <v>0</v>
      </c>
      <c r="K2611" s="3">
        <f t="shared" si="96"/>
        <v>0</v>
      </c>
      <c r="L2611" s="3"/>
      <c r="M2611" s="3">
        <f t="shared" si="95"/>
        <v>0</v>
      </c>
      <c r="O2611" s="5"/>
      <c r="S2611" s="6"/>
    </row>
    <row r="2612" spans="1:22" customFormat="1" x14ac:dyDescent="0.45">
      <c r="A2612">
        <v>527438</v>
      </c>
      <c r="B2612" t="s">
        <v>21295</v>
      </c>
      <c r="C2612" t="s">
        <v>16331</v>
      </c>
      <c r="D2612">
        <v>1</v>
      </c>
      <c r="E2612" t="s">
        <v>16331</v>
      </c>
      <c r="F2612" s="126"/>
      <c r="G2612" s="7">
        <v>0</v>
      </c>
      <c r="H2612" s="7">
        <v>0</v>
      </c>
      <c r="I2612" s="7">
        <v>0</v>
      </c>
      <c r="J2612" s="7">
        <v>0</v>
      </c>
      <c r="K2612" s="3">
        <f t="shared" si="96"/>
        <v>0</v>
      </c>
      <c r="L2612" s="3"/>
      <c r="M2612" s="3">
        <f t="shared" si="95"/>
        <v>0</v>
      </c>
      <c r="O2612" s="5"/>
      <c r="S2612" s="6"/>
    </row>
    <row r="2613" spans="1:22" customFormat="1" x14ac:dyDescent="0.45">
      <c r="A2613">
        <v>527443</v>
      </c>
      <c r="B2613" t="s">
        <v>21296</v>
      </c>
      <c r="C2613" t="s">
        <v>21297</v>
      </c>
      <c r="D2613">
        <v>5</v>
      </c>
      <c r="F2613" s="126"/>
      <c r="G2613" s="7">
        <v>0</v>
      </c>
      <c r="H2613" s="7">
        <v>0</v>
      </c>
      <c r="I2613" s="7">
        <v>0</v>
      </c>
      <c r="J2613" s="7">
        <v>0</v>
      </c>
      <c r="K2613" s="3">
        <f t="shared" si="96"/>
        <v>0</v>
      </c>
      <c r="L2613" s="3"/>
      <c r="M2613" s="3">
        <f t="shared" si="95"/>
        <v>0</v>
      </c>
      <c r="O2613" s="5"/>
      <c r="S2613" s="6"/>
    </row>
    <row r="2614" spans="1:22" x14ac:dyDescent="0.45">
      <c r="A2614" s="124">
        <v>509886</v>
      </c>
      <c r="B2614" s="124" t="s">
        <v>21298</v>
      </c>
      <c r="C2614" s="124" t="s">
        <v>21299</v>
      </c>
      <c r="D2614" s="124">
        <v>15</v>
      </c>
      <c r="E2614" s="124" t="s">
        <v>16334</v>
      </c>
      <c r="F2614" s="126">
        <v>1.6999999999999999E-3</v>
      </c>
      <c r="G2614" s="135">
        <v>0</v>
      </c>
      <c r="H2614" s="135">
        <v>0</v>
      </c>
      <c r="I2614" s="135">
        <v>0.03</v>
      </c>
      <c r="J2614" s="135">
        <v>0.01</v>
      </c>
      <c r="K2614" s="126">
        <f t="shared" si="96"/>
        <v>0.04</v>
      </c>
      <c r="L2614" s="3"/>
      <c r="M2614" s="126">
        <f t="shared" si="95"/>
        <v>4.1700000000000001E-2</v>
      </c>
      <c r="O2614" s="131" t="s">
        <v>21300</v>
      </c>
      <c r="P2614" s="128" t="s">
        <v>26918</v>
      </c>
      <c r="Q2614" s="130">
        <f>2866652+199257</f>
        <v>3065909</v>
      </c>
      <c r="R2614" s="124" t="s">
        <v>16348</v>
      </c>
      <c r="S2614" s="132">
        <v>2575893</v>
      </c>
      <c r="T2614" s="129">
        <f>S2614/Q2614</f>
        <v>0.84017268614300034</v>
      </c>
      <c r="V2614" s="125" t="s">
        <v>21301</v>
      </c>
    </row>
    <row r="2615" spans="1:22" customFormat="1" x14ac:dyDescent="0.45">
      <c r="A2615">
        <v>527515</v>
      </c>
      <c r="B2615" t="s">
        <v>21302</v>
      </c>
      <c r="C2615" t="s">
        <v>21303</v>
      </c>
      <c r="D2615">
        <v>7</v>
      </c>
      <c r="F2615" s="126"/>
      <c r="G2615" s="3">
        <v>0</v>
      </c>
      <c r="H2615" s="3">
        <v>0</v>
      </c>
      <c r="I2615" s="3">
        <v>0</v>
      </c>
      <c r="J2615" s="3">
        <v>0</v>
      </c>
      <c r="K2615" s="3">
        <f t="shared" si="96"/>
        <v>0</v>
      </c>
      <c r="L2615" s="3"/>
      <c r="M2615" s="3">
        <f t="shared" si="95"/>
        <v>0</v>
      </c>
      <c r="O2615" s="5"/>
      <c r="S2615" s="6"/>
    </row>
    <row r="2616" spans="1:22" customFormat="1" x14ac:dyDescent="0.45">
      <c r="A2616">
        <v>527557</v>
      </c>
      <c r="B2616" t="s">
        <v>21304</v>
      </c>
      <c r="C2616" t="s">
        <v>21305</v>
      </c>
      <c r="D2616">
        <v>1</v>
      </c>
      <c r="F2616" s="126"/>
      <c r="G2616" s="7">
        <v>0</v>
      </c>
      <c r="H2616" s="7">
        <v>0</v>
      </c>
      <c r="I2616" s="7">
        <v>0</v>
      </c>
      <c r="J2616" s="7">
        <v>0</v>
      </c>
      <c r="K2616" s="3">
        <f t="shared" si="96"/>
        <v>0</v>
      </c>
      <c r="L2616" s="3"/>
      <c r="M2616" s="3">
        <f t="shared" si="95"/>
        <v>0</v>
      </c>
      <c r="O2616" s="5"/>
      <c r="S2616" s="6"/>
    </row>
    <row r="2617" spans="1:22" customFormat="1" x14ac:dyDescent="0.45">
      <c r="A2617">
        <v>527839</v>
      </c>
      <c r="B2617" t="s">
        <v>21306</v>
      </c>
      <c r="C2617" t="s">
        <v>21307</v>
      </c>
      <c r="D2617">
        <v>0</v>
      </c>
      <c r="E2617" t="s">
        <v>16561</v>
      </c>
      <c r="F2617" s="126"/>
      <c r="K2617" s="3">
        <f t="shared" si="96"/>
        <v>0</v>
      </c>
      <c r="L2617" s="3"/>
      <c r="M2617" s="3">
        <f t="shared" si="95"/>
        <v>0</v>
      </c>
      <c r="O2617" s="5"/>
      <c r="S2617" s="6"/>
    </row>
    <row r="2618" spans="1:22" customFormat="1" x14ac:dyDescent="0.45">
      <c r="A2618">
        <v>527915</v>
      </c>
      <c r="B2618" t="s">
        <v>21308</v>
      </c>
      <c r="C2618" t="s">
        <v>21309</v>
      </c>
      <c r="D2618">
        <v>2</v>
      </c>
      <c r="F2618" s="126"/>
      <c r="G2618" s="7">
        <v>0</v>
      </c>
      <c r="H2618" s="7">
        <v>0</v>
      </c>
      <c r="I2618" s="7">
        <v>0</v>
      </c>
      <c r="J2618" s="7">
        <v>0</v>
      </c>
      <c r="K2618" s="3">
        <f t="shared" si="96"/>
        <v>0</v>
      </c>
      <c r="L2618" s="3"/>
      <c r="M2618" s="3">
        <f t="shared" si="95"/>
        <v>0</v>
      </c>
      <c r="O2618" s="5"/>
      <c r="S2618" s="6"/>
    </row>
    <row r="2619" spans="1:22" customFormat="1" x14ac:dyDescent="0.45">
      <c r="A2619">
        <v>527953</v>
      </c>
      <c r="B2619" t="s">
        <v>21310</v>
      </c>
      <c r="C2619" t="s">
        <v>16331</v>
      </c>
      <c r="D2619">
        <v>1</v>
      </c>
      <c r="E2619" t="s">
        <v>16331</v>
      </c>
      <c r="F2619" s="126"/>
      <c r="G2619" s="7">
        <v>0</v>
      </c>
      <c r="H2619" s="7">
        <v>0</v>
      </c>
      <c r="I2619" s="7">
        <v>0</v>
      </c>
      <c r="J2619" s="7">
        <v>0</v>
      </c>
      <c r="K2619" s="3">
        <f t="shared" si="96"/>
        <v>0</v>
      </c>
      <c r="L2619" s="3"/>
      <c r="M2619" s="3">
        <f t="shared" si="95"/>
        <v>0</v>
      </c>
      <c r="O2619" s="5"/>
      <c r="S2619" s="6"/>
    </row>
    <row r="2620" spans="1:22" customFormat="1" x14ac:dyDescent="0.45">
      <c r="A2620">
        <v>528010</v>
      </c>
      <c r="B2620" t="s">
        <v>21311</v>
      </c>
      <c r="C2620" t="s">
        <v>16331</v>
      </c>
      <c r="D2620">
        <v>1</v>
      </c>
      <c r="E2620" t="s">
        <v>16331</v>
      </c>
      <c r="F2620" s="126"/>
      <c r="G2620" s="7">
        <v>0</v>
      </c>
      <c r="H2620" s="7">
        <v>0</v>
      </c>
      <c r="I2620" s="7">
        <v>0</v>
      </c>
      <c r="J2620" s="7">
        <v>0</v>
      </c>
      <c r="K2620" s="3">
        <f t="shared" si="96"/>
        <v>0</v>
      </c>
      <c r="L2620" s="3"/>
      <c r="M2620" s="3">
        <f t="shared" si="95"/>
        <v>0</v>
      </c>
      <c r="O2620" s="5"/>
      <c r="S2620" s="6"/>
    </row>
    <row r="2621" spans="1:22" customFormat="1" x14ac:dyDescent="0.45">
      <c r="A2621">
        <v>528062</v>
      </c>
      <c r="B2621" t="s">
        <v>21312</v>
      </c>
      <c r="C2621" t="s">
        <v>21313</v>
      </c>
      <c r="D2621">
        <v>2</v>
      </c>
      <c r="F2621" s="126"/>
      <c r="K2621" s="3">
        <f t="shared" si="96"/>
        <v>0</v>
      </c>
      <c r="L2621" s="3"/>
      <c r="M2621" s="3">
        <f t="shared" si="95"/>
        <v>0</v>
      </c>
      <c r="O2621" s="5"/>
      <c r="S2621" s="6"/>
    </row>
    <row r="2622" spans="1:22" customFormat="1" x14ac:dyDescent="0.45">
      <c r="A2622">
        <v>528086</v>
      </c>
      <c r="B2622" t="s">
        <v>21314</v>
      </c>
      <c r="C2622" t="s">
        <v>21315</v>
      </c>
      <c r="D2622">
        <v>4</v>
      </c>
      <c r="F2622" s="126"/>
      <c r="G2622" s="3">
        <v>0</v>
      </c>
      <c r="H2622" s="3">
        <v>0</v>
      </c>
      <c r="I2622" s="3">
        <v>0</v>
      </c>
      <c r="J2622" s="3">
        <v>0</v>
      </c>
      <c r="K2622" s="3">
        <f t="shared" si="96"/>
        <v>0</v>
      </c>
      <c r="L2622" s="3"/>
      <c r="M2622" s="3">
        <f t="shared" si="95"/>
        <v>0</v>
      </c>
      <c r="O2622" s="5"/>
      <c r="S2622" s="6"/>
    </row>
    <row r="2623" spans="1:22" customFormat="1" x14ac:dyDescent="0.45">
      <c r="A2623">
        <v>528180</v>
      </c>
      <c r="B2623" t="s">
        <v>21316</v>
      </c>
      <c r="C2623" t="s">
        <v>21317</v>
      </c>
      <c r="D2623">
        <v>1</v>
      </c>
      <c r="F2623" s="126"/>
      <c r="G2623" s="7">
        <v>0</v>
      </c>
      <c r="H2623" s="7">
        <v>0</v>
      </c>
      <c r="I2623" s="7">
        <v>0</v>
      </c>
      <c r="J2623" s="7">
        <v>0</v>
      </c>
      <c r="K2623" s="3">
        <f t="shared" si="96"/>
        <v>0</v>
      </c>
      <c r="L2623" s="3"/>
      <c r="M2623" s="3">
        <f t="shared" si="95"/>
        <v>0</v>
      </c>
      <c r="O2623" s="5"/>
      <c r="S2623" s="6"/>
    </row>
    <row r="2624" spans="1:22" customFormat="1" x14ac:dyDescent="0.45">
      <c r="A2624">
        <v>528286</v>
      </c>
      <c r="B2624" t="s">
        <v>21318</v>
      </c>
      <c r="C2624" t="s">
        <v>21319</v>
      </c>
      <c r="D2624">
        <v>2</v>
      </c>
      <c r="F2624" s="126"/>
      <c r="G2624" s="7">
        <v>0</v>
      </c>
      <c r="H2624" s="7">
        <v>0</v>
      </c>
      <c r="I2624" s="7">
        <v>0</v>
      </c>
      <c r="J2624" s="7">
        <v>0</v>
      </c>
      <c r="K2624" s="3">
        <f t="shared" si="96"/>
        <v>0</v>
      </c>
      <c r="L2624" s="3"/>
      <c r="M2624" s="3">
        <f t="shared" si="95"/>
        <v>0</v>
      </c>
      <c r="O2624" s="5"/>
      <c r="S2624" s="6"/>
    </row>
    <row r="2625" spans="1:22" x14ac:dyDescent="0.45">
      <c r="A2625" s="124">
        <v>136129</v>
      </c>
      <c r="B2625" s="124" t="s">
        <v>21320</v>
      </c>
      <c r="C2625" s="124" t="s">
        <v>21321</v>
      </c>
      <c r="D2625" s="124">
        <v>6</v>
      </c>
      <c r="E2625" s="124" t="s">
        <v>16334</v>
      </c>
      <c r="F2625" s="126">
        <v>1.6999999999999999E-3</v>
      </c>
      <c r="G2625" s="126">
        <v>8.9999999999999993E-3</v>
      </c>
      <c r="H2625" s="126">
        <v>5.0000000000000001E-3</v>
      </c>
      <c r="I2625" s="127"/>
      <c r="J2625" s="127"/>
      <c r="K2625" s="126">
        <f t="shared" si="96"/>
        <v>1.3999999999999999E-2</v>
      </c>
      <c r="L2625" s="3"/>
      <c r="M2625" s="126">
        <f t="shared" si="95"/>
        <v>1.5699999999999999E-2</v>
      </c>
      <c r="O2625" s="125" t="s">
        <v>21322</v>
      </c>
      <c r="P2625" s="128" t="s">
        <v>26918</v>
      </c>
      <c r="Q2625" s="130">
        <v>686399</v>
      </c>
      <c r="R2625" s="124" t="s">
        <v>16348</v>
      </c>
      <c r="S2625" s="130">
        <v>650292</v>
      </c>
      <c r="T2625" s="129">
        <f>S2625/Q2625</f>
        <v>0.9473964851347394</v>
      </c>
      <c r="V2625" s="125" t="s">
        <v>21323</v>
      </c>
    </row>
    <row r="2626" spans="1:22" customFormat="1" x14ac:dyDescent="0.45">
      <c r="A2626">
        <v>528384</v>
      </c>
      <c r="B2626" t="s">
        <v>21324</v>
      </c>
      <c r="C2626" t="s">
        <v>21325</v>
      </c>
      <c r="D2626">
        <v>2</v>
      </c>
      <c r="F2626" s="126"/>
      <c r="G2626" s="7">
        <v>0</v>
      </c>
      <c r="H2626" s="7">
        <v>0</v>
      </c>
      <c r="I2626" s="7">
        <v>0</v>
      </c>
      <c r="J2626" s="7">
        <v>0</v>
      </c>
      <c r="K2626" s="3">
        <f t="shared" si="96"/>
        <v>0</v>
      </c>
      <c r="L2626" s="3"/>
      <c r="M2626" s="3">
        <f t="shared" si="95"/>
        <v>0</v>
      </c>
      <c r="O2626" s="5"/>
      <c r="S2626" s="6"/>
    </row>
    <row r="2627" spans="1:22" customFormat="1" x14ac:dyDescent="0.45">
      <c r="A2627">
        <v>528678</v>
      </c>
      <c r="B2627" t="s">
        <v>21326</v>
      </c>
      <c r="C2627" t="s">
        <v>16331</v>
      </c>
      <c r="D2627">
        <v>1</v>
      </c>
      <c r="E2627" t="s">
        <v>16331</v>
      </c>
      <c r="F2627" s="126"/>
      <c r="G2627" s="7">
        <v>0</v>
      </c>
      <c r="H2627" s="7">
        <v>0</v>
      </c>
      <c r="I2627" s="7">
        <v>0</v>
      </c>
      <c r="J2627" s="7">
        <v>0</v>
      </c>
      <c r="K2627" s="3">
        <f t="shared" si="96"/>
        <v>0</v>
      </c>
      <c r="L2627" s="3"/>
      <c r="M2627" s="3">
        <f t="shared" si="95"/>
        <v>0</v>
      </c>
      <c r="O2627" s="5"/>
      <c r="S2627" s="6"/>
    </row>
    <row r="2628" spans="1:22" customFormat="1" x14ac:dyDescent="0.45">
      <c r="A2628">
        <v>528681</v>
      </c>
      <c r="B2628" t="s">
        <v>21327</v>
      </c>
      <c r="C2628" t="s">
        <v>21328</v>
      </c>
      <c r="D2628">
        <v>1</v>
      </c>
      <c r="F2628" s="126"/>
      <c r="K2628" s="3">
        <f t="shared" si="96"/>
        <v>0</v>
      </c>
      <c r="L2628" s="3"/>
      <c r="M2628" s="3">
        <f t="shared" si="95"/>
        <v>0</v>
      </c>
      <c r="O2628" s="5"/>
      <c r="S2628" s="6"/>
    </row>
    <row r="2629" spans="1:22" customFormat="1" x14ac:dyDescent="0.45">
      <c r="A2629">
        <v>528682</v>
      </c>
      <c r="B2629" t="s">
        <v>21329</v>
      </c>
      <c r="C2629" t="s">
        <v>16331</v>
      </c>
      <c r="D2629">
        <v>2</v>
      </c>
      <c r="E2629" t="s">
        <v>16331</v>
      </c>
      <c r="F2629" s="126"/>
      <c r="G2629" s="7">
        <v>0</v>
      </c>
      <c r="H2629" s="7">
        <v>0</v>
      </c>
      <c r="I2629" s="7">
        <v>0</v>
      </c>
      <c r="J2629" s="7">
        <v>0</v>
      </c>
      <c r="K2629" s="3">
        <f t="shared" si="96"/>
        <v>0</v>
      </c>
      <c r="L2629" s="3"/>
      <c r="M2629" s="3">
        <f t="shared" si="95"/>
        <v>0</v>
      </c>
      <c r="O2629" s="5"/>
      <c r="S2629" s="6"/>
    </row>
    <row r="2630" spans="1:22" customFormat="1" x14ac:dyDescent="0.45">
      <c r="A2630">
        <v>528755</v>
      </c>
      <c r="B2630" t="s">
        <v>21330</v>
      </c>
      <c r="C2630" t="s">
        <v>21331</v>
      </c>
      <c r="D2630">
        <v>2</v>
      </c>
      <c r="F2630" s="126"/>
      <c r="G2630" s="3">
        <v>0</v>
      </c>
      <c r="H2630" s="3">
        <v>0</v>
      </c>
      <c r="I2630" s="3">
        <v>0</v>
      </c>
      <c r="J2630" s="3">
        <v>0</v>
      </c>
      <c r="K2630" s="3">
        <f t="shared" si="96"/>
        <v>0</v>
      </c>
      <c r="L2630" s="3"/>
      <c r="M2630" s="3">
        <f t="shared" si="95"/>
        <v>0</v>
      </c>
      <c r="O2630" s="5"/>
      <c r="S2630" s="6"/>
    </row>
    <row r="2631" spans="1:22" customFormat="1" x14ac:dyDescent="0.45">
      <c r="A2631">
        <v>528798</v>
      </c>
      <c r="B2631" t="s">
        <v>21332</v>
      </c>
      <c r="C2631" t="s">
        <v>16331</v>
      </c>
      <c r="D2631">
        <v>3</v>
      </c>
      <c r="E2631" t="s">
        <v>16331</v>
      </c>
      <c r="F2631" s="126"/>
      <c r="G2631" s="7">
        <v>0</v>
      </c>
      <c r="H2631" s="7">
        <v>0</v>
      </c>
      <c r="I2631" s="7">
        <v>0</v>
      </c>
      <c r="J2631" s="7">
        <v>0</v>
      </c>
      <c r="K2631" s="3">
        <f t="shared" si="96"/>
        <v>0</v>
      </c>
      <c r="L2631" s="3"/>
      <c r="M2631" s="3">
        <f t="shared" si="95"/>
        <v>0</v>
      </c>
      <c r="O2631" s="5"/>
      <c r="S2631" s="6"/>
    </row>
    <row r="2632" spans="1:22" customFormat="1" x14ac:dyDescent="0.45">
      <c r="A2632">
        <v>528810</v>
      </c>
      <c r="B2632" t="s">
        <v>21333</v>
      </c>
      <c r="C2632" t="s">
        <v>16331</v>
      </c>
      <c r="D2632">
        <v>1</v>
      </c>
      <c r="E2632" t="s">
        <v>16331</v>
      </c>
      <c r="F2632" s="126"/>
      <c r="G2632" s="7">
        <v>0</v>
      </c>
      <c r="H2632" s="7">
        <v>0</v>
      </c>
      <c r="I2632" s="7">
        <v>0</v>
      </c>
      <c r="J2632" s="7">
        <v>0</v>
      </c>
      <c r="K2632" s="3">
        <f t="shared" si="96"/>
        <v>0</v>
      </c>
      <c r="L2632" s="3"/>
      <c r="M2632" s="3">
        <f t="shared" si="95"/>
        <v>0</v>
      </c>
      <c r="O2632" s="5"/>
      <c r="S2632" s="6"/>
    </row>
    <row r="2633" spans="1:22" customFormat="1" x14ac:dyDescent="0.45">
      <c r="A2633">
        <v>528909</v>
      </c>
      <c r="B2633" t="s">
        <v>21334</v>
      </c>
      <c r="C2633" t="s">
        <v>16331</v>
      </c>
      <c r="D2633">
        <v>1</v>
      </c>
      <c r="E2633" t="s">
        <v>16331</v>
      </c>
      <c r="F2633" s="126"/>
      <c r="G2633" s="7">
        <v>0</v>
      </c>
      <c r="H2633" s="7">
        <v>0</v>
      </c>
      <c r="I2633" s="7">
        <v>0</v>
      </c>
      <c r="J2633" s="7">
        <v>0</v>
      </c>
      <c r="K2633" s="3">
        <f t="shared" si="96"/>
        <v>0</v>
      </c>
      <c r="L2633" s="3"/>
      <c r="M2633" s="3">
        <f t="shared" si="95"/>
        <v>0</v>
      </c>
      <c r="O2633" s="5"/>
      <c r="S2633" s="6"/>
    </row>
    <row r="2634" spans="1:22" customFormat="1" x14ac:dyDescent="0.45">
      <c r="A2634">
        <v>528973</v>
      </c>
      <c r="B2634" t="s">
        <v>21335</v>
      </c>
      <c r="C2634" t="s">
        <v>21336</v>
      </c>
      <c r="D2634">
        <v>1</v>
      </c>
      <c r="F2634" s="126"/>
      <c r="G2634" s="3">
        <v>0</v>
      </c>
      <c r="H2634" s="3">
        <v>0</v>
      </c>
      <c r="I2634" s="3">
        <v>0</v>
      </c>
      <c r="J2634" s="3">
        <v>0</v>
      </c>
      <c r="K2634" s="3">
        <f t="shared" si="96"/>
        <v>0</v>
      </c>
      <c r="L2634" s="3"/>
      <c r="M2634" s="3">
        <f t="shared" ref="M2634:M2648" si="97">K2634+F2634</f>
        <v>0</v>
      </c>
      <c r="O2634" s="5"/>
      <c r="S2634" s="6"/>
    </row>
    <row r="2635" spans="1:22" customFormat="1" x14ac:dyDescent="0.45">
      <c r="A2635">
        <v>529009</v>
      </c>
      <c r="B2635" t="s">
        <v>21337</v>
      </c>
      <c r="C2635" t="s">
        <v>21338</v>
      </c>
      <c r="D2635">
        <v>3</v>
      </c>
      <c r="F2635" s="126"/>
      <c r="G2635" s="3">
        <v>0</v>
      </c>
      <c r="H2635" s="3">
        <v>0</v>
      </c>
      <c r="I2635" s="3">
        <v>0</v>
      </c>
      <c r="J2635" s="3">
        <v>0</v>
      </c>
      <c r="K2635" s="3">
        <f t="shared" si="96"/>
        <v>0</v>
      </c>
      <c r="L2635" s="3"/>
      <c r="M2635" s="3">
        <f t="shared" si="97"/>
        <v>0</v>
      </c>
      <c r="O2635" s="5"/>
      <c r="S2635" s="6"/>
    </row>
    <row r="2636" spans="1:22" customFormat="1" x14ac:dyDescent="0.45">
      <c r="A2636">
        <v>529020</v>
      </c>
      <c r="B2636" t="s">
        <v>21339</v>
      </c>
      <c r="C2636" t="s">
        <v>16331</v>
      </c>
      <c r="D2636">
        <v>1</v>
      </c>
      <c r="E2636" t="s">
        <v>16331</v>
      </c>
      <c r="F2636" s="126"/>
      <c r="G2636" s="7">
        <v>0</v>
      </c>
      <c r="H2636" s="7">
        <v>0</v>
      </c>
      <c r="I2636" s="7">
        <v>0</v>
      </c>
      <c r="J2636" s="7">
        <v>0</v>
      </c>
      <c r="K2636" s="3">
        <f t="shared" si="96"/>
        <v>0</v>
      </c>
      <c r="L2636" s="3"/>
      <c r="M2636" s="3">
        <f t="shared" si="97"/>
        <v>0</v>
      </c>
      <c r="O2636" s="5"/>
      <c r="S2636" s="6"/>
    </row>
    <row r="2637" spans="1:22" customFormat="1" x14ac:dyDescent="0.45">
      <c r="A2637">
        <v>529028</v>
      </c>
      <c r="B2637" t="s">
        <v>21340</v>
      </c>
      <c r="C2637" t="s">
        <v>21341</v>
      </c>
      <c r="D2637">
        <v>1</v>
      </c>
      <c r="F2637" s="126"/>
      <c r="G2637" s="7">
        <v>0</v>
      </c>
      <c r="H2637" s="7">
        <v>0</v>
      </c>
      <c r="I2637" s="7">
        <v>0</v>
      </c>
      <c r="J2637" s="7">
        <v>0</v>
      </c>
      <c r="K2637" s="3">
        <f t="shared" si="96"/>
        <v>0</v>
      </c>
      <c r="L2637" s="3"/>
      <c r="M2637" s="3">
        <f t="shared" si="97"/>
        <v>0</v>
      </c>
      <c r="O2637" s="5"/>
      <c r="S2637" s="6"/>
    </row>
    <row r="2638" spans="1:22" customFormat="1" x14ac:dyDescent="0.45">
      <c r="A2638">
        <v>529061</v>
      </c>
      <c r="B2638" t="s">
        <v>21342</v>
      </c>
      <c r="C2638" t="s">
        <v>16331</v>
      </c>
      <c r="D2638">
        <v>11</v>
      </c>
      <c r="E2638" t="s">
        <v>16331</v>
      </c>
      <c r="F2638" s="126"/>
      <c r="G2638" s="7">
        <v>0</v>
      </c>
      <c r="H2638" s="7">
        <v>0</v>
      </c>
      <c r="I2638" s="7">
        <v>0</v>
      </c>
      <c r="J2638" s="7">
        <v>0</v>
      </c>
      <c r="K2638" s="3">
        <f t="shared" si="96"/>
        <v>0</v>
      </c>
      <c r="L2638" s="3"/>
      <c r="M2638" s="3">
        <f t="shared" si="97"/>
        <v>0</v>
      </c>
      <c r="O2638" s="5"/>
      <c r="S2638" s="6"/>
    </row>
    <row r="2639" spans="1:22" customFormat="1" x14ac:dyDescent="0.45">
      <c r="A2639">
        <v>529125</v>
      </c>
      <c r="B2639" t="s">
        <v>21343</v>
      </c>
      <c r="C2639" t="s">
        <v>16331</v>
      </c>
      <c r="D2639">
        <v>2</v>
      </c>
      <c r="E2639" t="s">
        <v>16331</v>
      </c>
      <c r="F2639" s="126"/>
      <c r="G2639" s="7">
        <v>0</v>
      </c>
      <c r="H2639" s="7">
        <v>0</v>
      </c>
      <c r="I2639" s="7">
        <v>0</v>
      </c>
      <c r="J2639" s="7">
        <v>0</v>
      </c>
      <c r="K2639" s="3">
        <f t="shared" si="96"/>
        <v>0</v>
      </c>
      <c r="L2639" s="3"/>
      <c r="M2639" s="3">
        <f t="shared" si="97"/>
        <v>0</v>
      </c>
      <c r="O2639" s="5"/>
      <c r="S2639" s="6"/>
    </row>
    <row r="2640" spans="1:22" customFormat="1" x14ac:dyDescent="0.45">
      <c r="A2640">
        <v>529322</v>
      </c>
      <c r="B2640" t="s">
        <v>21344</v>
      </c>
      <c r="C2640" t="s">
        <v>21345</v>
      </c>
      <c r="D2640">
        <v>1</v>
      </c>
      <c r="F2640" s="126"/>
      <c r="K2640" s="3">
        <f t="shared" si="96"/>
        <v>0</v>
      </c>
      <c r="L2640" s="3"/>
      <c r="M2640" s="3">
        <f t="shared" si="97"/>
        <v>0</v>
      </c>
      <c r="O2640" s="5"/>
      <c r="S2640" s="6"/>
    </row>
    <row r="2641" spans="1:23" x14ac:dyDescent="0.45">
      <c r="A2641" s="124">
        <v>116391</v>
      </c>
      <c r="B2641" s="124" t="s">
        <v>21346</v>
      </c>
      <c r="C2641" s="125" t="s">
        <v>21347</v>
      </c>
      <c r="D2641" s="124">
        <v>1</v>
      </c>
      <c r="E2641" s="124" t="s">
        <v>16334</v>
      </c>
      <c r="F2641" s="126">
        <v>1.6999999999999999E-3</v>
      </c>
      <c r="G2641" s="126">
        <v>0.02</v>
      </c>
      <c r="H2641" s="126">
        <v>5.0000000000000001E-3</v>
      </c>
      <c r="I2641" s="127"/>
      <c r="J2641" s="127"/>
      <c r="K2641" s="126">
        <f t="shared" si="96"/>
        <v>2.5000000000000001E-2</v>
      </c>
      <c r="L2641" s="3"/>
      <c r="M2641" s="126">
        <f t="shared" si="97"/>
        <v>2.6700000000000002E-2</v>
      </c>
      <c r="N2641" s="124" t="s">
        <v>21348</v>
      </c>
      <c r="O2641" s="125" t="s">
        <v>21349</v>
      </c>
      <c r="P2641" s="128" t="s">
        <v>26918</v>
      </c>
      <c r="Q2641" s="130">
        <v>763643</v>
      </c>
      <c r="R2641" s="124" t="s">
        <v>16348</v>
      </c>
      <c r="S2641" s="130">
        <v>763643</v>
      </c>
      <c r="T2641" s="129">
        <f>S2641/Q2641</f>
        <v>1</v>
      </c>
      <c r="V2641" s="125" t="s">
        <v>21350</v>
      </c>
    </row>
    <row r="2642" spans="1:23" customFormat="1" x14ac:dyDescent="0.45">
      <c r="A2642">
        <v>529416</v>
      </c>
      <c r="B2642" t="s">
        <v>21351</v>
      </c>
      <c r="C2642" s="2" t="s">
        <v>21352</v>
      </c>
      <c r="D2642">
        <v>1</v>
      </c>
      <c r="F2642" s="126"/>
      <c r="K2642" s="3">
        <f t="shared" si="96"/>
        <v>0</v>
      </c>
      <c r="L2642" s="3"/>
      <c r="M2642" s="3">
        <f t="shared" si="97"/>
        <v>0</v>
      </c>
      <c r="O2642" s="5"/>
      <c r="S2642" s="6"/>
    </row>
    <row r="2643" spans="1:23" customFormat="1" x14ac:dyDescent="0.45">
      <c r="A2643">
        <v>529492</v>
      </c>
      <c r="B2643" t="s">
        <v>21353</v>
      </c>
      <c r="C2643" t="s">
        <v>21354</v>
      </c>
      <c r="D2643">
        <v>5</v>
      </c>
      <c r="F2643" s="126"/>
      <c r="G2643" s="3">
        <v>0</v>
      </c>
      <c r="H2643" s="3">
        <v>0</v>
      </c>
      <c r="I2643" s="3">
        <v>0</v>
      </c>
      <c r="J2643" s="3">
        <v>0</v>
      </c>
      <c r="K2643" s="3">
        <f t="shared" si="96"/>
        <v>0</v>
      </c>
      <c r="L2643" s="3"/>
      <c r="M2643" s="3">
        <f t="shared" si="97"/>
        <v>0</v>
      </c>
      <c r="O2643" s="5"/>
      <c r="S2643" s="6"/>
    </row>
    <row r="2644" spans="1:23" customFormat="1" x14ac:dyDescent="0.45">
      <c r="A2644">
        <v>529609</v>
      </c>
      <c r="B2644" t="s">
        <v>21355</v>
      </c>
      <c r="C2644" t="s">
        <v>21356</v>
      </c>
      <c r="D2644">
        <v>2</v>
      </c>
      <c r="F2644" s="126"/>
      <c r="G2644" s="7">
        <v>0</v>
      </c>
      <c r="H2644" s="7">
        <v>0</v>
      </c>
      <c r="I2644" s="7">
        <v>0</v>
      </c>
      <c r="J2644" s="7">
        <v>0</v>
      </c>
      <c r="K2644" s="3">
        <f t="shared" si="96"/>
        <v>0</v>
      </c>
      <c r="L2644" s="3"/>
      <c r="M2644" s="3">
        <f t="shared" si="97"/>
        <v>0</v>
      </c>
      <c r="O2644" s="5"/>
      <c r="S2644" s="6"/>
    </row>
    <row r="2645" spans="1:23" customFormat="1" x14ac:dyDescent="0.45">
      <c r="A2645">
        <v>529665</v>
      </c>
      <c r="B2645" t="s">
        <v>21357</v>
      </c>
      <c r="C2645" t="s">
        <v>21358</v>
      </c>
      <c r="D2645">
        <v>3</v>
      </c>
      <c r="F2645" s="126"/>
      <c r="G2645" s="7">
        <v>0</v>
      </c>
      <c r="H2645" s="7">
        <v>0</v>
      </c>
      <c r="I2645" s="7">
        <v>0</v>
      </c>
      <c r="J2645" s="7">
        <v>0</v>
      </c>
      <c r="K2645" s="3">
        <f t="shared" si="96"/>
        <v>0</v>
      </c>
      <c r="L2645" s="3"/>
      <c r="M2645" s="3">
        <f t="shared" si="97"/>
        <v>0</v>
      </c>
      <c r="O2645" s="5"/>
      <c r="S2645" s="6"/>
    </row>
    <row r="2646" spans="1:23" customFormat="1" x14ac:dyDescent="0.45">
      <c r="A2646">
        <v>529775</v>
      </c>
      <c r="B2646" t="s">
        <v>21359</v>
      </c>
      <c r="C2646" t="s">
        <v>21360</v>
      </c>
      <c r="D2646">
        <v>3</v>
      </c>
      <c r="F2646" s="126"/>
      <c r="G2646" s="7">
        <v>0</v>
      </c>
      <c r="H2646" s="7">
        <v>0</v>
      </c>
      <c r="I2646" s="7">
        <v>0</v>
      </c>
      <c r="J2646" s="7">
        <v>0</v>
      </c>
      <c r="K2646" s="3">
        <f t="shared" si="96"/>
        <v>0</v>
      </c>
      <c r="L2646" s="3"/>
      <c r="M2646" s="3">
        <f t="shared" si="97"/>
        <v>0</v>
      </c>
      <c r="O2646" s="5"/>
      <c r="S2646" s="6"/>
    </row>
    <row r="2647" spans="1:23" x14ac:dyDescent="0.45">
      <c r="A2647" s="124">
        <v>225099</v>
      </c>
      <c r="B2647" s="124" t="s">
        <v>21361</v>
      </c>
      <c r="C2647" s="124" t="s">
        <v>21362</v>
      </c>
      <c r="D2647" s="124">
        <v>1</v>
      </c>
      <c r="E2647" s="124" t="s">
        <v>16334</v>
      </c>
      <c r="F2647" s="126">
        <v>1.6999999999999999E-3</v>
      </c>
      <c r="G2647" s="126">
        <v>0.03</v>
      </c>
      <c r="H2647" s="126">
        <f>((1%*50)+(0.75%*50))/100</f>
        <v>8.7500000000000008E-3</v>
      </c>
      <c r="I2647" s="126">
        <v>0</v>
      </c>
      <c r="J2647" s="126">
        <v>0</v>
      </c>
      <c r="K2647" s="126">
        <f t="shared" si="96"/>
        <v>3.875E-2</v>
      </c>
      <c r="L2647" s="3"/>
      <c r="M2647" s="126">
        <f t="shared" si="97"/>
        <v>4.045E-2</v>
      </c>
      <c r="O2647" s="125" t="s">
        <v>21363</v>
      </c>
      <c r="P2647" s="128" t="s">
        <v>26918</v>
      </c>
      <c r="Q2647" s="132">
        <f>39889+1240</f>
        <v>41129</v>
      </c>
      <c r="R2647" s="124" t="s">
        <v>16348</v>
      </c>
      <c r="S2647" s="130">
        <v>20491</v>
      </c>
      <c r="T2647" s="129">
        <f>S2647/Q2647</f>
        <v>0.4982129397748547</v>
      </c>
      <c r="V2647" s="125" t="s">
        <v>21364</v>
      </c>
    </row>
    <row r="2648" spans="1:23" customFormat="1" x14ac:dyDescent="0.45">
      <c r="A2648">
        <v>530029</v>
      </c>
      <c r="B2648" t="s">
        <v>21365</v>
      </c>
      <c r="C2648" t="s">
        <v>16331</v>
      </c>
      <c r="D2648">
        <v>1</v>
      </c>
      <c r="E2648" t="s">
        <v>16331</v>
      </c>
      <c r="F2648" s="126"/>
      <c r="K2648" s="3">
        <f t="shared" si="96"/>
        <v>0</v>
      </c>
      <c r="L2648" s="3"/>
      <c r="M2648" s="3">
        <f t="shared" si="97"/>
        <v>0</v>
      </c>
      <c r="O2648" s="5"/>
      <c r="S2648" s="6"/>
    </row>
    <row r="2649" spans="1:23" customFormat="1" x14ac:dyDescent="0.45">
      <c r="A2649">
        <v>530155</v>
      </c>
      <c r="B2649" t="s">
        <v>21366</v>
      </c>
      <c r="C2649" t="s">
        <v>21367</v>
      </c>
      <c r="D2649">
        <v>3</v>
      </c>
      <c r="F2649" s="126"/>
      <c r="G2649" s="3"/>
      <c r="H2649" s="3"/>
      <c r="I2649" s="4"/>
      <c r="J2649" s="4"/>
      <c r="K2649" s="3"/>
      <c r="L2649" s="3"/>
      <c r="M2649" s="3"/>
      <c r="O2649" s="2"/>
      <c r="S2649" s="6"/>
    </row>
    <row r="2650" spans="1:23" customFormat="1" x14ac:dyDescent="0.45">
      <c r="A2650">
        <v>530197</v>
      </c>
      <c r="B2650" t="s">
        <v>21368</v>
      </c>
      <c r="C2650" t="s">
        <v>21369</v>
      </c>
      <c r="D2650">
        <v>1</v>
      </c>
      <c r="F2650" s="126"/>
      <c r="G2650" s="3">
        <v>0</v>
      </c>
      <c r="H2650" s="3">
        <v>0</v>
      </c>
      <c r="I2650" s="3">
        <v>0</v>
      </c>
      <c r="J2650" s="3">
        <v>0</v>
      </c>
      <c r="K2650" s="3">
        <f t="shared" ref="K2650:K2713" si="98">SUM(G2650:J2650)</f>
        <v>0</v>
      </c>
      <c r="L2650" s="3"/>
      <c r="M2650" s="3">
        <f t="shared" ref="M2650:M2713" si="99">K2650+F2650</f>
        <v>0</v>
      </c>
      <c r="O2650" s="5"/>
      <c r="S2650" s="6"/>
    </row>
    <row r="2651" spans="1:23" customFormat="1" x14ac:dyDescent="0.45">
      <c r="A2651">
        <v>530637</v>
      </c>
      <c r="B2651" t="s">
        <v>21370</v>
      </c>
      <c r="C2651" t="s">
        <v>16331</v>
      </c>
      <c r="D2651">
        <v>1</v>
      </c>
      <c r="E2651" t="s">
        <v>16331</v>
      </c>
      <c r="F2651" s="126"/>
      <c r="G2651" s="7">
        <v>0</v>
      </c>
      <c r="H2651" s="7">
        <v>0</v>
      </c>
      <c r="I2651" s="7">
        <v>0</v>
      </c>
      <c r="J2651" s="7">
        <v>0</v>
      </c>
      <c r="K2651" s="3">
        <f t="shared" si="98"/>
        <v>0</v>
      </c>
      <c r="L2651" s="3"/>
      <c r="M2651" s="3">
        <f t="shared" si="99"/>
        <v>0</v>
      </c>
      <c r="O2651" s="5"/>
      <c r="S2651" s="6"/>
    </row>
    <row r="2652" spans="1:23" customFormat="1" x14ac:dyDescent="0.45">
      <c r="A2652">
        <v>530681</v>
      </c>
      <c r="B2652" t="s">
        <v>21371</v>
      </c>
      <c r="C2652" t="s">
        <v>21372</v>
      </c>
      <c r="D2652">
        <v>23</v>
      </c>
      <c r="F2652" s="126"/>
      <c r="G2652" s="46"/>
      <c r="H2652" s="46"/>
      <c r="I2652" s="46"/>
      <c r="J2652" s="46"/>
      <c r="K2652" s="3">
        <f t="shared" si="98"/>
        <v>0</v>
      </c>
      <c r="L2652" s="3"/>
      <c r="M2652" s="3">
        <f t="shared" si="99"/>
        <v>0</v>
      </c>
      <c r="O2652" s="5"/>
      <c r="S2652" s="6"/>
    </row>
    <row r="2653" spans="1:23" x14ac:dyDescent="0.45">
      <c r="A2653" s="124">
        <v>582104</v>
      </c>
      <c r="B2653" s="124" t="s">
        <v>21373</v>
      </c>
      <c r="C2653" s="124" t="s">
        <v>21374</v>
      </c>
      <c r="D2653" s="124">
        <v>1</v>
      </c>
      <c r="E2653" s="124" t="s">
        <v>16417</v>
      </c>
      <c r="F2653" s="126">
        <v>1.5E-3</v>
      </c>
      <c r="G2653" s="126"/>
      <c r="H2653" s="126"/>
      <c r="I2653" s="127">
        <v>1.2500000000000001E-2</v>
      </c>
      <c r="J2653" s="127">
        <f>0.48%</f>
        <v>4.7999999999999996E-3</v>
      </c>
      <c r="K2653" s="126">
        <f t="shared" si="98"/>
        <v>1.7299999999999999E-2</v>
      </c>
      <c r="L2653" s="3"/>
      <c r="M2653" s="126">
        <f t="shared" si="99"/>
        <v>1.8800000000000001E-2</v>
      </c>
      <c r="N2653" s="124" t="s">
        <v>21375</v>
      </c>
      <c r="O2653" s="131" t="s">
        <v>21376</v>
      </c>
      <c r="Q2653" s="130">
        <f>210521+30302</f>
        <v>240823</v>
      </c>
      <c r="R2653" s="124" t="s">
        <v>16348</v>
      </c>
      <c r="S2653" s="132">
        <v>148606</v>
      </c>
      <c r="T2653" s="129">
        <f>S2653/Q2653</f>
        <v>0.61707561154873081</v>
      </c>
      <c r="V2653" s="125" t="s">
        <v>21377</v>
      </c>
      <c r="W2653" s="124" t="s">
        <v>16967</v>
      </c>
    </row>
    <row r="2654" spans="1:23" customFormat="1" x14ac:dyDescent="0.45">
      <c r="A2654">
        <v>531018</v>
      </c>
      <c r="B2654" t="s">
        <v>21378</v>
      </c>
      <c r="C2654" t="s">
        <v>16331</v>
      </c>
      <c r="D2654">
        <v>4</v>
      </c>
      <c r="E2654" t="s">
        <v>16331</v>
      </c>
      <c r="F2654" s="126"/>
      <c r="G2654" s="7">
        <v>0</v>
      </c>
      <c r="H2654" s="7">
        <v>0</v>
      </c>
      <c r="I2654" s="7">
        <v>0</v>
      </c>
      <c r="J2654" s="7">
        <v>0</v>
      </c>
      <c r="K2654" s="3">
        <f t="shared" si="98"/>
        <v>0</v>
      </c>
      <c r="L2654" s="3"/>
      <c r="M2654" s="3">
        <f t="shared" si="99"/>
        <v>0</v>
      </c>
      <c r="O2654" s="5"/>
      <c r="S2654" s="6"/>
    </row>
    <row r="2655" spans="1:23" customFormat="1" x14ac:dyDescent="0.45">
      <c r="A2655">
        <v>531026</v>
      </c>
      <c r="B2655" t="s">
        <v>21379</v>
      </c>
      <c r="C2655" t="s">
        <v>16331</v>
      </c>
      <c r="D2655">
        <v>1</v>
      </c>
      <c r="E2655" t="s">
        <v>16331</v>
      </c>
      <c r="F2655" s="126"/>
      <c r="K2655" s="3">
        <f t="shared" si="98"/>
        <v>0</v>
      </c>
      <c r="L2655" s="3"/>
      <c r="M2655" s="3">
        <f t="shared" si="99"/>
        <v>0</v>
      </c>
      <c r="O2655" s="5"/>
      <c r="S2655" s="6"/>
    </row>
    <row r="2656" spans="1:23" x14ac:dyDescent="0.45">
      <c r="A2656" s="124">
        <v>581304</v>
      </c>
      <c r="B2656" s="124" t="s">
        <v>21380</v>
      </c>
      <c r="C2656" s="124" t="s">
        <v>21381</v>
      </c>
      <c r="D2656" s="124">
        <v>166</v>
      </c>
      <c r="E2656" s="124" t="s">
        <v>16417</v>
      </c>
      <c r="F2656" s="126">
        <v>5.4000000000000003E-3</v>
      </c>
      <c r="G2656" s="126">
        <v>2.75E-2</v>
      </c>
      <c r="H2656" s="135">
        <v>0</v>
      </c>
      <c r="I2656" s="127">
        <v>0</v>
      </c>
      <c r="J2656" s="127">
        <v>0</v>
      </c>
      <c r="K2656" s="126">
        <f t="shared" si="98"/>
        <v>2.75E-2</v>
      </c>
      <c r="L2656" s="3"/>
      <c r="M2656" s="126">
        <f t="shared" si="99"/>
        <v>3.2899999999999999E-2</v>
      </c>
      <c r="N2656" s="135" t="s">
        <v>21382</v>
      </c>
      <c r="O2656" s="141" t="s">
        <v>21383</v>
      </c>
      <c r="Q2656" s="130">
        <v>6323000</v>
      </c>
      <c r="R2656" s="130" t="s">
        <v>16</v>
      </c>
      <c r="S2656" s="130">
        <v>6323000</v>
      </c>
      <c r="T2656" s="129">
        <f>S2656/Q2656</f>
        <v>1</v>
      </c>
      <c r="U2656" s="130"/>
      <c r="V2656" s="125" t="s">
        <v>21384</v>
      </c>
    </row>
    <row r="2657" spans="1:19" customFormat="1" x14ac:dyDescent="0.45">
      <c r="A2657">
        <v>531465</v>
      </c>
      <c r="B2657" t="s">
        <v>21385</v>
      </c>
      <c r="C2657" t="s">
        <v>21386</v>
      </c>
      <c r="D2657">
        <v>20</v>
      </c>
      <c r="F2657" s="126"/>
      <c r="G2657" s="7">
        <v>0</v>
      </c>
      <c r="H2657" s="7">
        <v>0</v>
      </c>
      <c r="I2657" s="7">
        <v>0</v>
      </c>
      <c r="J2657" s="7">
        <v>0</v>
      </c>
      <c r="K2657" s="3">
        <f t="shared" si="98"/>
        <v>0</v>
      </c>
      <c r="L2657" s="3"/>
      <c r="M2657" s="3">
        <f t="shared" si="99"/>
        <v>0</v>
      </c>
      <c r="O2657" s="5"/>
      <c r="S2657" s="6"/>
    </row>
    <row r="2658" spans="1:19" customFormat="1" x14ac:dyDescent="0.45">
      <c r="A2658">
        <v>531538</v>
      </c>
      <c r="B2658" t="s">
        <v>21387</v>
      </c>
      <c r="C2658" t="s">
        <v>21388</v>
      </c>
      <c r="D2658">
        <v>5</v>
      </c>
      <c r="F2658" s="126"/>
      <c r="K2658" s="3">
        <f t="shared" si="98"/>
        <v>0</v>
      </c>
      <c r="L2658" s="3"/>
      <c r="M2658" s="3">
        <f t="shared" si="99"/>
        <v>0</v>
      </c>
      <c r="O2658" s="5"/>
      <c r="S2658" s="6"/>
    </row>
    <row r="2659" spans="1:19" customFormat="1" x14ac:dyDescent="0.45">
      <c r="A2659">
        <v>531539</v>
      </c>
      <c r="B2659" t="s">
        <v>21389</v>
      </c>
      <c r="C2659" t="s">
        <v>21390</v>
      </c>
      <c r="D2659">
        <v>3</v>
      </c>
      <c r="F2659" s="126"/>
      <c r="G2659" s="7">
        <v>0</v>
      </c>
      <c r="H2659" s="7">
        <v>0</v>
      </c>
      <c r="I2659" s="7">
        <v>0</v>
      </c>
      <c r="J2659" s="7">
        <v>0</v>
      </c>
      <c r="K2659" s="3">
        <f t="shared" si="98"/>
        <v>0</v>
      </c>
      <c r="L2659" s="3"/>
      <c r="M2659" s="3">
        <f t="shared" si="99"/>
        <v>0</v>
      </c>
      <c r="O2659" s="5"/>
      <c r="S2659" s="6"/>
    </row>
    <row r="2660" spans="1:19" customFormat="1" x14ac:dyDescent="0.45">
      <c r="A2660">
        <v>531577</v>
      </c>
      <c r="B2660" t="s">
        <v>21391</v>
      </c>
      <c r="C2660" t="s">
        <v>21392</v>
      </c>
      <c r="D2660">
        <v>2</v>
      </c>
      <c r="F2660" s="126"/>
      <c r="G2660" s="7">
        <v>0</v>
      </c>
      <c r="H2660" s="7">
        <v>0</v>
      </c>
      <c r="I2660" s="7">
        <v>0</v>
      </c>
      <c r="J2660" s="7">
        <v>0</v>
      </c>
      <c r="K2660" s="3">
        <f t="shared" si="98"/>
        <v>0</v>
      </c>
      <c r="L2660" s="3"/>
      <c r="M2660" s="3">
        <f t="shared" si="99"/>
        <v>0</v>
      </c>
      <c r="O2660" s="5"/>
      <c r="S2660" s="6"/>
    </row>
    <row r="2661" spans="1:19" customFormat="1" x14ac:dyDescent="0.45">
      <c r="A2661">
        <v>531619</v>
      </c>
      <c r="B2661" t="s">
        <v>21393</v>
      </c>
      <c r="C2661" t="s">
        <v>21394</v>
      </c>
      <c r="D2661">
        <v>2</v>
      </c>
      <c r="F2661" s="126"/>
      <c r="K2661" s="3">
        <f t="shared" si="98"/>
        <v>0</v>
      </c>
      <c r="L2661" s="3"/>
      <c r="M2661" s="3">
        <f t="shared" si="99"/>
        <v>0</v>
      </c>
      <c r="O2661" s="5"/>
      <c r="S2661" s="6"/>
    </row>
    <row r="2662" spans="1:19" customFormat="1" x14ac:dyDescent="0.45">
      <c r="A2662">
        <v>531632</v>
      </c>
      <c r="B2662" t="s">
        <v>21395</v>
      </c>
      <c r="C2662" t="s">
        <v>21396</v>
      </c>
      <c r="D2662">
        <v>11</v>
      </c>
      <c r="F2662" s="126"/>
      <c r="K2662" s="3">
        <f t="shared" si="98"/>
        <v>0</v>
      </c>
      <c r="L2662" s="3"/>
      <c r="M2662" s="3">
        <f t="shared" si="99"/>
        <v>0</v>
      </c>
      <c r="O2662" s="5"/>
      <c r="S2662" s="6"/>
    </row>
    <row r="2663" spans="1:19" customFormat="1" x14ac:dyDescent="0.45">
      <c r="A2663">
        <v>531794</v>
      </c>
      <c r="B2663" t="s">
        <v>21397</v>
      </c>
      <c r="C2663" t="s">
        <v>21398</v>
      </c>
      <c r="D2663">
        <v>1</v>
      </c>
      <c r="F2663" s="126"/>
      <c r="G2663" s="7">
        <v>0</v>
      </c>
      <c r="H2663" s="7">
        <v>0</v>
      </c>
      <c r="I2663" s="7">
        <v>0</v>
      </c>
      <c r="J2663" s="7">
        <v>0</v>
      </c>
      <c r="K2663" s="3">
        <f t="shared" si="98"/>
        <v>0</v>
      </c>
      <c r="L2663" s="3"/>
      <c r="M2663" s="3">
        <f t="shared" si="99"/>
        <v>0</v>
      </c>
      <c r="O2663" s="5"/>
      <c r="S2663" s="6"/>
    </row>
    <row r="2664" spans="1:19" customFormat="1" x14ac:dyDescent="0.45">
      <c r="A2664">
        <v>532109</v>
      </c>
      <c r="B2664" t="s">
        <v>21399</v>
      </c>
      <c r="C2664" t="s">
        <v>21400</v>
      </c>
      <c r="D2664">
        <v>3</v>
      </c>
      <c r="F2664" s="126"/>
      <c r="G2664" s="7">
        <v>0</v>
      </c>
      <c r="H2664" s="7">
        <v>0</v>
      </c>
      <c r="I2664" s="7">
        <v>0</v>
      </c>
      <c r="J2664" s="7">
        <v>0</v>
      </c>
      <c r="K2664" s="3">
        <f t="shared" si="98"/>
        <v>0</v>
      </c>
      <c r="L2664" s="3"/>
      <c r="M2664" s="3">
        <f t="shared" si="99"/>
        <v>0</v>
      </c>
      <c r="O2664" s="5"/>
      <c r="S2664" s="6"/>
    </row>
    <row r="2665" spans="1:19" customFormat="1" x14ac:dyDescent="0.45">
      <c r="A2665">
        <v>532919</v>
      </c>
      <c r="B2665" t="s">
        <v>21401</v>
      </c>
      <c r="C2665" t="s">
        <v>21402</v>
      </c>
      <c r="D2665">
        <v>5</v>
      </c>
      <c r="F2665" s="126"/>
      <c r="G2665" s="7">
        <v>0</v>
      </c>
      <c r="H2665" s="7">
        <v>0</v>
      </c>
      <c r="I2665" s="7">
        <v>0</v>
      </c>
      <c r="J2665" s="7">
        <v>0</v>
      </c>
      <c r="K2665" s="3">
        <f t="shared" si="98"/>
        <v>0</v>
      </c>
      <c r="L2665" s="3"/>
      <c r="M2665" s="3">
        <f t="shared" si="99"/>
        <v>0</v>
      </c>
      <c r="O2665" s="5"/>
      <c r="S2665" s="6"/>
    </row>
    <row r="2666" spans="1:19" customFormat="1" x14ac:dyDescent="0.45">
      <c r="A2666">
        <v>532928</v>
      </c>
      <c r="B2666" t="s">
        <v>21403</v>
      </c>
      <c r="C2666" t="s">
        <v>16331</v>
      </c>
      <c r="D2666">
        <v>2</v>
      </c>
      <c r="E2666" t="s">
        <v>16331</v>
      </c>
      <c r="F2666" s="126"/>
      <c r="G2666" s="7">
        <v>0</v>
      </c>
      <c r="H2666" s="7">
        <v>0</v>
      </c>
      <c r="I2666" s="7">
        <v>0</v>
      </c>
      <c r="J2666" s="7">
        <v>0</v>
      </c>
      <c r="K2666" s="3">
        <f t="shared" si="98"/>
        <v>0</v>
      </c>
      <c r="L2666" s="3"/>
      <c r="M2666" s="3">
        <f t="shared" si="99"/>
        <v>0</v>
      </c>
      <c r="O2666" s="5"/>
      <c r="S2666" s="6"/>
    </row>
    <row r="2667" spans="1:19" customFormat="1" x14ac:dyDescent="0.45">
      <c r="A2667">
        <v>533116</v>
      </c>
      <c r="B2667" t="s">
        <v>21404</v>
      </c>
      <c r="C2667" t="s">
        <v>16331</v>
      </c>
      <c r="D2667">
        <v>2</v>
      </c>
      <c r="E2667" t="s">
        <v>16331</v>
      </c>
      <c r="F2667" s="126"/>
      <c r="G2667" s="7">
        <v>0</v>
      </c>
      <c r="H2667" s="7">
        <v>0</v>
      </c>
      <c r="I2667" s="7">
        <v>0</v>
      </c>
      <c r="J2667" s="7">
        <v>0</v>
      </c>
      <c r="K2667" s="3">
        <f t="shared" si="98"/>
        <v>0</v>
      </c>
      <c r="L2667" s="3"/>
      <c r="M2667" s="3">
        <f t="shared" si="99"/>
        <v>0</v>
      </c>
      <c r="O2667" s="5"/>
      <c r="S2667" s="6"/>
    </row>
    <row r="2668" spans="1:19" customFormat="1" x14ac:dyDescent="0.45">
      <c r="A2668">
        <v>533119</v>
      </c>
      <c r="B2668" t="s">
        <v>21405</v>
      </c>
      <c r="C2668" t="s">
        <v>16331</v>
      </c>
      <c r="D2668">
        <v>2</v>
      </c>
      <c r="E2668" t="s">
        <v>16331</v>
      </c>
      <c r="F2668" s="126"/>
      <c r="G2668" s="7">
        <v>0</v>
      </c>
      <c r="H2668" s="7">
        <v>0</v>
      </c>
      <c r="I2668" s="7">
        <v>0</v>
      </c>
      <c r="J2668" s="7">
        <v>0</v>
      </c>
      <c r="K2668" s="3">
        <f t="shared" si="98"/>
        <v>0</v>
      </c>
      <c r="L2668" s="3"/>
      <c r="M2668" s="3">
        <f t="shared" si="99"/>
        <v>0</v>
      </c>
      <c r="O2668" s="5"/>
      <c r="S2668" s="6"/>
    </row>
    <row r="2669" spans="1:19" customFormat="1" x14ac:dyDescent="0.45">
      <c r="A2669">
        <v>533418</v>
      </c>
      <c r="B2669" t="s">
        <v>21406</v>
      </c>
      <c r="C2669" t="s">
        <v>16331</v>
      </c>
      <c r="D2669">
        <v>7</v>
      </c>
      <c r="E2669" t="s">
        <v>16331</v>
      </c>
      <c r="F2669" s="126"/>
      <c r="G2669" s="7">
        <v>0</v>
      </c>
      <c r="H2669" s="7">
        <v>0</v>
      </c>
      <c r="I2669" s="7">
        <v>0</v>
      </c>
      <c r="J2669" s="7">
        <v>0</v>
      </c>
      <c r="K2669" s="3">
        <f t="shared" si="98"/>
        <v>0</v>
      </c>
      <c r="L2669" s="3"/>
      <c r="M2669" s="3">
        <f t="shared" si="99"/>
        <v>0</v>
      </c>
      <c r="O2669" s="5"/>
      <c r="S2669" s="6"/>
    </row>
    <row r="2670" spans="1:19" customFormat="1" x14ac:dyDescent="0.45">
      <c r="A2670">
        <v>533498</v>
      </c>
      <c r="B2670" t="s">
        <v>21407</v>
      </c>
      <c r="C2670" t="s">
        <v>21408</v>
      </c>
      <c r="D2670">
        <v>1</v>
      </c>
      <c r="F2670" s="126"/>
      <c r="G2670" s="7">
        <v>0</v>
      </c>
      <c r="H2670" s="7">
        <v>0</v>
      </c>
      <c r="I2670" s="7">
        <v>0</v>
      </c>
      <c r="J2670" s="7">
        <v>0</v>
      </c>
      <c r="K2670" s="3">
        <f t="shared" si="98"/>
        <v>0</v>
      </c>
      <c r="L2670" s="3"/>
      <c r="M2670" s="3">
        <f t="shared" si="99"/>
        <v>0</v>
      </c>
      <c r="O2670" s="5"/>
      <c r="S2670" s="6"/>
    </row>
    <row r="2671" spans="1:19" customFormat="1" x14ac:dyDescent="0.45">
      <c r="A2671">
        <v>533507</v>
      </c>
      <c r="B2671" t="s">
        <v>21409</v>
      </c>
      <c r="C2671" t="s">
        <v>21410</v>
      </c>
      <c r="D2671">
        <v>2</v>
      </c>
      <c r="F2671" s="126"/>
      <c r="G2671" s="7">
        <v>0</v>
      </c>
      <c r="H2671" s="7">
        <v>0</v>
      </c>
      <c r="I2671" s="7">
        <v>0</v>
      </c>
      <c r="J2671" s="7">
        <v>0</v>
      </c>
      <c r="K2671" s="3">
        <f t="shared" si="98"/>
        <v>0</v>
      </c>
      <c r="L2671" s="3"/>
      <c r="M2671" s="3">
        <f t="shared" si="99"/>
        <v>0</v>
      </c>
      <c r="O2671" s="5"/>
      <c r="S2671" s="6"/>
    </row>
    <row r="2672" spans="1:19" customFormat="1" x14ac:dyDescent="0.45">
      <c r="A2672">
        <v>533522</v>
      </c>
      <c r="B2672" t="s">
        <v>21411</v>
      </c>
      <c r="C2672" t="s">
        <v>21412</v>
      </c>
      <c r="D2672">
        <v>4</v>
      </c>
      <c r="F2672" s="126"/>
      <c r="G2672" s="3">
        <v>0</v>
      </c>
      <c r="H2672" s="3">
        <v>0</v>
      </c>
      <c r="I2672" s="3">
        <v>0</v>
      </c>
      <c r="J2672" s="3">
        <v>0</v>
      </c>
      <c r="K2672" s="3">
        <f t="shared" si="98"/>
        <v>0</v>
      </c>
      <c r="L2672" s="3"/>
      <c r="M2672" s="3">
        <f t="shared" si="99"/>
        <v>0</v>
      </c>
      <c r="O2672" s="5"/>
      <c r="S2672" s="6"/>
    </row>
    <row r="2673" spans="1:24" customFormat="1" x14ac:dyDescent="0.45">
      <c r="A2673">
        <v>533548</v>
      </c>
      <c r="B2673" t="s">
        <v>21413</v>
      </c>
      <c r="C2673" s="2" t="s">
        <v>21414</v>
      </c>
      <c r="D2673">
        <v>1</v>
      </c>
      <c r="F2673" s="126"/>
      <c r="G2673" s="3">
        <v>0</v>
      </c>
      <c r="H2673" s="3">
        <v>0</v>
      </c>
      <c r="I2673" s="3">
        <v>0</v>
      </c>
      <c r="J2673" s="3">
        <v>0</v>
      </c>
      <c r="K2673" s="3">
        <f t="shared" si="98"/>
        <v>0</v>
      </c>
      <c r="L2673" s="3"/>
      <c r="M2673" s="3">
        <f t="shared" si="99"/>
        <v>0</v>
      </c>
      <c r="O2673" s="5"/>
      <c r="S2673" s="6"/>
    </row>
    <row r="2674" spans="1:24" customFormat="1" x14ac:dyDescent="0.45">
      <c r="A2674">
        <v>533556</v>
      </c>
      <c r="B2674" t="s">
        <v>21415</v>
      </c>
      <c r="C2674" t="s">
        <v>16331</v>
      </c>
      <c r="D2674">
        <v>1</v>
      </c>
      <c r="E2674" t="s">
        <v>16331</v>
      </c>
      <c r="F2674" s="126"/>
      <c r="G2674" s="7">
        <v>0</v>
      </c>
      <c r="H2674" s="7">
        <v>0</v>
      </c>
      <c r="I2674" s="7">
        <v>0</v>
      </c>
      <c r="J2674" s="7">
        <v>0</v>
      </c>
      <c r="K2674" s="3">
        <f t="shared" si="98"/>
        <v>0</v>
      </c>
      <c r="L2674" s="3"/>
      <c r="M2674" s="3">
        <f t="shared" si="99"/>
        <v>0</v>
      </c>
      <c r="O2674" s="5"/>
      <c r="S2674" s="6"/>
    </row>
    <row r="2675" spans="1:24" x14ac:dyDescent="0.45">
      <c r="A2675" s="124">
        <v>584256</v>
      </c>
      <c r="B2675" s="124" t="s">
        <v>21416</v>
      </c>
      <c r="C2675" s="124" t="s">
        <v>21381</v>
      </c>
      <c r="D2675" s="124">
        <v>328</v>
      </c>
      <c r="E2675" s="124" t="s">
        <v>16417</v>
      </c>
      <c r="F2675" s="126">
        <v>5.4000000000000003E-3</v>
      </c>
      <c r="G2675" s="126">
        <v>2.75E-2</v>
      </c>
      <c r="H2675" s="135">
        <v>0</v>
      </c>
      <c r="I2675" s="127">
        <v>0</v>
      </c>
      <c r="J2675" s="127">
        <v>0</v>
      </c>
      <c r="K2675" s="126">
        <f t="shared" si="98"/>
        <v>2.75E-2</v>
      </c>
      <c r="L2675" s="3"/>
      <c r="M2675" s="126">
        <f t="shared" si="99"/>
        <v>3.2899999999999999E-2</v>
      </c>
      <c r="N2675" s="135"/>
      <c r="O2675" s="141" t="s">
        <v>21383</v>
      </c>
      <c r="Q2675" s="130">
        <v>6323000</v>
      </c>
      <c r="R2675" s="130" t="s">
        <v>16</v>
      </c>
      <c r="S2675" s="130">
        <v>6323000</v>
      </c>
      <c r="T2675" s="129">
        <f>S2675/Q2675</f>
        <v>1</v>
      </c>
      <c r="U2675" s="130"/>
      <c r="V2675" s="125" t="s">
        <v>21384</v>
      </c>
    </row>
    <row r="2676" spans="1:24" customFormat="1" x14ac:dyDescent="0.45">
      <c r="A2676">
        <v>533565</v>
      </c>
      <c r="B2676" t="s">
        <v>21417</v>
      </c>
      <c r="C2676" t="s">
        <v>21418</v>
      </c>
      <c r="D2676">
        <v>2</v>
      </c>
      <c r="F2676" s="126"/>
      <c r="G2676" s="7">
        <v>0</v>
      </c>
      <c r="H2676" s="7">
        <v>0</v>
      </c>
      <c r="I2676" s="7">
        <v>0</v>
      </c>
      <c r="J2676" s="7">
        <v>0</v>
      </c>
      <c r="K2676" s="3">
        <f t="shared" si="98"/>
        <v>0</v>
      </c>
      <c r="L2676" s="3"/>
      <c r="M2676" s="3">
        <f t="shared" si="99"/>
        <v>0</v>
      </c>
      <c r="O2676" s="5"/>
      <c r="S2676" s="6"/>
    </row>
    <row r="2677" spans="1:24" customFormat="1" x14ac:dyDescent="0.45">
      <c r="A2677">
        <v>533576</v>
      </c>
      <c r="B2677" t="s">
        <v>21419</v>
      </c>
      <c r="C2677" t="s">
        <v>21420</v>
      </c>
      <c r="D2677">
        <v>2</v>
      </c>
      <c r="F2677" s="126"/>
      <c r="G2677" s="3">
        <v>0</v>
      </c>
      <c r="H2677" s="3">
        <v>0</v>
      </c>
      <c r="I2677" s="3">
        <v>0</v>
      </c>
      <c r="J2677" s="3">
        <v>0</v>
      </c>
      <c r="K2677" s="3">
        <f t="shared" si="98"/>
        <v>0</v>
      </c>
      <c r="L2677" s="3"/>
      <c r="M2677" s="3">
        <f t="shared" si="99"/>
        <v>0</v>
      </c>
      <c r="O2677" s="5"/>
      <c r="S2677" s="6"/>
    </row>
    <row r="2678" spans="1:24" customFormat="1" x14ac:dyDescent="0.45">
      <c r="A2678">
        <v>533831</v>
      </c>
      <c r="B2678" t="s">
        <v>21421</v>
      </c>
      <c r="C2678" t="s">
        <v>21422</v>
      </c>
      <c r="D2678">
        <v>7</v>
      </c>
      <c r="F2678" s="126"/>
      <c r="G2678" s="7">
        <v>0</v>
      </c>
      <c r="H2678" s="7">
        <v>0</v>
      </c>
      <c r="I2678" s="7">
        <v>0</v>
      </c>
      <c r="J2678" s="7">
        <v>0</v>
      </c>
      <c r="K2678" s="3">
        <f t="shared" si="98"/>
        <v>0</v>
      </c>
      <c r="L2678" s="3"/>
      <c r="M2678" s="3">
        <f t="shared" si="99"/>
        <v>0</v>
      </c>
      <c r="O2678" s="5"/>
      <c r="S2678" s="6"/>
    </row>
    <row r="2679" spans="1:24" customFormat="1" x14ac:dyDescent="0.45">
      <c r="A2679">
        <v>533859</v>
      </c>
      <c r="B2679" t="s">
        <v>21423</v>
      </c>
      <c r="C2679" t="s">
        <v>16331</v>
      </c>
      <c r="D2679">
        <v>1</v>
      </c>
      <c r="E2679" t="s">
        <v>16331</v>
      </c>
      <c r="F2679" s="126"/>
      <c r="G2679" s="7">
        <v>0</v>
      </c>
      <c r="H2679" s="7">
        <v>0</v>
      </c>
      <c r="I2679" s="7">
        <v>0</v>
      </c>
      <c r="J2679" s="7">
        <v>0</v>
      </c>
      <c r="K2679" s="3">
        <f t="shared" si="98"/>
        <v>0</v>
      </c>
      <c r="L2679" s="3"/>
      <c r="M2679" s="3">
        <f t="shared" si="99"/>
        <v>0</v>
      </c>
      <c r="O2679" s="5"/>
      <c r="S2679" s="6"/>
    </row>
    <row r="2680" spans="1:24" customFormat="1" x14ac:dyDescent="0.45">
      <c r="A2680">
        <v>533908</v>
      </c>
      <c r="B2680" t="s">
        <v>21424</v>
      </c>
      <c r="C2680" t="s">
        <v>21425</v>
      </c>
      <c r="D2680">
        <v>1</v>
      </c>
      <c r="F2680" s="126"/>
      <c r="G2680" s="7">
        <v>0</v>
      </c>
      <c r="H2680" s="7">
        <v>0</v>
      </c>
      <c r="I2680" s="7">
        <v>0</v>
      </c>
      <c r="J2680" s="7">
        <v>0</v>
      </c>
      <c r="K2680" s="3">
        <f t="shared" si="98"/>
        <v>0</v>
      </c>
      <c r="L2680" s="3"/>
      <c r="M2680" s="3">
        <f t="shared" si="99"/>
        <v>0</v>
      </c>
      <c r="N2680" s="7"/>
      <c r="O2680" s="5"/>
      <c r="S2680" s="6"/>
    </row>
    <row r="2681" spans="1:24" customFormat="1" x14ac:dyDescent="0.45">
      <c r="A2681">
        <v>533915</v>
      </c>
      <c r="B2681" t="s">
        <v>21426</v>
      </c>
      <c r="C2681" t="s">
        <v>21427</v>
      </c>
      <c r="D2681">
        <v>0</v>
      </c>
      <c r="E2681" t="s">
        <v>16561</v>
      </c>
      <c r="F2681" s="126"/>
      <c r="G2681" s="7">
        <v>0</v>
      </c>
      <c r="H2681" s="3">
        <v>0</v>
      </c>
      <c r="I2681" s="3">
        <v>0</v>
      </c>
      <c r="J2681">
        <v>0</v>
      </c>
      <c r="K2681" s="3">
        <f t="shared" si="98"/>
        <v>0</v>
      </c>
      <c r="L2681" s="3"/>
      <c r="M2681" s="3">
        <f t="shared" si="99"/>
        <v>0</v>
      </c>
      <c r="O2681" s="5"/>
      <c r="S2681" s="6"/>
    </row>
    <row r="2682" spans="1:24" customFormat="1" x14ac:dyDescent="0.45">
      <c r="A2682">
        <v>534484</v>
      </c>
      <c r="B2682" t="s">
        <v>21428</v>
      </c>
      <c r="C2682" t="s">
        <v>21429</v>
      </c>
      <c r="D2682">
        <v>0</v>
      </c>
      <c r="E2682" t="s">
        <v>16561</v>
      </c>
      <c r="F2682" s="126"/>
      <c r="G2682" s="7">
        <v>0</v>
      </c>
      <c r="H2682" s="7">
        <v>0</v>
      </c>
      <c r="I2682" s="7">
        <v>0</v>
      </c>
      <c r="J2682" s="7">
        <v>0</v>
      </c>
      <c r="K2682" s="3">
        <f t="shared" si="98"/>
        <v>0</v>
      </c>
      <c r="L2682" s="3"/>
      <c r="M2682" s="3">
        <f t="shared" si="99"/>
        <v>0</v>
      </c>
      <c r="N2682" s="7"/>
      <c r="O2682" s="5"/>
      <c r="S2682" s="6"/>
    </row>
    <row r="2683" spans="1:24" customFormat="1" x14ac:dyDescent="0.45">
      <c r="A2683">
        <v>534520</v>
      </c>
      <c r="B2683" t="s">
        <v>21430</v>
      </c>
      <c r="C2683" t="s">
        <v>21431</v>
      </c>
      <c r="D2683">
        <v>1</v>
      </c>
      <c r="F2683" s="126"/>
      <c r="G2683" s="7">
        <v>0</v>
      </c>
      <c r="H2683" s="7">
        <v>0</v>
      </c>
      <c r="I2683" s="7">
        <v>0</v>
      </c>
      <c r="J2683" s="7">
        <v>0</v>
      </c>
      <c r="K2683" s="3">
        <f t="shared" si="98"/>
        <v>0</v>
      </c>
      <c r="L2683" s="3"/>
      <c r="M2683" s="3">
        <f t="shared" si="99"/>
        <v>0</v>
      </c>
      <c r="N2683" s="7"/>
      <c r="O2683" s="5"/>
      <c r="S2683" s="6"/>
    </row>
    <row r="2684" spans="1:24" customFormat="1" x14ac:dyDescent="0.45">
      <c r="A2684">
        <v>534666</v>
      </c>
      <c r="B2684" t="s">
        <v>21432</v>
      </c>
      <c r="C2684" t="s">
        <v>21433</v>
      </c>
      <c r="D2684">
        <v>3</v>
      </c>
      <c r="F2684" s="126"/>
      <c r="G2684" s="7">
        <v>0</v>
      </c>
      <c r="H2684" s="7">
        <v>0</v>
      </c>
      <c r="I2684" s="7">
        <v>0</v>
      </c>
      <c r="J2684" s="7">
        <v>0</v>
      </c>
      <c r="K2684" s="3">
        <f t="shared" si="98"/>
        <v>0</v>
      </c>
      <c r="L2684" s="3"/>
      <c r="M2684" s="3">
        <f t="shared" si="99"/>
        <v>0</v>
      </c>
      <c r="O2684" s="5"/>
      <c r="S2684" s="6"/>
    </row>
    <row r="2685" spans="1:24" customFormat="1" x14ac:dyDescent="0.45">
      <c r="A2685">
        <v>534742</v>
      </c>
      <c r="B2685" t="s">
        <v>21434</v>
      </c>
      <c r="C2685" t="s">
        <v>16331</v>
      </c>
      <c r="D2685">
        <v>1</v>
      </c>
      <c r="E2685" t="s">
        <v>16331</v>
      </c>
      <c r="F2685" s="126"/>
      <c r="G2685" s="7">
        <v>0</v>
      </c>
      <c r="H2685" s="7">
        <v>0</v>
      </c>
      <c r="I2685" s="7">
        <v>0</v>
      </c>
      <c r="J2685" s="7">
        <v>0</v>
      </c>
      <c r="K2685" s="3">
        <f t="shared" si="98"/>
        <v>0</v>
      </c>
      <c r="L2685" s="3"/>
      <c r="M2685" s="3">
        <f t="shared" si="99"/>
        <v>0</v>
      </c>
      <c r="O2685" s="5"/>
      <c r="S2685" s="6"/>
    </row>
    <row r="2686" spans="1:24" customFormat="1" x14ac:dyDescent="0.45">
      <c r="A2686">
        <v>534831</v>
      </c>
      <c r="B2686" t="s">
        <v>21435</v>
      </c>
      <c r="C2686" t="s">
        <v>16331</v>
      </c>
      <c r="D2686">
        <v>1</v>
      </c>
      <c r="E2686" t="s">
        <v>16331</v>
      </c>
      <c r="F2686" s="126"/>
      <c r="G2686" s="7">
        <v>0</v>
      </c>
      <c r="H2686" s="7">
        <v>0</v>
      </c>
      <c r="I2686" s="7">
        <v>0</v>
      </c>
      <c r="J2686" s="7">
        <v>0</v>
      </c>
      <c r="K2686" s="3">
        <f t="shared" si="98"/>
        <v>0</v>
      </c>
      <c r="L2686" s="3"/>
      <c r="M2686" s="3">
        <f t="shared" si="99"/>
        <v>0</v>
      </c>
      <c r="O2686" s="5"/>
      <c r="S2686" s="6"/>
    </row>
    <row r="2687" spans="1:24" x14ac:dyDescent="0.45">
      <c r="A2687" s="124">
        <v>181768</v>
      </c>
      <c r="B2687" s="124" t="s">
        <v>21436</v>
      </c>
      <c r="C2687" s="124" t="s">
        <v>21437</v>
      </c>
      <c r="D2687" s="124">
        <v>3</v>
      </c>
      <c r="E2687" s="124" t="s">
        <v>16417</v>
      </c>
      <c r="F2687" s="126">
        <f>2.15%</f>
        <v>2.1499999999999998E-2</v>
      </c>
      <c r="G2687" s="126">
        <v>0.02</v>
      </c>
      <c r="H2687" s="126">
        <v>0</v>
      </c>
      <c r="I2687" s="127">
        <v>0</v>
      </c>
      <c r="J2687" s="127">
        <v>0</v>
      </c>
      <c r="K2687" s="126">
        <f t="shared" si="98"/>
        <v>0.02</v>
      </c>
      <c r="L2687" s="3"/>
      <c r="M2687" s="126">
        <f t="shared" si="99"/>
        <v>4.1499999999999995E-2</v>
      </c>
      <c r="N2687" s="124" t="s">
        <v>21438</v>
      </c>
      <c r="O2687" s="125" t="s">
        <v>21439</v>
      </c>
      <c r="P2687" s="125" t="s">
        <v>21440</v>
      </c>
      <c r="Q2687" s="130">
        <f>6158059+378827</f>
        <v>6536886</v>
      </c>
      <c r="R2687" s="124" t="s">
        <v>16348</v>
      </c>
      <c r="S2687" s="130">
        <v>5681582</v>
      </c>
      <c r="T2687" s="129">
        <f>S2687/Q2687</f>
        <v>0.86915727152041511</v>
      </c>
      <c r="V2687" s="125" t="s">
        <v>21441</v>
      </c>
      <c r="X2687" s="124" t="s">
        <v>20814</v>
      </c>
    </row>
    <row r="2688" spans="1:24" customFormat="1" x14ac:dyDescent="0.45">
      <c r="A2688">
        <v>534867</v>
      </c>
      <c r="B2688" t="s">
        <v>21442</v>
      </c>
      <c r="C2688" t="s">
        <v>16331</v>
      </c>
      <c r="D2688">
        <v>1</v>
      </c>
      <c r="E2688" t="s">
        <v>16331</v>
      </c>
      <c r="F2688" s="126"/>
      <c r="G2688" s="7">
        <v>0</v>
      </c>
      <c r="H2688" s="7">
        <v>0</v>
      </c>
      <c r="I2688" s="7">
        <v>0</v>
      </c>
      <c r="J2688" s="7">
        <v>0</v>
      </c>
      <c r="K2688" s="3">
        <f t="shared" si="98"/>
        <v>0</v>
      </c>
      <c r="L2688" s="3"/>
      <c r="M2688" s="3">
        <f t="shared" si="99"/>
        <v>0</v>
      </c>
      <c r="N2688" s="7"/>
      <c r="O2688" s="5"/>
      <c r="S2688" s="6"/>
    </row>
    <row r="2689" spans="1:19" customFormat="1" x14ac:dyDescent="0.45">
      <c r="A2689">
        <v>535515</v>
      </c>
      <c r="B2689" t="s">
        <v>21443</v>
      </c>
      <c r="C2689" t="s">
        <v>16331</v>
      </c>
      <c r="D2689">
        <v>27</v>
      </c>
      <c r="E2689" t="s">
        <v>16331</v>
      </c>
      <c r="F2689" s="126"/>
      <c r="G2689" s="7">
        <v>0</v>
      </c>
      <c r="H2689" s="7">
        <v>0</v>
      </c>
      <c r="I2689" s="7">
        <v>0</v>
      </c>
      <c r="J2689" s="7">
        <v>0</v>
      </c>
      <c r="K2689" s="3">
        <f t="shared" si="98"/>
        <v>0</v>
      </c>
      <c r="L2689" s="3"/>
      <c r="M2689" s="3">
        <f t="shared" si="99"/>
        <v>0</v>
      </c>
      <c r="O2689" s="5"/>
      <c r="S2689" s="6"/>
    </row>
    <row r="2690" spans="1:19" customFormat="1" x14ac:dyDescent="0.45">
      <c r="A2690">
        <v>535786</v>
      </c>
      <c r="B2690" t="s">
        <v>21444</v>
      </c>
      <c r="C2690" t="s">
        <v>21445</v>
      </c>
      <c r="D2690">
        <v>2</v>
      </c>
      <c r="F2690" s="126"/>
      <c r="G2690" s="7">
        <v>0</v>
      </c>
      <c r="H2690" s="7">
        <v>0</v>
      </c>
      <c r="I2690" s="7">
        <v>0</v>
      </c>
      <c r="J2690" s="7">
        <v>0</v>
      </c>
      <c r="K2690" s="3">
        <f t="shared" si="98"/>
        <v>0</v>
      </c>
      <c r="L2690" s="3"/>
      <c r="M2690" s="3">
        <f t="shared" si="99"/>
        <v>0</v>
      </c>
      <c r="O2690" s="5"/>
      <c r="S2690" s="6"/>
    </row>
    <row r="2691" spans="1:19" customFormat="1" x14ac:dyDescent="0.45">
      <c r="A2691">
        <v>535867</v>
      </c>
      <c r="B2691" t="s">
        <v>21446</v>
      </c>
      <c r="C2691" t="s">
        <v>16331</v>
      </c>
      <c r="D2691">
        <v>6</v>
      </c>
      <c r="E2691" t="s">
        <v>16331</v>
      </c>
      <c r="F2691" s="126"/>
      <c r="G2691" s="7">
        <v>0</v>
      </c>
      <c r="H2691" s="7">
        <v>0</v>
      </c>
      <c r="I2691" s="7">
        <v>0</v>
      </c>
      <c r="J2691" s="7">
        <v>0</v>
      </c>
      <c r="K2691" s="3">
        <f t="shared" si="98"/>
        <v>0</v>
      </c>
      <c r="L2691" s="3"/>
      <c r="M2691" s="3">
        <f t="shared" si="99"/>
        <v>0</v>
      </c>
      <c r="O2691" s="5"/>
      <c r="S2691" s="6"/>
    </row>
    <row r="2692" spans="1:19" customFormat="1" x14ac:dyDescent="0.45">
      <c r="A2692">
        <v>536087</v>
      </c>
      <c r="B2692" t="s">
        <v>21447</v>
      </c>
      <c r="C2692" t="s">
        <v>21448</v>
      </c>
      <c r="D2692">
        <v>2</v>
      </c>
      <c r="F2692" s="126"/>
      <c r="G2692" s="3">
        <v>0</v>
      </c>
      <c r="H2692" s="3">
        <v>0</v>
      </c>
      <c r="I2692" s="3">
        <v>0</v>
      </c>
      <c r="J2692" s="3">
        <v>0</v>
      </c>
      <c r="K2692" s="3">
        <f t="shared" si="98"/>
        <v>0</v>
      </c>
      <c r="L2692" s="3"/>
      <c r="M2692" s="3">
        <f t="shared" si="99"/>
        <v>0</v>
      </c>
      <c r="O2692" s="5"/>
      <c r="S2692" s="6"/>
    </row>
    <row r="2693" spans="1:19" customFormat="1" x14ac:dyDescent="0.45">
      <c r="A2693">
        <v>536470</v>
      </c>
      <c r="B2693" t="s">
        <v>21449</v>
      </c>
      <c r="C2693" t="s">
        <v>21450</v>
      </c>
      <c r="D2693">
        <v>2</v>
      </c>
      <c r="F2693" s="126"/>
      <c r="G2693" s="7">
        <v>0</v>
      </c>
      <c r="H2693" s="7">
        <v>0</v>
      </c>
      <c r="I2693" s="7">
        <v>0</v>
      </c>
      <c r="J2693" s="7">
        <v>0</v>
      </c>
      <c r="K2693" s="3">
        <f t="shared" si="98"/>
        <v>0</v>
      </c>
      <c r="L2693" s="3"/>
      <c r="M2693" s="3">
        <f t="shared" si="99"/>
        <v>0</v>
      </c>
      <c r="O2693" s="5"/>
      <c r="S2693" s="6"/>
    </row>
    <row r="2694" spans="1:19" customFormat="1" x14ac:dyDescent="0.45">
      <c r="A2694">
        <v>536575</v>
      </c>
      <c r="B2694" t="s">
        <v>21451</v>
      </c>
      <c r="C2694" t="s">
        <v>21452</v>
      </c>
      <c r="D2694">
        <v>1</v>
      </c>
      <c r="F2694" s="126"/>
      <c r="G2694" s="3">
        <v>0</v>
      </c>
      <c r="H2694" s="3">
        <v>0</v>
      </c>
      <c r="I2694" s="3">
        <v>0</v>
      </c>
      <c r="J2694" s="3">
        <v>0</v>
      </c>
      <c r="K2694" s="3">
        <f t="shared" si="98"/>
        <v>0</v>
      </c>
      <c r="L2694" s="3"/>
      <c r="M2694" s="3">
        <f t="shared" si="99"/>
        <v>0</v>
      </c>
      <c r="O2694" s="5"/>
      <c r="S2694" s="6"/>
    </row>
    <row r="2695" spans="1:19" customFormat="1" x14ac:dyDescent="0.45">
      <c r="A2695">
        <v>536899</v>
      </c>
      <c r="B2695" t="s">
        <v>21453</v>
      </c>
      <c r="C2695" t="s">
        <v>21454</v>
      </c>
      <c r="D2695">
        <v>6</v>
      </c>
      <c r="F2695" s="126"/>
      <c r="K2695" s="3">
        <f t="shared" si="98"/>
        <v>0</v>
      </c>
      <c r="L2695" s="3"/>
      <c r="M2695" s="3">
        <f t="shared" si="99"/>
        <v>0</v>
      </c>
      <c r="O2695" s="5"/>
      <c r="S2695" s="6"/>
    </row>
    <row r="2696" spans="1:19" customFormat="1" x14ac:dyDescent="0.45">
      <c r="A2696">
        <v>536900</v>
      </c>
      <c r="B2696" t="s">
        <v>21455</v>
      </c>
      <c r="C2696" t="s">
        <v>21456</v>
      </c>
      <c r="D2696">
        <v>16</v>
      </c>
      <c r="F2696" s="126"/>
      <c r="K2696" s="3">
        <f t="shared" si="98"/>
        <v>0</v>
      </c>
      <c r="L2696" s="3"/>
      <c r="M2696" s="3">
        <f t="shared" si="99"/>
        <v>0</v>
      </c>
      <c r="O2696" s="5"/>
      <c r="S2696" s="6"/>
    </row>
    <row r="2697" spans="1:19" customFormat="1" x14ac:dyDescent="0.45">
      <c r="A2697">
        <v>536929</v>
      </c>
      <c r="B2697" t="s">
        <v>21457</v>
      </c>
      <c r="C2697" t="s">
        <v>16331</v>
      </c>
      <c r="D2697">
        <v>1</v>
      </c>
      <c r="E2697" t="s">
        <v>16331</v>
      </c>
      <c r="F2697" s="126"/>
      <c r="G2697" s="7">
        <v>0</v>
      </c>
      <c r="H2697" s="7">
        <v>0</v>
      </c>
      <c r="I2697" s="7">
        <v>0</v>
      </c>
      <c r="J2697" s="7">
        <v>0</v>
      </c>
      <c r="K2697" s="3">
        <f t="shared" si="98"/>
        <v>0</v>
      </c>
      <c r="L2697" s="3"/>
      <c r="M2697" s="3">
        <f t="shared" si="99"/>
        <v>0</v>
      </c>
      <c r="O2697" s="5"/>
      <c r="S2697" s="6"/>
    </row>
    <row r="2698" spans="1:19" customFormat="1" x14ac:dyDescent="0.45">
      <c r="A2698">
        <v>536994</v>
      </c>
      <c r="B2698" t="s">
        <v>21458</v>
      </c>
      <c r="C2698" t="s">
        <v>21459</v>
      </c>
      <c r="D2698">
        <v>5</v>
      </c>
      <c r="F2698" s="126"/>
      <c r="G2698" s="7">
        <v>0</v>
      </c>
      <c r="H2698" s="7">
        <v>0</v>
      </c>
      <c r="I2698" s="7">
        <v>0</v>
      </c>
      <c r="J2698" s="7">
        <v>0</v>
      </c>
      <c r="K2698" s="3">
        <f t="shared" si="98"/>
        <v>0</v>
      </c>
      <c r="L2698" s="3"/>
      <c r="M2698" s="3">
        <f t="shared" si="99"/>
        <v>0</v>
      </c>
      <c r="O2698" s="5"/>
      <c r="S2698" s="6"/>
    </row>
    <row r="2699" spans="1:19" customFormat="1" x14ac:dyDescent="0.45">
      <c r="A2699">
        <v>537080</v>
      </c>
      <c r="B2699" t="s">
        <v>21460</v>
      </c>
      <c r="C2699" t="s">
        <v>21461</v>
      </c>
      <c r="D2699">
        <v>0</v>
      </c>
      <c r="E2699" t="s">
        <v>16561</v>
      </c>
      <c r="F2699" s="126"/>
      <c r="G2699" s="7">
        <v>0</v>
      </c>
      <c r="H2699" s="7">
        <v>0</v>
      </c>
      <c r="I2699" s="7">
        <v>0</v>
      </c>
      <c r="J2699" s="7">
        <v>0</v>
      </c>
      <c r="K2699" s="3">
        <f t="shared" si="98"/>
        <v>0</v>
      </c>
      <c r="L2699" s="3"/>
      <c r="M2699" s="3">
        <f t="shared" si="99"/>
        <v>0</v>
      </c>
      <c r="N2699" s="7"/>
      <c r="O2699" s="5"/>
      <c r="S2699" s="6"/>
    </row>
    <row r="2700" spans="1:19" customFormat="1" x14ac:dyDescent="0.45">
      <c r="A2700">
        <v>537104</v>
      </c>
      <c r="B2700" t="s">
        <v>21462</v>
      </c>
      <c r="C2700" t="s">
        <v>21463</v>
      </c>
      <c r="D2700">
        <v>1</v>
      </c>
      <c r="F2700" s="126"/>
      <c r="G2700" s="3">
        <v>0</v>
      </c>
      <c r="H2700" s="3">
        <v>0</v>
      </c>
      <c r="I2700" s="3">
        <v>0</v>
      </c>
      <c r="J2700" s="3">
        <v>0</v>
      </c>
      <c r="K2700" s="3">
        <f t="shared" si="98"/>
        <v>0</v>
      </c>
      <c r="L2700" s="3"/>
      <c r="M2700" s="3">
        <f t="shared" si="99"/>
        <v>0</v>
      </c>
      <c r="O2700" s="5"/>
      <c r="S2700" s="6"/>
    </row>
    <row r="2701" spans="1:19" customFormat="1" x14ac:dyDescent="0.45">
      <c r="A2701">
        <v>537187</v>
      </c>
      <c r="B2701" t="s">
        <v>21464</v>
      </c>
      <c r="C2701" t="s">
        <v>21465</v>
      </c>
      <c r="D2701">
        <v>2</v>
      </c>
      <c r="F2701" s="126"/>
      <c r="G2701" s="3">
        <v>0</v>
      </c>
      <c r="H2701" s="3">
        <v>0</v>
      </c>
      <c r="I2701" s="3">
        <v>0</v>
      </c>
      <c r="J2701" s="3">
        <v>0</v>
      </c>
      <c r="K2701" s="3">
        <f t="shared" si="98"/>
        <v>0</v>
      </c>
      <c r="L2701" s="3"/>
      <c r="M2701" s="3">
        <f t="shared" si="99"/>
        <v>0</v>
      </c>
      <c r="O2701" s="5"/>
      <c r="S2701" s="6"/>
    </row>
    <row r="2702" spans="1:19" customFormat="1" x14ac:dyDescent="0.45">
      <c r="A2702">
        <v>537435</v>
      </c>
      <c r="B2702" t="s">
        <v>21466</v>
      </c>
      <c r="C2702" t="s">
        <v>16331</v>
      </c>
      <c r="D2702">
        <v>6</v>
      </c>
      <c r="E2702" t="s">
        <v>16331</v>
      </c>
      <c r="F2702" s="126"/>
      <c r="G2702" s="7">
        <v>0</v>
      </c>
      <c r="H2702" s="7">
        <v>0</v>
      </c>
      <c r="I2702" s="7">
        <v>0</v>
      </c>
      <c r="J2702" s="7">
        <v>0</v>
      </c>
      <c r="K2702" s="3">
        <f t="shared" si="98"/>
        <v>0</v>
      </c>
      <c r="L2702" s="3"/>
      <c r="M2702" s="3">
        <f t="shared" si="99"/>
        <v>0</v>
      </c>
      <c r="O2702" s="5"/>
      <c r="S2702" s="6"/>
    </row>
    <row r="2703" spans="1:19" customFormat="1" x14ac:dyDescent="0.45">
      <c r="A2703">
        <v>537582</v>
      </c>
      <c r="B2703" t="s">
        <v>21467</v>
      </c>
      <c r="C2703" t="s">
        <v>21468</v>
      </c>
      <c r="D2703">
        <v>1</v>
      </c>
      <c r="F2703" s="126"/>
      <c r="G2703" s="7">
        <v>0</v>
      </c>
      <c r="H2703" s="7">
        <v>0</v>
      </c>
      <c r="I2703" s="7">
        <v>0</v>
      </c>
      <c r="J2703" s="7">
        <v>0</v>
      </c>
      <c r="K2703" s="3">
        <f t="shared" si="98"/>
        <v>0</v>
      </c>
      <c r="L2703" s="3"/>
      <c r="M2703" s="3">
        <f t="shared" si="99"/>
        <v>0</v>
      </c>
      <c r="N2703" s="7"/>
      <c r="O2703" s="5"/>
      <c r="S2703" s="6"/>
    </row>
    <row r="2704" spans="1:19" customFormat="1" x14ac:dyDescent="0.45">
      <c r="A2704">
        <v>537673</v>
      </c>
      <c r="B2704" t="s">
        <v>21469</v>
      </c>
      <c r="C2704" t="s">
        <v>21470</v>
      </c>
      <c r="D2704">
        <v>6</v>
      </c>
      <c r="F2704" s="126"/>
      <c r="G2704" s="3">
        <v>0</v>
      </c>
      <c r="H2704" s="3">
        <v>0</v>
      </c>
      <c r="I2704" s="3">
        <v>0</v>
      </c>
      <c r="J2704" s="3">
        <v>0</v>
      </c>
      <c r="K2704" s="3">
        <f t="shared" si="98"/>
        <v>0</v>
      </c>
      <c r="L2704" s="3"/>
      <c r="M2704" s="3">
        <f t="shared" si="99"/>
        <v>0</v>
      </c>
      <c r="O2704" s="5"/>
      <c r="S2704" s="6"/>
    </row>
    <row r="2705" spans="1:20" customFormat="1" x14ac:dyDescent="0.45">
      <c r="A2705">
        <v>537809</v>
      </c>
      <c r="B2705" t="s">
        <v>21471</v>
      </c>
      <c r="C2705" t="s">
        <v>21472</v>
      </c>
      <c r="D2705">
        <v>3</v>
      </c>
      <c r="F2705" s="126"/>
      <c r="J2705" s="3"/>
      <c r="K2705" s="3">
        <f t="shared" si="98"/>
        <v>0</v>
      </c>
      <c r="L2705" s="3"/>
      <c r="M2705" s="3">
        <f t="shared" si="99"/>
        <v>0</v>
      </c>
      <c r="O2705" s="5" t="s">
        <v>21473</v>
      </c>
      <c r="S2705" s="6"/>
      <c r="T2705" s="10"/>
    </row>
    <row r="2706" spans="1:20" customFormat="1" x14ac:dyDescent="0.45">
      <c r="A2706">
        <v>537904</v>
      </c>
      <c r="B2706" t="s">
        <v>21474</v>
      </c>
      <c r="C2706" t="s">
        <v>21475</v>
      </c>
      <c r="D2706">
        <v>0</v>
      </c>
      <c r="E2706" t="s">
        <v>16561</v>
      </c>
      <c r="F2706" s="126"/>
      <c r="K2706" s="3">
        <f t="shared" si="98"/>
        <v>0</v>
      </c>
      <c r="L2706" s="3"/>
      <c r="M2706" s="3">
        <f t="shared" si="99"/>
        <v>0</v>
      </c>
      <c r="O2706" s="5"/>
      <c r="S2706" s="6"/>
    </row>
    <row r="2707" spans="1:20" customFormat="1" x14ac:dyDescent="0.45">
      <c r="A2707">
        <v>538166</v>
      </c>
      <c r="B2707" t="s">
        <v>21476</v>
      </c>
      <c r="C2707" t="s">
        <v>16331</v>
      </c>
      <c r="D2707">
        <v>1</v>
      </c>
      <c r="E2707" t="s">
        <v>16331</v>
      </c>
      <c r="F2707" s="126"/>
      <c r="G2707" s="7">
        <v>0</v>
      </c>
      <c r="H2707" s="7">
        <v>0</v>
      </c>
      <c r="I2707" s="7">
        <v>0</v>
      </c>
      <c r="J2707" s="7">
        <v>0</v>
      </c>
      <c r="K2707" s="3">
        <f t="shared" si="98"/>
        <v>0</v>
      </c>
      <c r="L2707" s="3"/>
      <c r="M2707" s="3">
        <f t="shared" si="99"/>
        <v>0</v>
      </c>
      <c r="O2707" s="5"/>
      <c r="S2707" s="6"/>
    </row>
    <row r="2708" spans="1:20" customFormat="1" x14ac:dyDescent="0.45">
      <c r="A2708">
        <v>538662</v>
      </c>
      <c r="B2708" t="s">
        <v>21477</v>
      </c>
      <c r="C2708" t="s">
        <v>16331</v>
      </c>
      <c r="D2708">
        <v>1</v>
      </c>
      <c r="E2708" t="s">
        <v>16331</v>
      </c>
      <c r="F2708" s="126"/>
      <c r="K2708" s="3">
        <f t="shared" si="98"/>
        <v>0</v>
      </c>
      <c r="L2708" s="3"/>
      <c r="M2708" s="3">
        <f t="shared" si="99"/>
        <v>0</v>
      </c>
      <c r="O2708" s="5"/>
      <c r="S2708" s="6"/>
    </row>
    <row r="2709" spans="1:20" customFormat="1" x14ac:dyDescent="0.45">
      <c r="A2709">
        <v>538762</v>
      </c>
      <c r="B2709" t="s">
        <v>21478</v>
      </c>
      <c r="C2709" t="s">
        <v>21479</v>
      </c>
      <c r="D2709">
        <v>16</v>
      </c>
      <c r="F2709" s="126"/>
      <c r="G2709" s="3">
        <v>0</v>
      </c>
      <c r="H2709" s="3">
        <v>0</v>
      </c>
      <c r="I2709" s="3">
        <v>0</v>
      </c>
      <c r="J2709" s="3">
        <v>0</v>
      </c>
      <c r="K2709" s="3">
        <f t="shared" si="98"/>
        <v>0</v>
      </c>
      <c r="L2709" s="3"/>
      <c r="M2709" s="3">
        <f t="shared" si="99"/>
        <v>0</v>
      </c>
      <c r="O2709" s="5"/>
      <c r="S2709" s="6"/>
    </row>
    <row r="2710" spans="1:20" customFormat="1" x14ac:dyDescent="0.45">
      <c r="A2710">
        <v>538806</v>
      </c>
      <c r="B2710" t="s">
        <v>21480</v>
      </c>
      <c r="C2710" t="s">
        <v>21481</v>
      </c>
      <c r="D2710">
        <v>0</v>
      </c>
      <c r="E2710" t="s">
        <v>16561</v>
      </c>
      <c r="F2710" s="126"/>
      <c r="G2710" s="3">
        <v>0</v>
      </c>
      <c r="H2710" s="3">
        <v>0</v>
      </c>
      <c r="I2710" s="3">
        <v>0</v>
      </c>
      <c r="J2710" s="3">
        <v>0</v>
      </c>
      <c r="K2710" s="3">
        <f t="shared" si="98"/>
        <v>0</v>
      </c>
      <c r="L2710" s="3"/>
      <c r="M2710" s="3">
        <f t="shared" si="99"/>
        <v>0</v>
      </c>
      <c r="O2710" s="5"/>
      <c r="S2710" s="6"/>
    </row>
    <row r="2711" spans="1:20" customFormat="1" x14ac:dyDescent="0.45">
      <c r="A2711">
        <v>539422</v>
      </c>
      <c r="B2711" t="s">
        <v>21482</v>
      </c>
      <c r="C2711" t="s">
        <v>21483</v>
      </c>
      <c r="D2711">
        <v>20</v>
      </c>
      <c r="F2711" s="126"/>
      <c r="G2711" s="7">
        <v>0</v>
      </c>
      <c r="H2711" s="7">
        <v>0</v>
      </c>
      <c r="I2711" s="7">
        <v>0</v>
      </c>
      <c r="J2711" s="7">
        <v>0</v>
      </c>
      <c r="K2711" s="3">
        <f t="shared" si="98"/>
        <v>0</v>
      </c>
      <c r="L2711" s="3"/>
      <c r="M2711" s="3">
        <f t="shared" si="99"/>
        <v>0</v>
      </c>
      <c r="N2711" s="7"/>
      <c r="O2711" s="5"/>
      <c r="S2711" s="6"/>
    </row>
    <row r="2712" spans="1:20" customFormat="1" x14ac:dyDescent="0.45">
      <c r="A2712">
        <v>539452</v>
      </c>
      <c r="B2712" t="s">
        <v>21484</v>
      </c>
      <c r="C2712" t="s">
        <v>21485</v>
      </c>
      <c r="D2712">
        <v>1</v>
      </c>
      <c r="F2712" s="126"/>
      <c r="G2712" s="7">
        <v>0</v>
      </c>
      <c r="H2712" s="7">
        <v>0</v>
      </c>
      <c r="I2712" s="7">
        <v>0</v>
      </c>
      <c r="J2712" s="7">
        <v>0</v>
      </c>
      <c r="K2712" s="3">
        <f t="shared" si="98"/>
        <v>0</v>
      </c>
      <c r="L2712" s="3"/>
      <c r="M2712" s="3">
        <f t="shared" si="99"/>
        <v>0</v>
      </c>
      <c r="N2712" s="7"/>
      <c r="O2712" s="5"/>
      <c r="S2712" s="6"/>
    </row>
    <row r="2713" spans="1:20" customFormat="1" x14ac:dyDescent="0.45">
      <c r="A2713">
        <v>539464</v>
      </c>
      <c r="B2713" t="s">
        <v>21486</v>
      </c>
      <c r="C2713" t="s">
        <v>21487</v>
      </c>
      <c r="D2713">
        <v>1</v>
      </c>
      <c r="F2713" s="126"/>
      <c r="G2713" s="7">
        <v>0</v>
      </c>
      <c r="H2713" s="7">
        <v>0</v>
      </c>
      <c r="I2713" s="7">
        <v>0</v>
      </c>
      <c r="J2713" s="7">
        <v>0</v>
      </c>
      <c r="K2713" s="3">
        <f t="shared" si="98"/>
        <v>0</v>
      </c>
      <c r="L2713" s="3"/>
      <c r="M2713" s="3">
        <f t="shared" si="99"/>
        <v>0</v>
      </c>
      <c r="O2713" s="5"/>
      <c r="S2713" s="6"/>
    </row>
    <row r="2714" spans="1:20" customFormat="1" x14ac:dyDescent="0.45">
      <c r="A2714">
        <v>539921</v>
      </c>
      <c r="B2714" t="s">
        <v>21488</v>
      </c>
      <c r="C2714" t="s">
        <v>21489</v>
      </c>
      <c r="D2714">
        <v>10</v>
      </c>
      <c r="F2714" s="126"/>
      <c r="G2714" s="3">
        <v>0</v>
      </c>
      <c r="H2714" s="3">
        <v>0</v>
      </c>
      <c r="I2714" s="3">
        <v>0</v>
      </c>
      <c r="J2714" s="3">
        <v>0</v>
      </c>
      <c r="K2714" s="3">
        <f t="shared" ref="K2714:K2777" si="100">SUM(G2714:J2714)</f>
        <v>0</v>
      </c>
      <c r="L2714" s="3"/>
      <c r="M2714" s="3">
        <f t="shared" ref="M2714:M2777" si="101">K2714+F2714</f>
        <v>0</v>
      </c>
      <c r="O2714" s="5"/>
      <c r="S2714" s="6"/>
    </row>
    <row r="2715" spans="1:20" customFormat="1" x14ac:dyDescent="0.45">
      <c r="A2715">
        <v>539931</v>
      </c>
      <c r="B2715" t="s">
        <v>21490</v>
      </c>
      <c r="C2715" t="s">
        <v>21491</v>
      </c>
      <c r="D2715">
        <v>1</v>
      </c>
      <c r="F2715" s="126"/>
      <c r="G2715" s="7">
        <v>0</v>
      </c>
      <c r="H2715" s="7">
        <v>0</v>
      </c>
      <c r="I2715" s="7">
        <v>0</v>
      </c>
      <c r="J2715" s="7">
        <v>0</v>
      </c>
      <c r="K2715" s="3">
        <f t="shared" si="100"/>
        <v>0</v>
      </c>
      <c r="L2715" s="3"/>
      <c r="M2715" s="3">
        <f t="shared" si="101"/>
        <v>0</v>
      </c>
      <c r="O2715" s="5"/>
      <c r="S2715" s="6"/>
    </row>
    <row r="2716" spans="1:20" customFormat="1" x14ac:dyDescent="0.45">
      <c r="A2716">
        <v>540034</v>
      </c>
      <c r="B2716" t="s">
        <v>21492</v>
      </c>
      <c r="C2716" t="s">
        <v>21493</v>
      </c>
      <c r="D2716">
        <v>2</v>
      </c>
      <c r="F2716" s="126"/>
      <c r="G2716" s="7">
        <v>0</v>
      </c>
      <c r="H2716" s="7">
        <v>0</v>
      </c>
      <c r="I2716" s="7">
        <v>0</v>
      </c>
      <c r="J2716" s="7">
        <v>0</v>
      </c>
      <c r="K2716" s="3">
        <f t="shared" si="100"/>
        <v>0</v>
      </c>
      <c r="L2716" s="3"/>
      <c r="M2716" s="3">
        <f t="shared" si="101"/>
        <v>0</v>
      </c>
      <c r="O2716" s="5"/>
      <c r="S2716" s="6"/>
    </row>
    <row r="2717" spans="1:20" customFormat="1" x14ac:dyDescent="0.45">
      <c r="A2717">
        <v>540286</v>
      </c>
      <c r="B2717" t="s">
        <v>21494</v>
      </c>
      <c r="C2717" t="s">
        <v>21495</v>
      </c>
      <c r="D2717">
        <v>7</v>
      </c>
      <c r="F2717" s="126"/>
      <c r="K2717" s="3">
        <f t="shared" si="100"/>
        <v>0</v>
      </c>
      <c r="L2717" s="3"/>
      <c r="M2717" s="3">
        <f t="shared" si="101"/>
        <v>0</v>
      </c>
      <c r="O2717" s="5"/>
      <c r="S2717" s="6"/>
    </row>
    <row r="2718" spans="1:20" customFormat="1" x14ac:dyDescent="0.45">
      <c r="A2718">
        <v>540335</v>
      </c>
      <c r="B2718" t="s">
        <v>21496</v>
      </c>
      <c r="C2718" t="s">
        <v>21497</v>
      </c>
      <c r="D2718">
        <v>1</v>
      </c>
      <c r="F2718" s="126"/>
      <c r="G2718" s="7">
        <v>0</v>
      </c>
      <c r="H2718" s="7">
        <v>0</v>
      </c>
      <c r="I2718" s="7">
        <v>0</v>
      </c>
      <c r="J2718" s="7">
        <v>0</v>
      </c>
      <c r="K2718" s="3">
        <f t="shared" si="100"/>
        <v>0</v>
      </c>
      <c r="L2718" s="3"/>
      <c r="M2718" s="3">
        <f t="shared" si="101"/>
        <v>0</v>
      </c>
      <c r="O2718" s="5"/>
      <c r="S2718" s="6"/>
    </row>
    <row r="2719" spans="1:20" customFormat="1" x14ac:dyDescent="0.45">
      <c r="A2719">
        <v>540721</v>
      </c>
      <c r="B2719" t="s">
        <v>21498</v>
      </c>
      <c r="C2719" t="s">
        <v>21499</v>
      </c>
      <c r="D2719">
        <v>6</v>
      </c>
      <c r="F2719" s="126"/>
      <c r="G2719" s="7">
        <v>0</v>
      </c>
      <c r="H2719" s="7">
        <v>0</v>
      </c>
      <c r="I2719" s="7">
        <v>0</v>
      </c>
      <c r="J2719" s="7">
        <v>0</v>
      </c>
      <c r="K2719" s="3">
        <f t="shared" si="100"/>
        <v>0</v>
      </c>
      <c r="L2719" s="3"/>
      <c r="M2719" s="3">
        <f t="shared" si="101"/>
        <v>0</v>
      </c>
      <c r="O2719" s="5"/>
      <c r="S2719" s="6"/>
    </row>
    <row r="2720" spans="1:20" customFormat="1" x14ac:dyDescent="0.45">
      <c r="A2720">
        <v>540867</v>
      </c>
      <c r="B2720" t="s">
        <v>21500</v>
      </c>
      <c r="C2720" t="s">
        <v>16331</v>
      </c>
      <c r="D2720">
        <v>3</v>
      </c>
      <c r="E2720" t="s">
        <v>16331</v>
      </c>
      <c r="F2720" s="126"/>
      <c r="K2720" s="3">
        <f t="shared" si="100"/>
        <v>0</v>
      </c>
      <c r="L2720" s="3"/>
      <c r="M2720" s="3">
        <f t="shared" si="101"/>
        <v>0</v>
      </c>
      <c r="O2720" s="5"/>
      <c r="S2720" s="6"/>
    </row>
    <row r="2721" spans="1:19" customFormat="1" x14ac:dyDescent="0.45">
      <c r="A2721">
        <v>540892</v>
      </c>
      <c r="B2721" t="s">
        <v>21501</v>
      </c>
      <c r="C2721" t="s">
        <v>21502</v>
      </c>
      <c r="D2721">
        <v>0</v>
      </c>
      <c r="E2721" t="s">
        <v>16561</v>
      </c>
      <c r="F2721" s="126"/>
      <c r="G2721" s="7">
        <v>0</v>
      </c>
      <c r="H2721" s="7">
        <v>0</v>
      </c>
      <c r="I2721" s="7">
        <v>0</v>
      </c>
      <c r="J2721" s="7">
        <v>0</v>
      </c>
      <c r="K2721" s="3">
        <f t="shared" si="100"/>
        <v>0</v>
      </c>
      <c r="L2721" s="3"/>
      <c r="M2721" s="3">
        <f t="shared" si="101"/>
        <v>0</v>
      </c>
      <c r="N2721" s="7"/>
      <c r="O2721" s="5"/>
      <c r="S2721" s="6"/>
    </row>
    <row r="2722" spans="1:19" customFormat="1" x14ac:dyDescent="0.45">
      <c r="A2722">
        <v>541273</v>
      </c>
      <c r="B2722" t="s">
        <v>21503</v>
      </c>
      <c r="C2722" t="s">
        <v>21504</v>
      </c>
      <c r="D2722">
        <v>14</v>
      </c>
      <c r="F2722" s="126"/>
      <c r="G2722" s="3">
        <v>0</v>
      </c>
      <c r="H2722" s="3">
        <v>0</v>
      </c>
      <c r="I2722" s="3">
        <v>0</v>
      </c>
      <c r="J2722" s="3">
        <v>0</v>
      </c>
      <c r="K2722" s="3">
        <f t="shared" si="100"/>
        <v>0</v>
      </c>
      <c r="L2722" s="3"/>
      <c r="M2722" s="3">
        <f t="shared" si="101"/>
        <v>0</v>
      </c>
      <c r="O2722" s="5"/>
      <c r="S2722" s="6"/>
    </row>
    <row r="2723" spans="1:19" customFormat="1" x14ac:dyDescent="0.45">
      <c r="A2723">
        <v>541312</v>
      </c>
      <c r="B2723" t="s">
        <v>21505</v>
      </c>
      <c r="C2723" t="s">
        <v>21506</v>
      </c>
      <c r="D2723">
        <v>4</v>
      </c>
      <c r="F2723" s="126"/>
      <c r="G2723" s="3">
        <v>0</v>
      </c>
      <c r="H2723" s="3">
        <v>0</v>
      </c>
      <c r="I2723" s="3">
        <v>0</v>
      </c>
      <c r="J2723" s="3">
        <v>0</v>
      </c>
      <c r="K2723" s="3">
        <f t="shared" si="100"/>
        <v>0</v>
      </c>
      <c r="L2723" s="3"/>
      <c r="M2723" s="3">
        <f t="shared" si="101"/>
        <v>0</v>
      </c>
      <c r="O2723" s="5"/>
      <c r="S2723" s="6"/>
    </row>
    <row r="2724" spans="1:19" customFormat="1" x14ac:dyDescent="0.45">
      <c r="A2724">
        <v>541341</v>
      </c>
      <c r="B2724" t="s">
        <v>21507</v>
      </c>
      <c r="C2724" t="s">
        <v>21508</v>
      </c>
      <c r="D2724">
        <v>3</v>
      </c>
      <c r="F2724" s="126"/>
      <c r="G2724" s="7">
        <v>0</v>
      </c>
      <c r="H2724" s="7">
        <v>0</v>
      </c>
      <c r="I2724" s="7">
        <v>0</v>
      </c>
      <c r="J2724" s="7">
        <v>0</v>
      </c>
      <c r="K2724" s="3">
        <f t="shared" si="100"/>
        <v>0</v>
      </c>
      <c r="L2724" s="3"/>
      <c r="M2724" s="3">
        <f t="shared" si="101"/>
        <v>0</v>
      </c>
      <c r="N2724" s="7"/>
      <c r="O2724" s="5"/>
      <c r="S2724" s="6"/>
    </row>
    <row r="2725" spans="1:19" customFormat="1" x14ac:dyDescent="0.45">
      <c r="A2725">
        <v>541499</v>
      </c>
      <c r="B2725" t="s">
        <v>21509</v>
      </c>
      <c r="C2725" t="s">
        <v>21510</v>
      </c>
      <c r="D2725">
        <v>6</v>
      </c>
      <c r="F2725" s="126"/>
      <c r="G2725" s="7">
        <v>0</v>
      </c>
      <c r="H2725" s="7">
        <v>0</v>
      </c>
      <c r="I2725" s="7">
        <v>0</v>
      </c>
      <c r="J2725" s="7">
        <v>0</v>
      </c>
      <c r="K2725" s="3">
        <f t="shared" si="100"/>
        <v>0</v>
      </c>
      <c r="L2725" s="3"/>
      <c r="M2725" s="3">
        <f t="shared" si="101"/>
        <v>0</v>
      </c>
      <c r="N2725" s="7"/>
      <c r="O2725" s="5"/>
      <c r="S2725" s="6"/>
    </row>
    <row r="2726" spans="1:19" customFormat="1" x14ac:dyDescent="0.45">
      <c r="A2726">
        <v>541529</v>
      </c>
      <c r="B2726" t="s">
        <v>21511</v>
      </c>
      <c r="C2726" t="s">
        <v>16331</v>
      </c>
      <c r="D2726">
        <v>1</v>
      </c>
      <c r="E2726" t="s">
        <v>16331</v>
      </c>
      <c r="F2726" s="126"/>
      <c r="G2726" s="7">
        <v>0</v>
      </c>
      <c r="H2726" s="7">
        <v>0</v>
      </c>
      <c r="I2726" s="7">
        <v>0</v>
      </c>
      <c r="J2726" s="7">
        <v>0</v>
      </c>
      <c r="K2726" s="3">
        <f t="shared" si="100"/>
        <v>0</v>
      </c>
      <c r="L2726" s="3"/>
      <c r="M2726" s="3">
        <f t="shared" si="101"/>
        <v>0</v>
      </c>
      <c r="O2726" s="5"/>
      <c r="S2726" s="6"/>
    </row>
    <row r="2727" spans="1:19" customFormat="1" x14ac:dyDescent="0.45">
      <c r="A2727">
        <v>541587</v>
      </c>
      <c r="B2727" t="s">
        <v>21512</v>
      </c>
      <c r="C2727" t="s">
        <v>21513</v>
      </c>
      <c r="D2727">
        <v>1</v>
      </c>
      <c r="F2727" s="126"/>
      <c r="G2727" s="19"/>
      <c r="H2727" s="19"/>
      <c r="I2727" s="19"/>
      <c r="J2727" s="19"/>
      <c r="K2727" s="3">
        <f t="shared" si="100"/>
        <v>0</v>
      </c>
      <c r="L2727" s="3"/>
      <c r="M2727" s="3">
        <f t="shared" si="101"/>
        <v>0</v>
      </c>
      <c r="O2727" s="5"/>
      <c r="S2727" s="6"/>
    </row>
    <row r="2728" spans="1:19" customFormat="1" x14ac:dyDescent="0.45">
      <c r="A2728">
        <v>541659</v>
      </c>
      <c r="B2728" t="s">
        <v>21514</v>
      </c>
      <c r="C2728" t="s">
        <v>16331</v>
      </c>
      <c r="D2728">
        <v>1</v>
      </c>
      <c r="E2728" t="s">
        <v>16331</v>
      </c>
      <c r="F2728" s="126"/>
      <c r="G2728" s="7">
        <v>0</v>
      </c>
      <c r="H2728" s="7">
        <v>0</v>
      </c>
      <c r="I2728" s="7">
        <v>0</v>
      </c>
      <c r="J2728" s="7">
        <v>0</v>
      </c>
      <c r="K2728" s="3">
        <f t="shared" si="100"/>
        <v>0</v>
      </c>
      <c r="L2728" s="3"/>
      <c r="M2728" s="3">
        <f t="shared" si="101"/>
        <v>0</v>
      </c>
      <c r="O2728" s="5"/>
      <c r="S2728" s="6"/>
    </row>
    <row r="2729" spans="1:19" customFormat="1" x14ac:dyDescent="0.45">
      <c r="A2729">
        <v>541703</v>
      </c>
      <c r="B2729" t="s">
        <v>21515</v>
      </c>
      <c r="C2729" t="s">
        <v>21516</v>
      </c>
      <c r="D2729">
        <v>1</v>
      </c>
      <c r="F2729" s="126"/>
      <c r="G2729" s="3">
        <v>0</v>
      </c>
      <c r="H2729" s="3">
        <v>0</v>
      </c>
      <c r="I2729" s="3">
        <v>0</v>
      </c>
      <c r="J2729" s="3">
        <v>0</v>
      </c>
      <c r="K2729" s="3">
        <f t="shared" si="100"/>
        <v>0</v>
      </c>
      <c r="L2729" s="3"/>
      <c r="M2729" s="3">
        <f t="shared" si="101"/>
        <v>0</v>
      </c>
      <c r="O2729" s="5"/>
      <c r="S2729" s="6"/>
    </row>
    <row r="2730" spans="1:19" customFormat="1" x14ac:dyDescent="0.45">
      <c r="A2730">
        <v>541713</v>
      </c>
      <c r="B2730" t="s">
        <v>21517</v>
      </c>
      <c r="C2730" t="s">
        <v>21518</v>
      </c>
      <c r="D2730">
        <v>5</v>
      </c>
      <c r="F2730" s="126"/>
      <c r="G2730" s="7">
        <v>0</v>
      </c>
      <c r="H2730" s="7">
        <v>0</v>
      </c>
      <c r="I2730" s="7">
        <v>0</v>
      </c>
      <c r="J2730" s="7">
        <v>0</v>
      </c>
      <c r="K2730" s="3">
        <f t="shared" si="100"/>
        <v>0</v>
      </c>
      <c r="L2730" s="3"/>
      <c r="M2730" s="3">
        <f t="shared" si="101"/>
        <v>0</v>
      </c>
      <c r="N2730" s="7"/>
      <c r="O2730" s="5"/>
      <c r="S2730" s="6"/>
    </row>
    <row r="2731" spans="1:19" customFormat="1" x14ac:dyDescent="0.45">
      <c r="A2731">
        <v>541818</v>
      </c>
      <c r="B2731" t="s">
        <v>21519</v>
      </c>
      <c r="C2731" t="s">
        <v>21520</v>
      </c>
      <c r="D2731">
        <v>2</v>
      </c>
      <c r="F2731" s="126"/>
      <c r="G2731" s="7">
        <v>0</v>
      </c>
      <c r="H2731" s="7">
        <v>0</v>
      </c>
      <c r="I2731" s="7">
        <v>0</v>
      </c>
      <c r="J2731" s="7">
        <v>0</v>
      </c>
      <c r="K2731" s="3">
        <f t="shared" si="100"/>
        <v>0</v>
      </c>
      <c r="L2731" s="3"/>
      <c r="M2731" s="3">
        <f t="shared" si="101"/>
        <v>0</v>
      </c>
      <c r="O2731" s="5"/>
      <c r="S2731" s="6"/>
    </row>
    <row r="2732" spans="1:19" customFormat="1" x14ac:dyDescent="0.45">
      <c r="A2732">
        <v>542122</v>
      </c>
      <c r="B2732" t="s">
        <v>21521</v>
      </c>
      <c r="C2732" t="s">
        <v>21522</v>
      </c>
      <c r="D2732">
        <v>25</v>
      </c>
      <c r="F2732" s="126"/>
      <c r="K2732" s="3">
        <f t="shared" si="100"/>
        <v>0</v>
      </c>
      <c r="L2732" s="3"/>
      <c r="M2732" s="3">
        <f t="shared" si="101"/>
        <v>0</v>
      </c>
      <c r="O2732" s="5"/>
      <c r="S2732" s="6"/>
    </row>
    <row r="2733" spans="1:19" customFormat="1" x14ac:dyDescent="0.45">
      <c r="A2733">
        <v>542145</v>
      </c>
      <c r="B2733" t="s">
        <v>21523</v>
      </c>
      <c r="C2733" t="s">
        <v>16331</v>
      </c>
      <c r="D2733">
        <v>1</v>
      </c>
      <c r="E2733" t="s">
        <v>16331</v>
      </c>
      <c r="F2733" s="126"/>
      <c r="G2733" s="7">
        <v>0</v>
      </c>
      <c r="H2733" s="7">
        <v>0</v>
      </c>
      <c r="I2733" s="7">
        <v>0</v>
      </c>
      <c r="J2733" s="7">
        <v>0</v>
      </c>
      <c r="K2733" s="3">
        <f t="shared" si="100"/>
        <v>0</v>
      </c>
      <c r="L2733" s="3"/>
      <c r="M2733" s="3">
        <f t="shared" si="101"/>
        <v>0</v>
      </c>
      <c r="O2733" s="5"/>
      <c r="S2733" s="6"/>
    </row>
    <row r="2734" spans="1:19" customFormat="1" x14ac:dyDescent="0.45">
      <c r="A2734">
        <v>542186</v>
      </c>
      <c r="B2734" t="s">
        <v>21524</v>
      </c>
      <c r="C2734" t="s">
        <v>21525</v>
      </c>
      <c r="D2734">
        <v>3</v>
      </c>
      <c r="F2734" s="126"/>
      <c r="G2734" s="7">
        <v>0</v>
      </c>
      <c r="H2734" s="7">
        <v>0</v>
      </c>
      <c r="I2734" s="7">
        <v>0</v>
      </c>
      <c r="J2734" s="7">
        <v>0</v>
      </c>
      <c r="K2734" s="3">
        <f t="shared" si="100"/>
        <v>0</v>
      </c>
      <c r="L2734" s="3"/>
      <c r="M2734" s="3">
        <f t="shared" si="101"/>
        <v>0</v>
      </c>
      <c r="O2734" s="5"/>
      <c r="S2734" s="6"/>
    </row>
    <row r="2735" spans="1:19" customFormat="1" x14ac:dyDescent="0.45">
      <c r="A2735">
        <v>542220</v>
      </c>
      <c r="B2735" t="s">
        <v>21526</v>
      </c>
      <c r="C2735" t="s">
        <v>21527</v>
      </c>
      <c r="D2735">
        <v>1</v>
      </c>
      <c r="F2735" s="126"/>
      <c r="G2735" s="7">
        <v>0</v>
      </c>
      <c r="H2735" s="7">
        <v>0</v>
      </c>
      <c r="I2735" s="7">
        <v>0</v>
      </c>
      <c r="J2735" s="7">
        <v>0</v>
      </c>
      <c r="K2735" s="3">
        <f t="shared" si="100"/>
        <v>0</v>
      </c>
      <c r="L2735" s="3"/>
      <c r="M2735" s="3">
        <f t="shared" si="101"/>
        <v>0</v>
      </c>
      <c r="O2735" s="5"/>
      <c r="S2735" s="6"/>
    </row>
    <row r="2736" spans="1:19" customFormat="1" x14ac:dyDescent="0.45">
      <c r="A2736">
        <v>542264</v>
      </c>
      <c r="B2736" t="s">
        <v>21528</v>
      </c>
      <c r="C2736" t="s">
        <v>21529</v>
      </c>
      <c r="D2736">
        <v>3</v>
      </c>
      <c r="F2736" s="126"/>
      <c r="G2736" s="3">
        <v>0</v>
      </c>
      <c r="H2736" s="3">
        <v>0</v>
      </c>
      <c r="I2736" s="3">
        <v>0</v>
      </c>
      <c r="J2736" s="3">
        <v>0</v>
      </c>
      <c r="K2736" s="3">
        <f t="shared" si="100"/>
        <v>0</v>
      </c>
      <c r="L2736" s="3"/>
      <c r="M2736" s="3">
        <f t="shared" si="101"/>
        <v>0</v>
      </c>
      <c r="O2736" s="5"/>
      <c r="S2736" s="6"/>
    </row>
    <row r="2737" spans="1:19" customFormat="1" x14ac:dyDescent="0.45">
      <c r="A2737">
        <v>542556</v>
      </c>
      <c r="B2737" t="s">
        <v>21530</v>
      </c>
      <c r="C2737" t="s">
        <v>16331</v>
      </c>
      <c r="D2737">
        <v>4</v>
      </c>
      <c r="E2737" t="s">
        <v>16331</v>
      </c>
      <c r="F2737" s="126"/>
      <c r="G2737" s="7">
        <v>0</v>
      </c>
      <c r="H2737" s="7">
        <v>0</v>
      </c>
      <c r="I2737" s="7">
        <v>0</v>
      </c>
      <c r="J2737" s="7">
        <v>0</v>
      </c>
      <c r="K2737" s="3">
        <f t="shared" si="100"/>
        <v>0</v>
      </c>
      <c r="L2737" s="3"/>
      <c r="M2737" s="3">
        <f t="shared" si="101"/>
        <v>0</v>
      </c>
      <c r="O2737" s="5"/>
      <c r="S2737" s="6"/>
    </row>
    <row r="2738" spans="1:19" customFormat="1" x14ac:dyDescent="0.45">
      <c r="A2738">
        <v>542574</v>
      </c>
      <c r="B2738" t="s">
        <v>21531</v>
      </c>
      <c r="C2738" t="s">
        <v>21532</v>
      </c>
      <c r="D2738">
        <v>0</v>
      </c>
      <c r="E2738" t="s">
        <v>16561</v>
      </c>
      <c r="F2738" s="126"/>
      <c r="G2738" s="7">
        <v>0</v>
      </c>
      <c r="H2738" s="7">
        <v>0</v>
      </c>
      <c r="I2738" s="7">
        <v>0</v>
      </c>
      <c r="J2738" s="7">
        <v>0</v>
      </c>
      <c r="K2738" s="3">
        <f t="shared" si="100"/>
        <v>0</v>
      </c>
      <c r="L2738" s="3"/>
      <c r="M2738" s="3">
        <f t="shared" si="101"/>
        <v>0</v>
      </c>
      <c r="N2738" s="7"/>
      <c r="O2738" s="5"/>
      <c r="S2738" s="6"/>
    </row>
    <row r="2739" spans="1:19" customFormat="1" x14ac:dyDescent="0.45">
      <c r="A2739">
        <v>542680</v>
      </c>
      <c r="B2739" t="s">
        <v>21533</v>
      </c>
      <c r="C2739" t="s">
        <v>21534</v>
      </c>
      <c r="D2739">
        <v>4</v>
      </c>
      <c r="F2739" s="126"/>
      <c r="G2739" s="7">
        <v>0</v>
      </c>
      <c r="H2739" s="7">
        <v>0</v>
      </c>
      <c r="I2739" s="7">
        <v>0</v>
      </c>
      <c r="J2739" s="7">
        <v>0</v>
      </c>
      <c r="K2739" s="3">
        <f t="shared" si="100"/>
        <v>0</v>
      </c>
      <c r="L2739" s="3"/>
      <c r="M2739" s="3">
        <f t="shared" si="101"/>
        <v>0</v>
      </c>
      <c r="N2739" s="7"/>
      <c r="O2739" s="5"/>
      <c r="S2739" s="6"/>
    </row>
    <row r="2740" spans="1:19" customFormat="1" x14ac:dyDescent="0.45">
      <c r="A2740">
        <v>542700</v>
      </c>
      <c r="B2740" t="s">
        <v>21535</v>
      </c>
      <c r="C2740" t="s">
        <v>21536</v>
      </c>
      <c r="D2740">
        <v>4</v>
      </c>
      <c r="F2740" s="126"/>
      <c r="G2740" s="7">
        <v>0</v>
      </c>
      <c r="H2740" s="7">
        <v>0</v>
      </c>
      <c r="I2740" s="7">
        <v>0</v>
      </c>
      <c r="J2740" s="7">
        <v>0</v>
      </c>
      <c r="K2740" s="3">
        <f t="shared" si="100"/>
        <v>0</v>
      </c>
      <c r="L2740" s="3"/>
      <c r="M2740" s="3">
        <f t="shared" si="101"/>
        <v>0</v>
      </c>
      <c r="O2740" s="5"/>
      <c r="S2740" s="6"/>
    </row>
    <row r="2741" spans="1:19" customFormat="1" x14ac:dyDescent="0.45">
      <c r="A2741">
        <v>542909</v>
      </c>
      <c r="B2741" t="s">
        <v>21537</v>
      </c>
      <c r="C2741" t="s">
        <v>21538</v>
      </c>
      <c r="D2741">
        <v>1</v>
      </c>
      <c r="F2741" s="126"/>
      <c r="G2741" s="7">
        <v>0</v>
      </c>
      <c r="H2741" s="7">
        <v>0</v>
      </c>
      <c r="I2741" s="7">
        <v>0</v>
      </c>
      <c r="J2741" s="7">
        <v>0</v>
      </c>
      <c r="K2741" s="3">
        <f t="shared" si="100"/>
        <v>0</v>
      </c>
      <c r="L2741" s="3"/>
      <c r="M2741" s="3">
        <f t="shared" si="101"/>
        <v>0</v>
      </c>
      <c r="O2741" s="5"/>
      <c r="S2741" s="6"/>
    </row>
    <row r="2742" spans="1:19" customFormat="1" x14ac:dyDescent="0.45">
      <c r="A2742">
        <v>542984</v>
      </c>
      <c r="B2742" t="s">
        <v>21539</v>
      </c>
      <c r="C2742" t="s">
        <v>21540</v>
      </c>
      <c r="D2742">
        <v>1</v>
      </c>
      <c r="F2742" s="126"/>
      <c r="K2742" s="3">
        <f t="shared" si="100"/>
        <v>0</v>
      </c>
      <c r="L2742" s="3"/>
      <c r="M2742" s="3">
        <f t="shared" si="101"/>
        <v>0</v>
      </c>
      <c r="O2742" s="5"/>
      <c r="S2742" s="6"/>
    </row>
    <row r="2743" spans="1:19" customFormat="1" x14ac:dyDescent="0.45">
      <c r="A2743">
        <v>543022</v>
      </c>
      <c r="B2743" t="s">
        <v>21541</v>
      </c>
      <c r="C2743" t="s">
        <v>21542</v>
      </c>
      <c r="D2743">
        <v>1</v>
      </c>
      <c r="F2743" s="126"/>
      <c r="G2743" s="19"/>
      <c r="H2743" s="19"/>
      <c r="I2743" s="19"/>
      <c r="J2743" s="19"/>
      <c r="K2743" s="3">
        <f t="shared" si="100"/>
        <v>0</v>
      </c>
      <c r="L2743" s="3"/>
      <c r="M2743" s="3">
        <f t="shared" si="101"/>
        <v>0</v>
      </c>
      <c r="O2743" s="5"/>
      <c r="S2743" s="6"/>
    </row>
    <row r="2744" spans="1:19" customFormat="1" x14ac:dyDescent="0.45">
      <c r="A2744">
        <v>543311</v>
      </c>
      <c r="B2744" t="s">
        <v>21543</v>
      </c>
      <c r="C2744" t="s">
        <v>21544</v>
      </c>
      <c r="D2744">
        <v>2</v>
      </c>
      <c r="F2744" s="126"/>
      <c r="G2744" s="7">
        <v>0</v>
      </c>
      <c r="H2744" s="7">
        <v>0</v>
      </c>
      <c r="I2744" s="7">
        <v>0</v>
      </c>
      <c r="J2744" s="7">
        <v>0</v>
      </c>
      <c r="K2744" s="3">
        <f t="shared" si="100"/>
        <v>0</v>
      </c>
      <c r="L2744" s="3"/>
      <c r="M2744" s="3">
        <f t="shared" si="101"/>
        <v>0</v>
      </c>
      <c r="O2744" s="5"/>
      <c r="S2744" s="6"/>
    </row>
    <row r="2745" spans="1:19" customFormat="1" x14ac:dyDescent="0.45">
      <c r="A2745">
        <v>543459</v>
      </c>
      <c r="B2745" t="s">
        <v>21545</v>
      </c>
      <c r="C2745" t="s">
        <v>21546</v>
      </c>
      <c r="D2745">
        <v>0</v>
      </c>
      <c r="E2745" t="s">
        <v>16561</v>
      </c>
      <c r="F2745" s="126"/>
      <c r="G2745" s="7">
        <v>0</v>
      </c>
      <c r="H2745" s="7">
        <v>0</v>
      </c>
      <c r="I2745" s="7">
        <v>0</v>
      </c>
      <c r="J2745" s="7">
        <v>0</v>
      </c>
      <c r="K2745" s="3">
        <f t="shared" si="100"/>
        <v>0</v>
      </c>
      <c r="L2745" s="3"/>
      <c r="M2745" s="3">
        <f t="shared" si="101"/>
        <v>0</v>
      </c>
      <c r="N2745" s="7"/>
      <c r="O2745" s="5"/>
      <c r="S2745" s="6"/>
    </row>
    <row r="2746" spans="1:19" customFormat="1" x14ac:dyDescent="0.45">
      <c r="A2746">
        <v>544108</v>
      </c>
      <c r="B2746" t="s">
        <v>21547</v>
      </c>
      <c r="C2746" t="s">
        <v>21548</v>
      </c>
      <c r="D2746">
        <v>2</v>
      </c>
      <c r="F2746" s="126"/>
      <c r="G2746" s="3">
        <v>0</v>
      </c>
      <c r="H2746" s="3">
        <v>0</v>
      </c>
      <c r="I2746" s="3">
        <v>0</v>
      </c>
      <c r="J2746" s="3">
        <v>0</v>
      </c>
      <c r="K2746" s="3">
        <f t="shared" si="100"/>
        <v>0</v>
      </c>
      <c r="L2746" s="3"/>
      <c r="M2746" s="3">
        <f t="shared" si="101"/>
        <v>0</v>
      </c>
      <c r="O2746" s="5"/>
      <c r="S2746" s="6"/>
    </row>
    <row r="2747" spans="1:19" customFormat="1" x14ac:dyDescent="0.45">
      <c r="A2747">
        <v>544291</v>
      </c>
      <c r="B2747" t="s">
        <v>21549</v>
      </c>
      <c r="C2747" t="s">
        <v>21550</v>
      </c>
      <c r="D2747">
        <v>0</v>
      </c>
      <c r="E2747" t="s">
        <v>16561</v>
      </c>
      <c r="F2747" s="126"/>
      <c r="G2747" s="7">
        <v>0</v>
      </c>
      <c r="H2747" s="7">
        <v>0</v>
      </c>
      <c r="I2747" s="7">
        <v>0</v>
      </c>
      <c r="J2747" s="7">
        <v>0</v>
      </c>
      <c r="K2747" s="3">
        <f t="shared" si="100"/>
        <v>0</v>
      </c>
      <c r="L2747" s="3"/>
      <c r="M2747" s="3">
        <f t="shared" si="101"/>
        <v>0</v>
      </c>
      <c r="N2747" s="7"/>
      <c r="O2747" s="5"/>
      <c r="S2747" s="6"/>
    </row>
    <row r="2748" spans="1:19" customFormat="1" x14ac:dyDescent="0.45">
      <c r="A2748">
        <v>544532</v>
      </c>
      <c r="B2748" t="s">
        <v>21551</v>
      </c>
      <c r="C2748" t="s">
        <v>21552</v>
      </c>
      <c r="D2748">
        <v>2</v>
      </c>
      <c r="F2748" s="126"/>
      <c r="G2748" s="7">
        <v>0</v>
      </c>
      <c r="H2748" s="7">
        <v>0</v>
      </c>
      <c r="I2748" s="7">
        <v>0</v>
      </c>
      <c r="J2748" s="7">
        <v>0</v>
      </c>
      <c r="K2748" s="3">
        <f t="shared" si="100"/>
        <v>0</v>
      </c>
      <c r="L2748" s="3"/>
      <c r="M2748" s="3">
        <f t="shared" si="101"/>
        <v>0</v>
      </c>
      <c r="O2748" s="5"/>
      <c r="S2748" s="6"/>
    </row>
    <row r="2749" spans="1:19" customFormat="1" x14ac:dyDescent="0.45">
      <c r="A2749">
        <v>544537</v>
      </c>
      <c r="B2749" t="s">
        <v>21553</v>
      </c>
      <c r="C2749" t="s">
        <v>16331</v>
      </c>
      <c r="D2749">
        <v>3</v>
      </c>
      <c r="E2749" t="s">
        <v>16331</v>
      </c>
      <c r="F2749" s="126"/>
      <c r="K2749" s="3">
        <f t="shared" si="100"/>
        <v>0</v>
      </c>
      <c r="L2749" s="3"/>
      <c r="M2749" s="3">
        <f t="shared" si="101"/>
        <v>0</v>
      </c>
      <c r="O2749" s="5"/>
      <c r="S2749" s="6"/>
    </row>
    <row r="2750" spans="1:19" customFormat="1" x14ac:dyDescent="0.45">
      <c r="A2750">
        <v>544914</v>
      </c>
      <c r="B2750" t="s">
        <v>21554</v>
      </c>
      <c r="C2750" t="s">
        <v>21555</v>
      </c>
      <c r="D2750">
        <v>1</v>
      </c>
      <c r="F2750" s="126"/>
      <c r="G2750" s="3">
        <v>0</v>
      </c>
      <c r="H2750" s="3">
        <v>0</v>
      </c>
      <c r="I2750" s="3">
        <v>0</v>
      </c>
      <c r="J2750" s="3">
        <v>0</v>
      </c>
      <c r="K2750" s="3">
        <f t="shared" si="100"/>
        <v>0</v>
      </c>
      <c r="L2750" s="3"/>
      <c r="M2750" s="3">
        <f t="shared" si="101"/>
        <v>0</v>
      </c>
      <c r="O2750" s="5"/>
      <c r="S2750" s="6"/>
    </row>
    <row r="2751" spans="1:19" customFormat="1" x14ac:dyDescent="0.45">
      <c r="A2751">
        <v>544995</v>
      </c>
      <c r="B2751" t="s">
        <v>21556</v>
      </c>
      <c r="C2751" t="s">
        <v>21557</v>
      </c>
      <c r="D2751">
        <v>2</v>
      </c>
      <c r="F2751" s="126"/>
      <c r="K2751" s="3">
        <f t="shared" si="100"/>
        <v>0</v>
      </c>
      <c r="L2751" s="3"/>
      <c r="M2751" s="3">
        <f t="shared" si="101"/>
        <v>0</v>
      </c>
      <c r="O2751" s="5"/>
      <c r="S2751" s="6"/>
    </row>
    <row r="2752" spans="1:19" customFormat="1" x14ac:dyDescent="0.45">
      <c r="A2752">
        <v>545025</v>
      </c>
      <c r="B2752" t="s">
        <v>21558</v>
      </c>
      <c r="C2752" t="s">
        <v>21559</v>
      </c>
      <c r="D2752">
        <v>0</v>
      </c>
      <c r="E2752" t="s">
        <v>16561</v>
      </c>
      <c r="F2752" s="126"/>
      <c r="G2752" s="7">
        <v>0</v>
      </c>
      <c r="H2752" s="7">
        <v>0</v>
      </c>
      <c r="I2752" s="7">
        <v>0</v>
      </c>
      <c r="J2752" s="7">
        <v>0</v>
      </c>
      <c r="K2752" s="3">
        <f t="shared" si="100"/>
        <v>0</v>
      </c>
      <c r="L2752" s="3"/>
      <c r="M2752" s="3">
        <f t="shared" si="101"/>
        <v>0</v>
      </c>
      <c r="N2752" s="7"/>
      <c r="O2752" s="5"/>
      <c r="S2752" s="6"/>
    </row>
    <row r="2753" spans="1:22" customFormat="1" x14ac:dyDescent="0.45">
      <c r="A2753">
        <v>546072</v>
      </c>
      <c r="B2753" t="s">
        <v>21560</v>
      </c>
      <c r="C2753" t="s">
        <v>16331</v>
      </c>
      <c r="D2753">
        <v>2</v>
      </c>
      <c r="E2753" t="s">
        <v>16331</v>
      </c>
      <c r="F2753" s="126"/>
      <c r="G2753" s="7">
        <v>0</v>
      </c>
      <c r="H2753" s="7">
        <v>0</v>
      </c>
      <c r="I2753" s="7">
        <v>0</v>
      </c>
      <c r="J2753" s="7">
        <v>0</v>
      </c>
      <c r="K2753" s="3">
        <f t="shared" si="100"/>
        <v>0</v>
      </c>
      <c r="L2753" s="3"/>
      <c r="M2753" s="3">
        <f t="shared" si="101"/>
        <v>0</v>
      </c>
      <c r="O2753" s="5"/>
      <c r="S2753" s="6"/>
    </row>
    <row r="2754" spans="1:22" customFormat="1" x14ac:dyDescent="0.45">
      <c r="A2754">
        <v>546170</v>
      </c>
      <c r="B2754" t="s">
        <v>21561</v>
      </c>
      <c r="C2754" t="s">
        <v>21562</v>
      </c>
      <c r="D2754">
        <v>1</v>
      </c>
      <c r="F2754" s="126"/>
      <c r="G2754" s="7">
        <v>0</v>
      </c>
      <c r="H2754" s="7">
        <v>0</v>
      </c>
      <c r="I2754" s="7">
        <v>0</v>
      </c>
      <c r="J2754" s="7">
        <v>0</v>
      </c>
      <c r="K2754" s="3">
        <f t="shared" si="100"/>
        <v>0</v>
      </c>
      <c r="L2754" s="3"/>
      <c r="M2754" s="3">
        <f t="shared" si="101"/>
        <v>0</v>
      </c>
      <c r="O2754" s="5"/>
      <c r="S2754" s="6"/>
    </row>
    <row r="2755" spans="1:22" customFormat="1" x14ac:dyDescent="0.45">
      <c r="A2755">
        <v>546200</v>
      </c>
      <c r="B2755" t="s">
        <v>21563</v>
      </c>
      <c r="C2755" t="s">
        <v>16331</v>
      </c>
      <c r="D2755">
        <v>1</v>
      </c>
      <c r="E2755" t="s">
        <v>16331</v>
      </c>
      <c r="F2755" s="126"/>
      <c r="G2755" s="7">
        <v>0</v>
      </c>
      <c r="H2755" s="7">
        <v>0</v>
      </c>
      <c r="I2755" s="7">
        <v>0</v>
      </c>
      <c r="J2755" s="7">
        <v>0</v>
      </c>
      <c r="K2755" s="3">
        <f t="shared" si="100"/>
        <v>0</v>
      </c>
      <c r="L2755" s="3"/>
      <c r="M2755" s="3">
        <f t="shared" si="101"/>
        <v>0</v>
      </c>
      <c r="O2755" s="5"/>
      <c r="S2755" s="6"/>
    </row>
    <row r="2756" spans="1:22" customFormat="1" x14ac:dyDescent="0.45">
      <c r="A2756">
        <v>546263</v>
      </c>
      <c r="B2756" t="s">
        <v>21564</v>
      </c>
      <c r="C2756" t="s">
        <v>16331</v>
      </c>
      <c r="D2756">
        <v>1</v>
      </c>
      <c r="E2756" t="s">
        <v>16331</v>
      </c>
      <c r="F2756" s="126"/>
      <c r="G2756" s="7">
        <v>0</v>
      </c>
      <c r="H2756" s="7">
        <v>0</v>
      </c>
      <c r="I2756" s="7">
        <v>0</v>
      </c>
      <c r="J2756" s="7">
        <v>0</v>
      </c>
      <c r="K2756" s="3">
        <f t="shared" si="100"/>
        <v>0</v>
      </c>
      <c r="L2756" s="3"/>
      <c r="M2756" s="3">
        <f t="shared" si="101"/>
        <v>0</v>
      </c>
      <c r="O2756" s="5"/>
      <c r="S2756" s="6"/>
    </row>
    <row r="2757" spans="1:22" customFormat="1" x14ac:dyDescent="0.45">
      <c r="A2757">
        <v>547641</v>
      </c>
      <c r="B2757" t="s">
        <v>21565</v>
      </c>
      <c r="C2757" t="s">
        <v>21566</v>
      </c>
      <c r="D2757">
        <v>1</v>
      </c>
      <c r="F2757" s="126"/>
      <c r="G2757" s="7">
        <v>0</v>
      </c>
      <c r="H2757" s="7">
        <v>0</v>
      </c>
      <c r="I2757" s="7">
        <v>0</v>
      </c>
      <c r="J2757" s="7">
        <v>0</v>
      </c>
      <c r="K2757" s="3">
        <f t="shared" si="100"/>
        <v>0</v>
      </c>
      <c r="L2757" s="3"/>
      <c r="M2757" s="3">
        <f t="shared" si="101"/>
        <v>0</v>
      </c>
      <c r="O2757" s="5"/>
      <c r="S2757" s="6"/>
    </row>
    <row r="2758" spans="1:22" customFormat="1" x14ac:dyDescent="0.45">
      <c r="A2758">
        <v>547717</v>
      </c>
      <c r="B2758" t="s">
        <v>21567</v>
      </c>
      <c r="C2758" t="s">
        <v>21568</v>
      </c>
      <c r="D2758">
        <v>10</v>
      </c>
      <c r="F2758" s="126"/>
      <c r="G2758" s="3">
        <v>0</v>
      </c>
      <c r="H2758" s="3">
        <v>0</v>
      </c>
      <c r="I2758" s="3">
        <v>0</v>
      </c>
      <c r="J2758" s="3">
        <v>0</v>
      </c>
      <c r="K2758" s="3">
        <f t="shared" si="100"/>
        <v>0</v>
      </c>
      <c r="L2758" s="3"/>
      <c r="M2758" s="3">
        <f t="shared" si="101"/>
        <v>0</v>
      </c>
      <c r="O2758" s="5"/>
      <c r="S2758" s="6"/>
    </row>
    <row r="2759" spans="1:22" customFormat="1" x14ac:dyDescent="0.45">
      <c r="A2759">
        <v>547997</v>
      </c>
      <c r="B2759" t="s">
        <v>21569</v>
      </c>
      <c r="C2759" t="s">
        <v>21570</v>
      </c>
      <c r="D2759">
        <v>3</v>
      </c>
      <c r="F2759" s="126"/>
      <c r="G2759" s="3">
        <v>0</v>
      </c>
      <c r="H2759" s="3">
        <v>0</v>
      </c>
      <c r="I2759" s="3">
        <v>0</v>
      </c>
      <c r="J2759" s="3">
        <v>0</v>
      </c>
      <c r="K2759" s="3">
        <f t="shared" si="100"/>
        <v>0</v>
      </c>
      <c r="L2759" s="3"/>
      <c r="M2759" s="3">
        <f t="shared" si="101"/>
        <v>0</v>
      </c>
      <c r="O2759" s="5"/>
      <c r="S2759" s="6"/>
    </row>
    <row r="2760" spans="1:22" customFormat="1" x14ac:dyDescent="0.45">
      <c r="A2760">
        <v>548024</v>
      </c>
      <c r="B2760" t="s">
        <v>21571</v>
      </c>
      <c r="C2760" t="s">
        <v>16331</v>
      </c>
      <c r="D2760">
        <v>1</v>
      </c>
      <c r="E2760" t="s">
        <v>16331</v>
      </c>
      <c r="F2760" s="126"/>
      <c r="G2760" s="7">
        <v>0</v>
      </c>
      <c r="H2760" s="7">
        <v>0</v>
      </c>
      <c r="I2760" s="7">
        <v>0</v>
      </c>
      <c r="J2760" s="7">
        <v>0</v>
      </c>
      <c r="K2760" s="3">
        <f t="shared" si="100"/>
        <v>0</v>
      </c>
      <c r="L2760" s="3"/>
      <c r="M2760" s="3">
        <f t="shared" si="101"/>
        <v>0</v>
      </c>
      <c r="O2760" s="5"/>
      <c r="S2760" s="6"/>
    </row>
    <row r="2761" spans="1:22" customFormat="1" x14ac:dyDescent="0.45">
      <c r="A2761">
        <v>548051</v>
      </c>
      <c r="B2761" t="s">
        <v>21572</v>
      </c>
      <c r="C2761" t="s">
        <v>21573</v>
      </c>
      <c r="D2761">
        <v>1</v>
      </c>
      <c r="F2761" s="126"/>
      <c r="G2761" s="7">
        <v>0</v>
      </c>
      <c r="H2761" s="7">
        <v>0</v>
      </c>
      <c r="I2761" s="7">
        <v>0</v>
      </c>
      <c r="J2761" s="7">
        <v>0</v>
      </c>
      <c r="K2761" s="3">
        <f t="shared" si="100"/>
        <v>0</v>
      </c>
      <c r="L2761" s="3"/>
      <c r="M2761" s="3">
        <f t="shared" si="101"/>
        <v>0</v>
      </c>
      <c r="O2761" s="5"/>
      <c r="S2761" s="6"/>
    </row>
    <row r="2762" spans="1:22" customFormat="1" x14ac:dyDescent="0.45">
      <c r="A2762">
        <v>548056</v>
      </c>
      <c r="B2762" t="s">
        <v>21574</v>
      </c>
      <c r="C2762" t="s">
        <v>16331</v>
      </c>
      <c r="D2762">
        <v>1</v>
      </c>
      <c r="E2762" t="s">
        <v>16331</v>
      </c>
      <c r="F2762" s="126"/>
      <c r="G2762" s="7">
        <v>0</v>
      </c>
      <c r="H2762" s="7">
        <v>0</v>
      </c>
      <c r="I2762" s="7">
        <v>0</v>
      </c>
      <c r="J2762" s="7">
        <v>0</v>
      </c>
      <c r="K2762" s="3">
        <f t="shared" si="100"/>
        <v>0</v>
      </c>
      <c r="L2762" s="3"/>
      <c r="M2762" s="3">
        <f t="shared" si="101"/>
        <v>0</v>
      </c>
      <c r="O2762" s="5"/>
      <c r="S2762" s="6"/>
    </row>
    <row r="2763" spans="1:22" x14ac:dyDescent="0.45">
      <c r="A2763" s="124">
        <v>121878</v>
      </c>
      <c r="B2763" s="124" t="s">
        <v>21575</v>
      </c>
      <c r="C2763" s="124" t="s">
        <v>16659</v>
      </c>
      <c r="D2763" s="124">
        <v>81</v>
      </c>
      <c r="E2763" s="124" t="s">
        <v>16417</v>
      </c>
      <c r="F2763" s="126">
        <v>5.4999999999999997E-3</v>
      </c>
      <c r="G2763" s="126">
        <v>0.03</v>
      </c>
      <c r="H2763" s="135">
        <v>0</v>
      </c>
      <c r="I2763" s="127">
        <v>0</v>
      </c>
      <c r="J2763" s="127">
        <v>0</v>
      </c>
      <c r="K2763" s="126">
        <f t="shared" si="100"/>
        <v>0.03</v>
      </c>
      <c r="L2763" s="3"/>
      <c r="M2763" s="126">
        <f t="shared" si="101"/>
        <v>3.5499999999999997E-2</v>
      </c>
      <c r="N2763" s="135" t="s">
        <v>21576</v>
      </c>
      <c r="O2763" s="125" t="s">
        <v>21577</v>
      </c>
      <c r="P2763" s="125" t="s">
        <v>21578</v>
      </c>
      <c r="Q2763" s="130">
        <v>424309000000</v>
      </c>
      <c r="R2763" s="130" t="s">
        <v>16</v>
      </c>
      <c r="S2763" s="130">
        <v>23118000000</v>
      </c>
      <c r="T2763" s="129">
        <f>S2763/Q2763</f>
        <v>5.4483878494210589E-2</v>
      </c>
      <c r="U2763" s="130"/>
      <c r="V2763" s="125" t="s">
        <v>21579</v>
      </c>
    </row>
    <row r="2764" spans="1:22" customFormat="1" x14ac:dyDescent="0.45">
      <c r="A2764">
        <v>548625</v>
      </c>
      <c r="B2764" t="s">
        <v>21580</v>
      </c>
      <c r="C2764" t="s">
        <v>21581</v>
      </c>
      <c r="D2764">
        <v>6</v>
      </c>
      <c r="F2764" s="126"/>
      <c r="G2764" s="7">
        <v>0</v>
      </c>
      <c r="H2764" s="7">
        <v>0</v>
      </c>
      <c r="I2764" s="7">
        <v>0</v>
      </c>
      <c r="J2764" s="7">
        <v>0</v>
      </c>
      <c r="K2764" s="3">
        <f t="shared" si="100"/>
        <v>0</v>
      </c>
      <c r="L2764" s="3"/>
      <c r="M2764" s="3">
        <f t="shared" si="101"/>
        <v>0</v>
      </c>
      <c r="O2764" s="5"/>
      <c r="S2764" s="6"/>
    </row>
    <row r="2765" spans="1:22" customFormat="1" x14ac:dyDescent="0.45">
      <c r="A2765">
        <v>549836</v>
      </c>
      <c r="B2765" t="s">
        <v>21582</v>
      </c>
      <c r="C2765" t="s">
        <v>21583</v>
      </c>
      <c r="D2765">
        <v>2</v>
      </c>
      <c r="F2765" s="126"/>
      <c r="G2765" s="7">
        <v>0</v>
      </c>
      <c r="H2765" s="7">
        <v>0</v>
      </c>
      <c r="I2765" s="7">
        <v>0</v>
      </c>
      <c r="J2765" s="7">
        <v>0</v>
      </c>
      <c r="K2765" s="3">
        <f t="shared" si="100"/>
        <v>0</v>
      </c>
      <c r="L2765" s="3"/>
      <c r="M2765" s="3">
        <f t="shared" si="101"/>
        <v>0</v>
      </c>
      <c r="O2765" s="5"/>
      <c r="S2765" s="6"/>
    </row>
    <row r="2766" spans="1:22" customFormat="1" x14ac:dyDescent="0.45">
      <c r="A2766">
        <v>549935</v>
      </c>
      <c r="B2766" t="s">
        <v>21584</v>
      </c>
      <c r="C2766" t="s">
        <v>16331</v>
      </c>
      <c r="D2766">
        <v>5</v>
      </c>
      <c r="E2766" t="s">
        <v>16331</v>
      </c>
      <c r="F2766" s="126"/>
      <c r="G2766" s="7">
        <v>0</v>
      </c>
      <c r="H2766" s="7">
        <v>0</v>
      </c>
      <c r="I2766" s="7">
        <v>0</v>
      </c>
      <c r="J2766" s="7">
        <v>0</v>
      </c>
      <c r="K2766" s="3">
        <f t="shared" si="100"/>
        <v>0</v>
      </c>
      <c r="L2766" s="3"/>
      <c r="M2766" s="3">
        <f t="shared" si="101"/>
        <v>0</v>
      </c>
      <c r="O2766" s="5"/>
      <c r="S2766" s="6"/>
    </row>
    <row r="2767" spans="1:22" customFormat="1" x14ac:dyDescent="0.45">
      <c r="A2767">
        <v>549963</v>
      </c>
      <c r="B2767" t="s">
        <v>21585</v>
      </c>
      <c r="C2767" t="s">
        <v>21586</v>
      </c>
      <c r="D2767">
        <v>1</v>
      </c>
      <c r="F2767" s="126"/>
      <c r="G2767" s="7">
        <v>0</v>
      </c>
      <c r="H2767" s="7">
        <v>0</v>
      </c>
      <c r="I2767" s="7">
        <v>0</v>
      </c>
      <c r="J2767" s="7">
        <v>0</v>
      </c>
      <c r="K2767" s="3">
        <f t="shared" si="100"/>
        <v>0</v>
      </c>
      <c r="L2767" s="3"/>
      <c r="M2767" s="3">
        <f t="shared" si="101"/>
        <v>0</v>
      </c>
      <c r="O2767" s="5"/>
      <c r="S2767" s="6"/>
    </row>
    <row r="2768" spans="1:22" customFormat="1" x14ac:dyDescent="0.45">
      <c r="A2768">
        <v>550013</v>
      </c>
      <c r="B2768" t="s">
        <v>21587</v>
      </c>
      <c r="C2768" t="s">
        <v>21588</v>
      </c>
      <c r="D2768">
        <v>2</v>
      </c>
      <c r="F2768" s="126"/>
      <c r="G2768" s="7">
        <v>0</v>
      </c>
      <c r="H2768" s="7">
        <v>0</v>
      </c>
      <c r="I2768" s="7">
        <v>0</v>
      </c>
      <c r="J2768" s="7">
        <v>0</v>
      </c>
      <c r="K2768" s="3">
        <f t="shared" si="100"/>
        <v>0</v>
      </c>
      <c r="L2768" s="3"/>
      <c r="M2768" s="3">
        <f t="shared" si="101"/>
        <v>0</v>
      </c>
      <c r="O2768" s="5"/>
      <c r="S2768" s="6"/>
    </row>
    <row r="2769" spans="1:22" customFormat="1" x14ac:dyDescent="0.45">
      <c r="A2769">
        <v>550103</v>
      </c>
      <c r="B2769" t="s">
        <v>21589</v>
      </c>
      <c r="C2769" t="s">
        <v>21590</v>
      </c>
      <c r="D2769">
        <v>0</v>
      </c>
      <c r="E2769" t="s">
        <v>16561</v>
      </c>
      <c r="F2769" s="126"/>
      <c r="G2769" s="7">
        <v>0</v>
      </c>
      <c r="H2769" s="7">
        <v>0</v>
      </c>
      <c r="I2769" s="7">
        <v>0</v>
      </c>
      <c r="J2769" s="7">
        <v>0</v>
      </c>
      <c r="K2769" s="3">
        <f t="shared" si="100"/>
        <v>0</v>
      </c>
      <c r="L2769" s="3"/>
      <c r="M2769" s="3">
        <f t="shared" si="101"/>
        <v>0</v>
      </c>
      <c r="N2769" s="7"/>
      <c r="O2769" s="5"/>
      <c r="S2769" s="6"/>
    </row>
    <row r="2770" spans="1:22" customFormat="1" x14ac:dyDescent="0.45">
      <c r="A2770">
        <v>550126</v>
      </c>
      <c r="B2770" t="s">
        <v>21591</v>
      </c>
      <c r="C2770" t="s">
        <v>21592</v>
      </c>
      <c r="D2770">
        <v>5</v>
      </c>
      <c r="F2770" s="126"/>
      <c r="K2770" s="3">
        <f t="shared" si="100"/>
        <v>0</v>
      </c>
      <c r="L2770" s="3"/>
      <c r="M2770" s="3">
        <f t="shared" si="101"/>
        <v>0</v>
      </c>
      <c r="O2770" s="5"/>
      <c r="S2770" s="6"/>
    </row>
    <row r="2771" spans="1:22" customFormat="1" x14ac:dyDescent="0.45">
      <c r="A2771">
        <v>550350</v>
      </c>
      <c r="B2771" t="s">
        <v>21593</v>
      </c>
      <c r="C2771" t="s">
        <v>21594</v>
      </c>
      <c r="D2771">
        <v>1</v>
      </c>
      <c r="F2771" s="126"/>
      <c r="G2771" s="7">
        <v>0</v>
      </c>
      <c r="H2771" s="7">
        <v>0</v>
      </c>
      <c r="I2771" s="7">
        <v>0</v>
      </c>
      <c r="J2771" s="7">
        <v>0</v>
      </c>
      <c r="K2771" s="3">
        <f t="shared" si="100"/>
        <v>0</v>
      </c>
      <c r="L2771" s="3"/>
      <c r="M2771" s="3">
        <f t="shared" si="101"/>
        <v>0</v>
      </c>
      <c r="O2771" s="5"/>
      <c r="S2771" s="6"/>
    </row>
    <row r="2772" spans="1:22" customFormat="1" x14ac:dyDescent="0.45">
      <c r="A2772">
        <v>550716</v>
      </c>
      <c r="B2772" t="s">
        <v>21595</v>
      </c>
      <c r="C2772" t="s">
        <v>16331</v>
      </c>
      <c r="D2772">
        <v>1</v>
      </c>
      <c r="E2772" t="s">
        <v>16331</v>
      </c>
      <c r="F2772" s="126"/>
      <c r="G2772" s="7">
        <v>0</v>
      </c>
      <c r="H2772" s="7">
        <v>0</v>
      </c>
      <c r="I2772" s="7">
        <v>0</v>
      </c>
      <c r="J2772" s="7">
        <v>0</v>
      </c>
      <c r="K2772" s="3">
        <f t="shared" si="100"/>
        <v>0</v>
      </c>
      <c r="L2772" s="3"/>
      <c r="M2772" s="3">
        <f t="shared" si="101"/>
        <v>0</v>
      </c>
      <c r="O2772" s="5"/>
      <c r="S2772" s="6"/>
    </row>
    <row r="2773" spans="1:22" customFormat="1" x14ac:dyDescent="0.45">
      <c r="A2773">
        <v>551169</v>
      </c>
      <c r="B2773" t="s">
        <v>21596</v>
      </c>
      <c r="C2773" t="s">
        <v>21597</v>
      </c>
      <c r="D2773">
        <v>3</v>
      </c>
      <c r="F2773" s="126"/>
      <c r="G2773" s="7">
        <v>0</v>
      </c>
      <c r="H2773" s="7">
        <v>0</v>
      </c>
      <c r="I2773" s="7">
        <v>0</v>
      </c>
      <c r="J2773" s="7">
        <v>0</v>
      </c>
      <c r="K2773" s="3">
        <f t="shared" si="100"/>
        <v>0</v>
      </c>
      <c r="L2773" s="3"/>
      <c r="M2773" s="3">
        <f t="shared" si="101"/>
        <v>0</v>
      </c>
      <c r="O2773" s="5"/>
      <c r="S2773" s="6"/>
    </row>
    <row r="2774" spans="1:22" customFormat="1" x14ac:dyDescent="0.45">
      <c r="A2774">
        <v>551177</v>
      </c>
      <c r="B2774" t="s">
        <v>21598</v>
      </c>
      <c r="C2774" t="s">
        <v>21599</v>
      </c>
      <c r="D2774">
        <v>11</v>
      </c>
      <c r="F2774" s="126"/>
      <c r="G2774" s="3">
        <v>0</v>
      </c>
      <c r="H2774" s="3">
        <v>0</v>
      </c>
      <c r="I2774" s="3">
        <v>0</v>
      </c>
      <c r="J2774" s="3">
        <v>0</v>
      </c>
      <c r="K2774" s="3">
        <f t="shared" si="100"/>
        <v>0</v>
      </c>
      <c r="L2774" s="3"/>
      <c r="M2774" s="3">
        <f t="shared" si="101"/>
        <v>0</v>
      </c>
      <c r="O2774" s="5"/>
      <c r="S2774" s="6"/>
    </row>
    <row r="2775" spans="1:22" customFormat="1" x14ac:dyDescent="0.45">
      <c r="A2775">
        <v>551184</v>
      </c>
      <c r="B2775" t="s">
        <v>21600</v>
      </c>
      <c r="C2775" t="s">
        <v>16331</v>
      </c>
      <c r="D2775">
        <v>1</v>
      </c>
      <c r="E2775" t="s">
        <v>16331</v>
      </c>
      <c r="F2775" s="126"/>
      <c r="G2775" s="7">
        <v>0</v>
      </c>
      <c r="H2775" s="7">
        <v>0</v>
      </c>
      <c r="I2775" s="7">
        <v>0</v>
      </c>
      <c r="J2775" s="7">
        <v>0</v>
      </c>
      <c r="K2775" s="3">
        <f t="shared" si="100"/>
        <v>0</v>
      </c>
      <c r="L2775" s="3"/>
      <c r="M2775" s="3">
        <f t="shared" si="101"/>
        <v>0</v>
      </c>
      <c r="O2775" s="5"/>
      <c r="S2775" s="6"/>
    </row>
    <row r="2776" spans="1:22" customFormat="1" x14ac:dyDescent="0.45">
      <c r="A2776">
        <v>551202</v>
      </c>
      <c r="B2776" t="s">
        <v>21601</v>
      </c>
      <c r="C2776" t="s">
        <v>16331</v>
      </c>
      <c r="D2776">
        <v>1</v>
      </c>
      <c r="E2776" t="s">
        <v>16331</v>
      </c>
      <c r="F2776" s="126"/>
      <c r="G2776" s="7">
        <v>0</v>
      </c>
      <c r="H2776" s="7">
        <v>0</v>
      </c>
      <c r="I2776" s="7">
        <v>0</v>
      </c>
      <c r="J2776" s="7">
        <v>0</v>
      </c>
      <c r="K2776" s="3">
        <f t="shared" si="100"/>
        <v>0</v>
      </c>
      <c r="L2776" s="3"/>
      <c r="M2776" s="3">
        <f t="shared" si="101"/>
        <v>0</v>
      </c>
      <c r="O2776" s="5"/>
      <c r="S2776" s="6"/>
    </row>
    <row r="2777" spans="1:22" customFormat="1" x14ac:dyDescent="0.45">
      <c r="A2777">
        <v>551275</v>
      </c>
      <c r="B2777" t="s">
        <v>21602</v>
      </c>
      <c r="C2777" t="s">
        <v>21603</v>
      </c>
      <c r="D2777">
        <v>1</v>
      </c>
      <c r="F2777" s="126"/>
      <c r="G2777" s="7">
        <v>0</v>
      </c>
      <c r="H2777" s="7">
        <v>0</v>
      </c>
      <c r="I2777" s="7">
        <v>0</v>
      </c>
      <c r="J2777" s="7">
        <v>0</v>
      </c>
      <c r="K2777" s="3">
        <f t="shared" si="100"/>
        <v>0</v>
      </c>
      <c r="L2777" s="3"/>
      <c r="M2777" s="3">
        <f t="shared" si="101"/>
        <v>0</v>
      </c>
      <c r="O2777" s="5"/>
      <c r="S2777" s="6"/>
    </row>
    <row r="2778" spans="1:22" customFormat="1" x14ac:dyDescent="0.45">
      <c r="A2778">
        <v>551393</v>
      </c>
      <c r="B2778" t="s">
        <v>21604</v>
      </c>
      <c r="C2778" t="s">
        <v>16331</v>
      </c>
      <c r="D2778">
        <v>1</v>
      </c>
      <c r="E2778" t="s">
        <v>16331</v>
      </c>
      <c r="F2778" s="126"/>
      <c r="G2778" s="7">
        <v>0</v>
      </c>
      <c r="H2778" s="7">
        <v>0</v>
      </c>
      <c r="I2778" s="7">
        <v>0</v>
      </c>
      <c r="J2778" s="7">
        <v>0</v>
      </c>
      <c r="K2778" s="3">
        <f t="shared" ref="K2778:K2784" si="102">SUM(G2778:J2778)</f>
        <v>0</v>
      </c>
      <c r="L2778" s="3"/>
      <c r="M2778" s="3">
        <f t="shared" ref="M2778:M2784" si="103">K2778+F2778</f>
        <v>0</v>
      </c>
      <c r="O2778" s="5"/>
      <c r="S2778" s="6"/>
    </row>
    <row r="2779" spans="1:22" customFormat="1" x14ac:dyDescent="0.45">
      <c r="A2779">
        <v>551407</v>
      </c>
      <c r="B2779" t="s">
        <v>21605</v>
      </c>
      <c r="C2779" t="s">
        <v>21606</v>
      </c>
      <c r="D2779">
        <v>1</v>
      </c>
      <c r="F2779" s="126"/>
      <c r="G2779" s="7">
        <v>0</v>
      </c>
      <c r="H2779" s="7">
        <v>0</v>
      </c>
      <c r="I2779" s="7">
        <v>0</v>
      </c>
      <c r="J2779" s="7">
        <v>0</v>
      </c>
      <c r="K2779" s="3">
        <f t="shared" si="102"/>
        <v>0</v>
      </c>
      <c r="L2779" s="3"/>
      <c r="M2779" s="3">
        <f t="shared" si="103"/>
        <v>0</v>
      </c>
      <c r="O2779" s="5"/>
      <c r="S2779" s="6"/>
    </row>
    <row r="2780" spans="1:22" customFormat="1" x14ac:dyDescent="0.45">
      <c r="A2780">
        <v>551422</v>
      </c>
      <c r="B2780" t="s">
        <v>21607</v>
      </c>
      <c r="C2780" t="s">
        <v>21608</v>
      </c>
      <c r="D2780">
        <v>1</v>
      </c>
      <c r="F2780" s="126"/>
      <c r="G2780" s="7">
        <v>0</v>
      </c>
      <c r="H2780" s="7">
        <v>0</v>
      </c>
      <c r="I2780" s="7">
        <v>0</v>
      </c>
      <c r="J2780" s="7">
        <v>0</v>
      </c>
      <c r="K2780" s="3">
        <f t="shared" si="102"/>
        <v>0</v>
      </c>
      <c r="L2780" s="3"/>
      <c r="M2780" s="3">
        <f t="shared" si="103"/>
        <v>0</v>
      </c>
      <c r="N2780" s="7"/>
      <c r="O2780" s="5"/>
      <c r="S2780" s="6"/>
    </row>
    <row r="2781" spans="1:22" customFormat="1" x14ac:dyDescent="0.45">
      <c r="A2781">
        <v>551734</v>
      </c>
      <c r="B2781" t="s">
        <v>21609</v>
      </c>
      <c r="C2781" t="s">
        <v>16331</v>
      </c>
      <c r="D2781">
        <v>1</v>
      </c>
      <c r="E2781" t="s">
        <v>16331</v>
      </c>
      <c r="F2781" s="126"/>
      <c r="G2781" s="7">
        <v>0</v>
      </c>
      <c r="H2781" s="7">
        <v>0</v>
      </c>
      <c r="I2781" s="7">
        <v>0</v>
      </c>
      <c r="J2781" s="7">
        <v>0</v>
      </c>
      <c r="K2781" s="3">
        <f t="shared" si="102"/>
        <v>0</v>
      </c>
      <c r="L2781" s="3"/>
      <c r="M2781" s="3">
        <f t="shared" si="103"/>
        <v>0</v>
      </c>
      <c r="O2781" s="5"/>
      <c r="S2781" s="6"/>
    </row>
    <row r="2782" spans="1:22" customFormat="1" x14ac:dyDescent="0.45">
      <c r="A2782">
        <v>551744</v>
      </c>
      <c r="B2782" t="s">
        <v>21610</v>
      </c>
      <c r="C2782" t="s">
        <v>21611</v>
      </c>
      <c r="D2782">
        <v>4</v>
      </c>
      <c r="F2782" s="126"/>
      <c r="G2782" s="7">
        <v>0</v>
      </c>
      <c r="H2782" s="7">
        <v>0</v>
      </c>
      <c r="I2782" s="7">
        <v>0</v>
      </c>
      <c r="J2782" s="7">
        <v>0</v>
      </c>
      <c r="K2782" s="3">
        <f t="shared" si="102"/>
        <v>0</v>
      </c>
      <c r="L2782" s="3"/>
      <c r="M2782" s="3">
        <f t="shared" si="103"/>
        <v>0</v>
      </c>
      <c r="O2782" s="5"/>
      <c r="S2782" s="6"/>
    </row>
    <row r="2783" spans="1:22" x14ac:dyDescent="0.45">
      <c r="A2783" s="124">
        <v>122287</v>
      </c>
      <c r="B2783" s="124" t="s">
        <v>21612</v>
      </c>
      <c r="C2783" s="124" t="s">
        <v>21613</v>
      </c>
      <c r="D2783" s="124">
        <v>217</v>
      </c>
      <c r="E2783" s="124" t="s">
        <v>16417</v>
      </c>
      <c r="F2783" s="126">
        <v>5.4999999999999997E-3</v>
      </c>
      <c r="G2783" s="126">
        <v>0.03</v>
      </c>
      <c r="H2783" s="126">
        <v>0</v>
      </c>
      <c r="I2783" s="127"/>
      <c r="J2783" s="127">
        <v>0</v>
      </c>
      <c r="K2783" s="126">
        <f t="shared" si="102"/>
        <v>0.03</v>
      </c>
      <c r="L2783" s="3"/>
      <c r="M2783" s="126">
        <f t="shared" si="103"/>
        <v>3.5499999999999997E-2</v>
      </c>
      <c r="N2783" s="124" t="s">
        <v>21614</v>
      </c>
      <c r="O2783" s="125" t="s">
        <v>21577</v>
      </c>
      <c r="P2783" s="125" t="s">
        <v>21578</v>
      </c>
      <c r="Q2783" s="130">
        <v>62860000000</v>
      </c>
      <c r="R2783" s="130" t="s">
        <v>16</v>
      </c>
      <c r="S2783" s="130">
        <v>1497000000</v>
      </c>
      <c r="T2783" s="129">
        <f>S2783/Q2783</f>
        <v>2.3814826598790965E-2</v>
      </c>
      <c r="U2783" s="130"/>
      <c r="V2783" s="125" t="s">
        <v>21615</v>
      </c>
    </row>
    <row r="2784" spans="1:22" customFormat="1" x14ac:dyDescent="0.45">
      <c r="A2784">
        <v>552440</v>
      </c>
      <c r="B2784" t="s">
        <v>21616</v>
      </c>
      <c r="C2784" t="s">
        <v>21617</v>
      </c>
      <c r="D2784">
        <v>1</v>
      </c>
      <c r="F2784" s="126"/>
      <c r="G2784" s="7">
        <v>0</v>
      </c>
      <c r="H2784" s="7">
        <v>0</v>
      </c>
      <c r="I2784" s="7">
        <v>0</v>
      </c>
      <c r="J2784" s="7">
        <v>0</v>
      </c>
      <c r="K2784" s="3">
        <f t="shared" si="102"/>
        <v>0</v>
      </c>
      <c r="L2784" s="3"/>
      <c r="M2784" s="3">
        <f t="shared" si="103"/>
        <v>0</v>
      </c>
      <c r="O2784" s="5"/>
      <c r="S2784" s="6"/>
    </row>
    <row r="2785" spans="1:19" customFormat="1" x14ac:dyDescent="0.45">
      <c r="A2785">
        <v>552510</v>
      </c>
      <c r="B2785" t="s">
        <v>21618</v>
      </c>
      <c r="C2785" t="s">
        <v>21619</v>
      </c>
      <c r="D2785">
        <v>1</v>
      </c>
      <c r="E2785" t="s">
        <v>16334</v>
      </c>
      <c r="F2785" s="126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/>
      <c r="M2785" s="3">
        <v>0</v>
      </c>
      <c r="O2785" s="5"/>
      <c r="S2785" s="6"/>
    </row>
    <row r="2786" spans="1:19" customFormat="1" x14ac:dyDescent="0.45">
      <c r="A2786">
        <v>552583</v>
      </c>
      <c r="B2786" t="s">
        <v>21620</v>
      </c>
      <c r="C2786" t="s">
        <v>21621</v>
      </c>
      <c r="D2786">
        <v>3</v>
      </c>
      <c r="F2786" s="126"/>
      <c r="G2786" s="7">
        <v>0</v>
      </c>
      <c r="H2786" s="7">
        <v>0</v>
      </c>
      <c r="I2786" s="7">
        <v>0</v>
      </c>
      <c r="J2786" s="7">
        <v>0</v>
      </c>
      <c r="K2786" s="3">
        <f t="shared" ref="K2786:K2849" si="104">SUM(G2786:J2786)</f>
        <v>0</v>
      </c>
      <c r="L2786" s="3"/>
      <c r="M2786" s="3">
        <f t="shared" ref="M2786:M2849" si="105">K2786+F2786</f>
        <v>0</v>
      </c>
      <c r="O2786" s="5"/>
      <c r="S2786" s="6"/>
    </row>
    <row r="2787" spans="1:19" customFormat="1" x14ac:dyDescent="0.45">
      <c r="A2787">
        <v>552630</v>
      </c>
      <c r="B2787" t="s">
        <v>21622</v>
      </c>
      <c r="C2787" t="s">
        <v>21623</v>
      </c>
      <c r="D2787">
        <v>2</v>
      </c>
      <c r="F2787" s="126"/>
      <c r="G2787" s="7">
        <v>0</v>
      </c>
      <c r="H2787" s="7">
        <v>0</v>
      </c>
      <c r="I2787" s="7">
        <v>0</v>
      </c>
      <c r="J2787" s="7">
        <v>0</v>
      </c>
      <c r="K2787" s="3">
        <f t="shared" si="104"/>
        <v>0</v>
      </c>
      <c r="L2787" s="3"/>
      <c r="M2787" s="3">
        <f t="shared" si="105"/>
        <v>0</v>
      </c>
      <c r="O2787" s="5"/>
      <c r="S2787" s="6"/>
    </row>
    <row r="2788" spans="1:19" customFormat="1" x14ac:dyDescent="0.45">
      <c r="A2788">
        <v>552875</v>
      </c>
      <c r="B2788" t="s">
        <v>21624</v>
      </c>
      <c r="C2788" t="s">
        <v>21625</v>
      </c>
      <c r="D2788">
        <v>3</v>
      </c>
      <c r="F2788" s="126"/>
      <c r="G2788" s="7">
        <v>0</v>
      </c>
      <c r="H2788" s="7">
        <v>0</v>
      </c>
      <c r="I2788" s="7">
        <v>0</v>
      </c>
      <c r="J2788" s="7">
        <v>0</v>
      </c>
      <c r="K2788" s="3">
        <f t="shared" si="104"/>
        <v>0</v>
      </c>
      <c r="L2788" s="3"/>
      <c r="M2788" s="3">
        <f t="shared" si="105"/>
        <v>0</v>
      </c>
      <c r="O2788" s="5"/>
      <c r="S2788" s="6"/>
    </row>
    <row r="2789" spans="1:19" customFormat="1" x14ac:dyDescent="0.45">
      <c r="A2789">
        <v>552894</v>
      </c>
      <c r="B2789" t="s">
        <v>21626</v>
      </c>
      <c r="C2789" t="s">
        <v>16331</v>
      </c>
      <c r="D2789">
        <v>0</v>
      </c>
      <c r="E2789" t="s">
        <v>16331</v>
      </c>
      <c r="F2789" s="126"/>
      <c r="G2789" s="7">
        <v>0</v>
      </c>
      <c r="H2789" s="7">
        <v>0</v>
      </c>
      <c r="I2789" s="7">
        <v>0</v>
      </c>
      <c r="J2789" s="7">
        <v>0</v>
      </c>
      <c r="K2789" s="3">
        <f t="shared" si="104"/>
        <v>0</v>
      </c>
      <c r="L2789" s="3"/>
      <c r="M2789" s="3">
        <f t="shared" si="105"/>
        <v>0</v>
      </c>
      <c r="N2789" s="7"/>
      <c r="O2789" s="5"/>
      <c r="S2789" s="6"/>
    </row>
    <row r="2790" spans="1:19" customFormat="1" x14ac:dyDescent="0.45">
      <c r="A2790">
        <v>552922</v>
      </c>
      <c r="B2790" t="s">
        <v>21627</v>
      </c>
      <c r="C2790" t="s">
        <v>21628</v>
      </c>
      <c r="D2790">
        <v>5</v>
      </c>
      <c r="F2790" s="126"/>
      <c r="G2790" s="3">
        <v>0</v>
      </c>
      <c r="H2790" s="3">
        <v>0</v>
      </c>
      <c r="I2790" s="3">
        <v>0</v>
      </c>
      <c r="J2790" s="3">
        <v>0</v>
      </c>
      <c r="K2790" s="3">
        <f t="shared" si="104"/>
        <v>0</v>
      </c>
      <c r="L2790" s="3"/>
      <c r="M2790" s="3">
        <f t="shared" si="105"/>
        <v>0</v>
      </c>
      <c r="O2790" s="5"/>
      <c r="S2790" s="6"/>
    </row>
    <row r="2791" spans="1:19" customFormat="1" x14ac:dyDescent="0.45">
      <c r="A2791">
        <v>552925</v>
      </c>
      <c r="B2791" t="s">
        <v>21629</v>
      </c>
      <c r="C2791" t="s">
        <v>21630</v>
      </c>
      <c r="D2791">
        <v>6</v>
      </c>
      <c r="F2791" s="126"/>
      <c r="G2791" s="7">
        <v>0</v>
      </c>
      <c r="H2791" s="7">
        <v>0</v>
      </c>
      <c r="I2791" s="7">
        <v>0</v>
      </c>
      <c r="J2791" s="7">
        <v>0</v>
      </c>
      <c r="K2791" s="3">
        <f t="shared" si="104"/>
        <v>0</v>
      </c>
      <c r="L2791" s="3"/>
      <c r="M2791" s="3">
        <f t="shared" si="105"/>
        <v>0</v>
      </c>
      <c r="O2791" s="5"/>
      <c r="S2791" s="6"/>
    </row>
    <row r="2792" spans="1:19" customFormat="1" x14ac:dyDescent="0.45">
      <c r="A2792">
        <v>552957</v>
      </c>
      <c r="B2792" t="s">
        <v>21631</v>
      </c>
      <c r="C2792" t="s">
        <v>21632</v>
      </c>
      <c r="D2792">
        <v>1</v>
      </c>
      <c r="F2792" s="126"/>
      <c r="G2792" s="7">
        <v>0</v>
      </c>
      <c r="H2792" s="7">
        <v>0</v>
      </c>
      <c r="I2792" s="7">
        <v>0</v>
      </c>
      <c r="J2792" s="7">
        <v>0</v>
      </c>
      <c r="K2792" s="3">
        <f t="shared" si="104"/>
        <v>0</v>
      </c>
      <c r="L2792" s="3"/>
      <c r="M2792" s="3">
        <f t="shared" si="105"/>
        <v>0</v>
      </c>
      <c r="N2792" s="7"/>
      <c r="O2792" s="5"/>
      <c r="S2792" s="6"/>
    </row>
    <row r="2793" spans="1:19" customFormat="1" x14ac:dyDescent="0.45">
      <c r="A2793">
        <v>553200</v>
      </c>
      <c r="B2793" t="s">
        <v>21633</v>
      </c>
      <c r="C2793" t="s">
        <v>21634</v>
      </c>
      <c r="D2793">
        <v>4</v>
      </c>
      <c r="F2793" s="126"/>
      <c r="G2793" s="7">
        <v>0</v>
      </c>
      <c r="H2793" s="7">
        <v>0</v>
      </c>
      <c r="I2793" s="7">
        <v>0</v>
      </c>
      <c r="J2793" s="7">
        <v>0</v>
      </c>
      <c r="K2793" s="3">
        <f t="shared" si="104"/>
        <v>0</v>
      </c>
      <c r="L2793" s="3"/>
      <c r="M2793" s="3">
        <f t="shared" si="105"/>
        <v>0</v>
      </c>
      <c r="O2793" s="5"/>
      <c r="S2793" s="6"/>
    </row>
    <row r="2794" spans="1:19" customFormat="1" x14ac:dyDescent="0.45">
      <c r="A2794">
        <v>553307</v>
      </c>
      <c r="B2794" t="s">
        <v>21635</v>
      </c>
      <c r="C2794" t="s">
        <v>21636</v>
      </c>
      <c r="D2794">
        <v>3</v>
      </c>
      <c r="F2794" s="126"/>
      <c r="G2794" s="7">
        <v>0</v>
      </c>
      <c r="H2794" s="7">
        <v>0</v>
      </c>
      <c r="I2794" s="7">
        <v>0</v>
      </c>
      <c r="J2794" s="7">
        <v>0</v>
      </c>
      <c r="K2794" s="3">
        <f t="shared" si="104"/>
        <v>0</v>
      </c>
      <c r="L2794" s="3"/>
      <c r="M2794" s="3">
        <f t="shared" si="105"/>
        <v>0</v>
      </c>
      <c r="O2794" s="5"/>
      <c r="S2794" s="6"/>
    </row>
    <row r="2795" spans="1:19" customFormat="1" x14ac:dyDescent="0.45">
      <c r="A2795">
        <v>553377</v>
      </c>
      <c r="B2795" t="s">
        <v>21637</v>
      </c>
      <c r="C2795" t="s">
        <v>21638</v>
      </c>
      <c r="D2795">
        <v>1</v>
      </c>
      <c r="F2795" s="126"/>
      <c r="K2795" s="3">
        <f t="shared" si="104"/>
        <v>0</v>
      </c>
      <c r="L2795" s="3"/>
      <c r="M2795" s="3">
        <f t="shared" si="105"/>
        <v>0</v>
      </c>
      <c r="O2795" s="5"/>
      <c r="S2795" s="6"/>
    </row>
    <row r="2796" spans="1:19" customFormat="1" x14ac:dyDescent="0.45">
      <c r="A2796">
        <v>553610</v>
      </c>
      <c r="B2796" t="s">
        <v>21639</v>
      </c>
      <c r="C2796" t="s">
        <v>21640</v>
      </c>
      <c r="D2796">
        <v>2</v>
      </c>
      <c r="F2796" s="126"/>
      <c r="K2796" s="3">
        <f t="shared" si="104"/>
        <v>0</v>
      </c>
      <c r="L2796" s="3"/>
      <c r="M2796" s="3">
        <f t="shared" si="105"/>
        <v>0</v>
      </c>
      <c r="O2796" s="5"/>
      <c r="S2796" s="6"/>
    </row>
    <row r="2797" spans="1:19" customFormat="1" x14ac:dyDescent="0.45">
      <c r="A2797">
        <v>553929</v>
      </c>
      <c r="B2797" t="s">
        <v>21641</v>
      </c>
      <c r="C2797" t="s">
        <v>21642</v>
      </c>
      <c r="D2797">
        <v>1</v>
      </c>
      <c r="F2797" s="126"/>
      <c r="G2797" s="7">
        <v>0</v>
      </c>
      <c r="H2797" s="7">
        <v>0</v>
      </c>
      <c r="I2797" s="7">
        <v>0</v>
      </c>
      <c r="J2797" s="7">
        <v>0</v>
      </c>
      <c r="K2797" s="3">
        <f t="shared" si="104"/>
        <v>0</v>
      </c>
      <c r="L2797" s="3"/>
      <c r="M2797" s="3">
        <f t="shared" si="105"/>
        <v>0</v>
      </c>
      <c r="O2797" s="5"/>
      <c r="S2797" s="6"/>
    </row>
    <row r="2798" spans="1:19" customFormat="1" x14ac:dyDescent="0.45">
      <c r="A2798">
        <v>554090</v>
      </c>
      <c r="B2798" t="s">
        <v>21643</v>
      </c>
      <c r="C2798" t="s">
        <v>21644</v>
      </c>
      <c r="D2798">
        <v>9</v>
      </c>
      <c r="F2798" s="126"/>
      <c r="G2798" s="3">
        <v>0</v>
      </c>
      <c r="H2798" s="3">
        <v>0</v>
      </c>
      <c r="I2798" s="3">
        <v>0</v>
      </c>
      <c r="J2798" s="3">
        <v>0</v>
      </c>
      <c r="K2798" s="3">
        <f t="shared" si="104"/>
        <v>0</v>
      </c>
      <c r="L2798" s="3"/>
      <c r="M2798" s="3">
        <f t="shared" si="105"/>
        <v>0</v>
      </c>
      <c r="O2798" s="5"/>
      <c r="S2798" s="6"/>
    </row>
    <row r="2799" spans="1:19" customFormat="1" x14ac:dyDescent="0.45">
      <c r="A2799">
        <v>554442</v>
      </c>
      <c r="B2799" t="s">
        <v>21645</v>
      </c>
      <c r="C2799" t="s">
        <v>16331</v>
      </c>
      <c r="D2799">
        <v>1</v>
      </c>
      <c r="E2799" t="s">
        <v>16331</v>
      </c>
      <c r="F2799" s="126"/>
      <c r="G2799" s="7">
        <v>0</v>
      </c>
      <c r="H2799" s="7">
        <v>0</v>
      </c>
      <c r="I2799" s="7">
        <v>0</v>
      </c>
      <c r="J2799" s="7">
        <v>0</v>
      </c>
      <c r="K2799" s="3">
        <f t="shared" si="104"/>
        <v>0</v>
      </c>
      <c r="L2799" s="3"/>
      <c r="M2799" s="3">
        <f t="shared" si="105"/>
        <v>0</v>
      </c>
      <c r="O2799" s="5"/>
      <c r="S2799" s="6"/>
    </row>
    <row r="2800" spans="1:19" customFormat="1" x14ac:dyDescent="0.45">
      <c r="A2800">
        <v>554450</v>
      </c>
      <c r="B2800" t="s">
        <v>21646</v>
      </c>
      <c r="C2800" t="s">
        <v>21647</v>
      </c>
      <c r="D2800">
        <v>1</v>
      </c>
      <c r="F2800" s="126"/>
      <c r="G2800" s="3">
        <v>0</v>
      </c>
      <c r="H2800" s="3">
        <v>0</v>
      </c>
      <c r="I2800" s="3">
        <v>0</v>
      </c>
      <c r="J2800" s="3">
        <v>0</v>
      </c>
      <c r="K2800" s="3">
        <f t="shared" si="104"/>
        <v>0</v>
      </c>
      <c r="L2800" s="3"/>
      <c r="M2800" s="3">
        <f t="shared" si="105"/>
        <v>0</v>
      </c>
      <c r="O2800" s="5"/>
      <c r="S2800" s="6"/>
    </row>
    <row r="2801" spans="1:22" customFormat="1" x14ac:dyDescent="0.45">
      <c r="A2801">
        <v>554459</v>
      </c>
      <c r="B2801" t="s">
        <v>21648</v>
      </c>
      <c r="C2801" t="s">
        <v>21649</v>
      </c>
      <c r="D2801">
        <v>0</v>
      </c>
      <c r="E2801" t="s">
        <v>16334</v>
      </c>
      <c r="F2801" s="126"/>
      <c r="G2801" s="3">
        <v>0</v>
      </c>
      <c r="H2801" s="3">
        <v>0</v>
      </c>
      <c r="I2801" s="3">
        <v>0</v>
      </c>
      <c r="J2801" s="3">
        <v>0</v>
      </c>
      <c r="K2801" s="3">
        <f t="shared" si="104"/>
        <v>0</v>
      </c>
      <c r="L2801" s="3"/>
      <c r="M2801" s="3">
        <f t="shared" si="105"/>
        <v>0</v>
      </c>
      <c r="O2801" s="5"/>
      <c r="S2801" s="6"/>
    </row>
    <row r="2802" spans="1:22" customFormat="1" x14ac:dyDescent="0.45">
      <c r="A2802">
        <v>554912</v>
      </c>
      <c r="B2802" t="s">
        <v>21650</v>
      </c>
      <c r="C2802" t="s">
        <v>21651</v>
      </c>
      <c r="D2802">
        <v>1</v>
      </c>
      <c r="F2802" s="126"/>
      <c r="G2802" s="7">
        <v>0</v>
      </c>
      <c r="H2802" s="7">
        <v>0</v>
      </c>
      <c r="I2802" s="7">
        <v>0</v>
      </c>
      <c r="J2802" s="7">
        <v>0</v>
      </c>
      <c r="K2802" s="3">
        <f t="shared" si="104"/>
        <v>0</v>
      </c>
      <c r="L2802" s="3"/>
      <c r="M2802" s="3">
        <f t="shared" si="105"/>
        <v>0</v>
      </c>
      <c r="O2802" s="5"/>
      <c r="S2802" s="6"/>
    </row>
    <row r="2803" spans="1:22" x14ac:dyDescent="0.45">
      <c r="A2803" s="124">
        <v>114724</v>
      </c>
      <c r="B2803" s="124" t="s">
        <v>21652</v>
      </c>
      <c r="C2803" s="125" t="s">
        <v>21653</v>
      </c>
      <c r="D2803" s="124">
        <v>78</v>
      </c>
      <c r="E2803" s="124" t="s">
        <v>16417</v>
      </c>
      <c r="F2803" s="126">
        <f>0.4%+0.15%</f>
        <v>5.4999999999999997E-3</v>
      </c>
      <c r="G2803" s="126">
        <v>0.03</v>
      </c>
      <c r="H2803" s="126">
        <v>0</v>
      </c>
      <c r="I2803" s="127"/>
      <c r="J2803" s="127">
        <v>0</v>
      </c>
      <c r="K2803" s="126">
        <f t="shared" si="104"/>
        <v>0.03</v>
      </c>
      <c r="L2803" s="3"/>
      <c r="M2803" s="126">
        <f t="shared" si="105"/>
        <v>3.5499999999999997E-2</v>
      </c>
      <c r="N2803" s="124" t="s">
        <v>21654</v>
      </c>
      <c r="O2803" s="125" t="s">
        <v>21655</v>
      </c>
      <c r="P2803" s="125" t="s">
        <v>21577</v>
      </c>
      <c r="Q2803" s="130">
        <v>90476000000</v>
      </c>
      <c r="R2803" s="130" t="s">
        <v>16</v>
      </c>
      <c r="S2803" s="130">
        <v>3249000000</v>
      </c>
      <c r="T2803" s="129">
        <f>S2803/Q2803</f>
        <v>3.5910075600159158E-2</v>
      </c>
      <c r="U2803" s="130"/>
      <c r="V2803" s="125" t="s">
        <v>21656</v>
      </c>
    </row>
    <row r="2804" spans="1:22" customFormat="1" x14ac:dyDescent="0.45">
      <c r="A2804">
        <v>555567</v>
      </c>
      <c r="B2804" t="s">
        <v>21657</v>
      </c>
      <c r="C2804" t="s">
        <v>21658</v>
      </c>
      <c r="D2804">
        <v>1</v>
      </c>
      <c r="F2804" s="126"/>
      <c r="G2804" s="7">
        <v>0</v>
      </c>
      <c r="H2804" s="7">
        <v>0</v>
      </c>
      <c r="I2804" s="7">
        <v>0</v>
      </c>
      <c r="J2804" s="7">
        <v>0</v>
      </c>
      <c r="K2804" s="3">
        <f t="shared" si="104"/>
        <v>0</v>
      </c>
      <c r="L2804" s="3"/>
      <c r="M2804" s="3">
        <f t="shared" si="105"/>
        <v>0</v>
      </c>
      <c r="O2804" s="5"/>
      <c r="S2804" s="6"/>
    </row>
    <row r="2805" spans="1:22" customFormat="1" x14ac:dyDescent="0.45">
      <c r="A2805">
        <v>555895</v>
      </c>
      <c r="B2805" t="s">
        <v>21659</v>
      </c>
      <c r="C2805" s="2" t="s">
        <v>21660</v>
      </c>
      <c r="D2805">
        <v>0</v>
      </c>
      <c r="E2805" t="s">
        <v>16561</v>
      </c>
      <c r="F2805" s="126"/>
      <c r="G2805" s="3">
        <v>0</v>
      </c>
      <c r="H2805" s="3">
        <v>0</v>
      </c>
      <c r="I2805" s="3">
        <v>0</v>
      </c>
      <c r="J2805" s="3">
        <v>0</v>
      </c>
      <c r="K2805" s="3">
        <f t="shared" si="104"/>
        <v>0</v>
      </c>
      <c r="L2805" s="3"/>
      <c r="M2805" s="3">
        <f t="shared" si="105"/>
        <v>0</v>
      </c>
      <c r="O2805" s="5"/>
      <c r="S2805" s="6"/>
    </row>
    <row r="2806" spans="1:22" customFormat="1" x14ac:dyDescent="0.45">
      <c r="A2806">
        <v>555911</v>
      </c>
      <c r="B2806" t="s">
        <v>21661</v>
      </c>
      <c r="C2806" t="s">
        <v>21662</v>
      </c>
      <c r="D2806">
        <v>8</v>
      </c>
      <c r="F2806" s="126"/>
      <c r="G2806" s="7">
        <v>0</v>
      </c>
      <c r="H2806" s="7">
        <v>0</v>
      </c>
      <c r="I2806" s="7">
        <v>0</v>
      </c>
      <c r="J2806" s="7">
        <v>0</v>
      </c>
      <c r="K2806" s="3">
        <f t="shared" si="104"/>
        <v>0</v>
      </c>
      <c r="L2806" s="3"/>
      <c r="M2806" s="3">
        <f t="shared" si="105"/>
        <v>0</v>
      </c>
      <c r="O2806" s="5"/>
      <c r="S2806" s="6"/>
    </row>
    <row r="2807" spans="1:22" customFormat="1" x14ac:dyDescent="0.45">
      <c r="A2807">
        <v>556365</v>
      </c>
      <c r="B2807" t="s">
        <v>21663</v>
      </c>
      <c r="C2807" t="s">
        <v>16331</v>
      </c>
      <c r="D2807">
        <v>1</v>
      </c>
      <c r="E2807" t="s">
        <v>16331</v>
      </c>
      <c r="F2807" s="126"/>
      <c r="G2807" s="7">
        <v>0</v>
      </c>
      <c r="H2807" s="7">
        <v>0</v>
      </c>
      <c r="I2807" s="7">
        <v>0</v>
      </c>
      <c r="J2807" s="7">
        <v>0</v>
      </c>
      <c r="K2807" s="3">
        <f t="shared" si="104"/>
        <v>0</v>
      </c>
      <c r="L2807" s="3"/>
      <c r="M2807" s="3">
        <f t="shared" si="105"/>
        <v>0</v>
      </c>
      <c r="O2807" s="5"/>
      <c r="S2807" s="6"/>
    </row>
    <row r="2808" spans="1:22" customFormat="1" x14ac:dyDescent="0.45">
      <c r="A2808">
        <v>556371</v>
      </c>
      <c r="B2808" t="s">
        <v>21664</v>
      </c>
      <c r="C2808" t="s">
        <v>21665</v>
      </c>
      <c r="D2808">
        <v>1</v>
      </c>
      <c r="F2808" s="126"/>
      <c r="G2808" s="7">
        <v>0</v>
      </c>
      <c r="H2808" s="7">
        <v>0</v>
      </c>
      <c r="I2808" s="7">
        <v>0</v>
      </c>
      <c r="J2808" s="7">
        <v>0</v>
      </c>
      <c r="K2808" s="3">
        <f t="shared" si="104"/>
        <v>0</v>
      </c>
      <c r="L2808" s="3"/>
      <c r="M2808" s="3">
        <f t="shared" si="105"/>
        <v>0</v>
      </c>
      <c r="N2808" s="7"/>
      <c r="O2808" s="5"/>
      <c r="S2808" s="6"/>
    </row>
    <row r="2809" spans="1:22" customFormat="1" x14ac:dyDescent="0.45">
      <c r="A2809">
        <v>556964</v>
      </c>
      <c r="B2809" t="s">
        <v>21666</v>
      </c>
      <c r="C2809" t="s">
        <v>21667</v>
      </c>
      <c r="D2809">
        <v>1</v>
      </c>
      <c r="F2809" s="126"/>
      <c r="G2809" s="7">
        <v>0</v>
      </c>
      <c r="H2809" s="7">
        <v>0</v>
      </c>
      <c r="I2809" s="7">
        <v>0</v>
      </c>
      <c r="J2809" s="7">
        <v>0</v>
      </c>
      <c r="K2809" s="3">
        <f t="shared" si="104"/>
        <v>0</v>
      </c>
      <c r="L2809" s="3"/>
      <c r="M2809" s="3">
        <f t="shared" si="105"/>
        <v>0</v>
      </c>
      <c r="O2809" s="5"/>
      <c r="S2809" s="6"/>
    </row>
    <row r="2810" spans="1:22" customFormat="1" x14ac:dyDescent="0.45">
      <c r="A2810">
        <v>557959</v>
      </c>
      <c r="B2810" t="s">
        <v>21668</v>
      </c>
      <c r="C2810" t="s">
        <v>21669</v>
      </c>
      <c r="D2810">
        <v>3</v>
      </c>
      <c r="F2810" s="126"/>
      <c r="G2810" s="19"/>
      <c r="H2810" s="19"/>
      <c r="I2810" s="19"/>
      <c r="J2810" s="19"/>
      <c r="K2810" s="3">
        <f t="shared" si="104"/>
        <v>0</v>
      </c>
      <c r="L2810" s="3"/>
      <c r="M2810" s="3">
        <f t="shared" si="105"/>
        <v>0</v>
      </c>
      <c r="O2810" s="5"/>
      <c r="S2810" s="6"/>
    </row>
    <row r="2811" spans="1:22" customFormat="1" x14ac:dyDescent="0.45">
      <c r="A2811">
        <v>559364</v>
      </c>
      <c r="B2811" t="s">
        <v>21670</v>
      </c>
      <c r="C2811" t="s">
        <v>16331</v>
      </c>
      <c r="D2811">
        <v>1</v>
      </c>
      <c r="E2811" t="s">
        <v>16331</v>
      </c>
      <c r="F2811" s="126"/>
      <c r="G2811" s="7">
        <v>0</v>
      </c>
      <c r="H2811" s="7">
        <v>0</v>
      </c>
      <c r="I2811" s="7">
        <v>0</v>
      </c>
      <c r="J2811" s="7">
        <v>0</v>
      </c>
      <c r="K2811" s="3">
        <f t="shared" si="104"/>
        <v>0</v>
      </c>
      <c r="L2811" s="3"/>
      <c r="M2811" s="3">
        <f t="shared" si="105"/>
        <v>0</v>
      </c>
      <c r="O2811" s="5"/>
      <c r="S2811" s="6"/>
    </row>
    <row r="2812" spans="1:22" customFormat="1" x14ac:dyDescent="0.45">
      <c r="A2812">
        <v>559393</v>
      </c>
      <c r="B2812" t="s">
        <v>21671</v>
      </c>
      <c r="C2812" t="s">
        <v>16331</v>
      </c>
      <c r="D2812">
        <v>1</v>
      </c>
      <c r="E2812" t="s">
        <v>16331</v>
      </c>
      <c r="F2812" s="126"/>
      <c r="G2812" s="7">
        <v>0</v>
      </c>
      <c r="H2812" s="7">
        <v>0</v>
      </c>
      <c r="I2812" s="7">
        <v>0</v>
      </c>
      <c r="J2812" s="7">
        <v>0</v>
      </c>
      <c r="K2812" s="3">
        <f t="shared" si="104"/>
        <v>0</v>
      </c>
      <c r="L2812" s="3"/>
      <c r="M2812" s="3">
        <f t="shared" si="105"/>
        <v>0</v>
      </c>
      <c r="O2812" s="5"/>
      <c r="S2812" s="6"/>
    </row>
    <row r="2813" spans="1:22" customFormat="1" x14ac:dyDescent="0.45">
      <c r="A2813">
        <v>560722</v>
      </c>
      <c r="B2813" t="s">
        <v>21672</v>
      </c>
      <c r="C2813" t="s">
        <v>21673</v>
      </c>
      <c r="D2813">
        <v>1</v>
      </c>
      <c r="F2813" s="126"/>
      <c r="G2813" s="7">
        <v>0</v>
      </c>
      <c r="H2813" s="7">
        <v>0</v>
      </c>
      <c r="I2813" s="7">
        <v>0</v>
      </c>
      <c r="J2813" s="7">
        <v>0</v>
      </c>
      <c r="K2813" s="3">
        <f t="shared" si="104"/>
        <v>0</v>
      </c>
      <c r="L2813" s="3"/>
      <c r="M2813" s="3">
        <f t="shared" si="105"/>
        <v>0</v>
      </c>
      <c r="O2813" s="5"/>
      <c r="S2813" s="6"/>
    </row>
    <row r="2814" spans="1:22" customFormat="1" x14ac:dyDescent="0.45">
      <c r="A2814">
        <v>561193</v>
      </c>
      <c r="B2814" t="s">
        <v>21674</v>
      </c>
      <c r="C2814" t="s">
        <v>16331</v>
      </c>
      <c r="D2814">
        <v>1</v>
      </c>
      <c r="E2814" t="s">
        <v>16331</v>
      </c>
      <c r="F2814" s="126"/>
      <c r="K2814" s="3">
        <f t="shared" si="104"/>
        <v>0</v>
      </c>
      <c r="L2814" s="3"/>
      <c r="M2814" s="3">
        <f t="shared" si="105"/>
        <v>0</v>
      </c>
      <c r="O2814" s="5"/>
      <c r="S2814" s="6"/>
    </row>
    <row r="2815" spans="1:22" customFormat="1" x14ac:dyDescent="0.45">
      <c r="A2815">
        <v>561927</v>
      </c>
      <c r="B2815" t="s">
        <v>21675</v>
      </c>
      <c r="C2815" t="s">
        <v>21676</v>
      </c>
      <c r="D2815">
        <v>1</v>
      </c>
      <c r="F2815" s="126"/>
      <c r="G2815" s="7">
        <v>0</v>
      </c>
      <c r="H2815" s="7">
        <v>0</v>
      </c>
      <c r="I2815" s="7">
        <v>0</v>
      </c>
      <c r="J2815" s="7">
        <v>0</v>
      </c>
      <c r="K2815" s="3">
        <f t="shared" si="104"/>
        <v>0</v>
      </c>
      <c r="L2815" s="3"/>
      <c r="M2815" s="3">
        <f t="shared" si="105"/>
        <v>0</v>
      </c>
      <c r="O2815" s="5"/>
      <c r="S2815" s="6"/>
    </row>
    <row r="2816" spans="1:22" x14ac:dyDescent="0.45">
      <c r="A2816" s="124">
        <v>912906</v>
      </c>
      <c r="B2816" s="124" t="s">
        <v>21677</v>
      </c>
      <c r="C2816" s="124" t="s">
        <v>21678</v>
      </c>
      <c r="D2816" s="124">
        <v>10</v>
      </c>
      <c r="E2816" s="124" t="s">
        <v>16334</v>
      </c>
      <c r="F2816" s="126">
        <v>1.6999999999999999E-3</v>
      </c>
      <c r="G2816" s="126">
        <v>3.2000000000000001E-2</v>
      </c>
      <c r="H2816" s="126">
        <v>5.0000000000000001E-3</v>
      </c>
      <c r="I2816" s="127"/>
      <c r="J2816" s="127"/>
      <c r="K2816" s="126">
        <f t="shared" si="104"/>
        <v>3.6999999999999998E-2</v>
      </c>
      <c r="L2816" s="3"/>
      <c r="M2816" s="126">
        <f t="shared" si="105"/>
        <v>3.8699999999999998E-2</v>
      </c>
      <c r="N2816" s="124" t="s">
        <v>26924</v>
      </c>
      <c r="O2816" s="131" t="s">
        <v>21679</v>
      </c>
      <c r="P2816" s="128" t="s">
        <v>26918</v>
      </c>
      <c r="Q2816" s="124">
        <f>364972+133687</f>
        <v>498659</v>
      </c>
      <c r="R2816" s="124" t="s">
        <v>16348</v>
      </c>
      <c r="S2816" s="132">
        <v>363806</v>
      </c>
      <c r="T2816" s="129">
        <f>S2816/Q2816</f>
        <v>0.72956870326214907</v>
      </c>
      <c r="V2816" s="125" t="s">
        <v>21680</v>
      </c>
    </row>
    <row r="2817" spans="1:19" customFormat="1" x14ac:dyDescent="0.45">
      <c r="A2817">
        <v>562057</v>
      </c>
      <c r="B2817" t="s">
        <v>21681</v>
      </c>
      <c r="C2817" t="s">
        <v>21682</v>
      </c>
      <c r="D2817">
        <v>1</v>
      </c>
      <c r="F2817" s="126"/>
      <c r="G2817" s="3">
        <v>0</v>
      </c>
      <c r="H2817" s="3">
        <v>0</v>
      </c>
      <c r="I2817" s="3">
        <v>0</v>
      </c>
      <c r="J2817" s="3">
        <v>0</v>
      </c>
      <c r="K2817" s="3">
        <f t="shared" si="104"/>
        <v>0</v>
      </c>
      <c r="L2817" s="3"/>
      <c r="M2817" s="3">
        <f t="shared" si="105"/>
        <v>0</v>
      </c>
      <c r="O2817" s="5"/>
      <c r="S2817" s="6"/>
    </row>
    <row r="2818" spans="1:19" customFormat="1" x14ac:dyDescent="0.45">
      <c r="A2818">
        <v>562111</v>
      </c>
      <c r="B2818" t="s">
        <v>21683</v>
      </c>
      <c r="C2818" t="s">
        <v>21684</v>
      </c>
      <c r="D2818">
        <v>1</v>
      </c>
      <c r="F2818" s="126"/>
      <c r="G2818" s="7">
        <v>0</v>
      </c>
      <c r="H2818" s="7">
        <v>0</v>
      </c>
      <c r="I2818" s="7">
        <v>0</v>
      </c>
      <c r="J2818" s="7">
        <v>0</v>
      </c>
      <c r="K2818" s="3">
        <f t="shared" si="104"/>
        <v>0</v>
      </c>
      <c r="L2818" s="3"/>
      <c r="M2818" s="3">
        <f t="shared" si="105"/>
        <v>0</v>
      </c>
      <c r="N2818" s="7"/>
      <c r="O2818" s="5"/>
      <c r="S2818" s="6"/>
    </row>
    <row r="2819" spans="1:19" customFormat="1" x14ac:dyDescent="0.45">
      <c r="A2819">
        <v>562191</v>
      </c>
      <c r="B2819" t="s">
        <v>21685</v>
      </c>
      <c r="C2819" t="s">
        <v>21686</v>
      </c>
      <c r="D2819">
        <v>1</v>
      </c>
      <c r="F2819" s="126"/>
      <c r="G2819" s="3">
        <v>0</v>
      </c>
      <c r="H2819" s="3">
        <v>0</v>
      </c>
      <c r="I2819" s="3">
        <v>0</v>
      </c>
      <c r="J2819" s="3">
        <v>0</v>
      </c>
      <c r="K2819" s="3">
        <f t="shared" si="104"/>
        <v>0</v>
      </c>
      <c r="L2819" s="3"/>
      <c r="M2819" s="3">
        <f t="shared" si="105"/>
        <v>0</v>
      </c>
      <c r="O2819" s="5"/>
      <c r="S2819" s="6"/>
    </row>
    <row r="2820" spans="1:19" customFormat="1" x14ac:dyDescent="0.45">
      <c r="A2820">
        <v>562235</v>
      </c>
      <c r="B2820" t="s">
        <v>21687</v>
      </c>
      <c r="C2820" t="s">
        <v>17931</v>
      </c>
      <c r="D2820">
        <v>9</v>
      </c>
      <c r="F2820" s="126"/>
      <c r="G2820" s="7">
        <v>0</v>
      </c>
      <c r="H2820" s="3">
        <v>0</v>
      </c>
      <c r="I2820" s="3">
        <v>0</v>
      </c>
      <c r="J2820">
        <v>0</v>
      </c>
      <c r="K2820" s="3">
        <f t="shared" si="104"/>
        <v>0</v>
      </c>
      <c r="L2820" s="3"/>
      <c r="M2820" s="3">
        <f t="shared" si="105"/>
        <v>0</v>
      </c>
      <c r="O2820" s="5"/>
      <c r="S2820" s="6"/>
    </row>
    <row r="2821" spans="1:19" customFormat="1" x14ac:dyDescent="0.45">
      <c r="A2821">
        <v>562252</v>
      </c>
      <c r="B2821" t="s">
        <v>21688</v>
      </c>
      <c r="C2821" t="s">
        <v>21689</v>
      </c>
      <c r="D2821">
        <v>2</v>
      </c>
      <c r="F2821" s="126"/>
      <c r="G2821" s="7">
        <v>0</v>
      </c>
      <c r="H2821" s="7">
        <v>0</v>
      </c>
      <c r="I2821" s="7">
        <v>0</v>
      </c>
      <c r="J2821" s="7">
        <v>0</v>
      </c>
      <c r="K2821" s="3">
        <f t="shared" si="104"/>
        <v>0</v>
      </c>
      <c r="L2821" s="3"/>
      <c r="M2821" s="3">
        <f t="shared" si="105"/>
        <v>0</v>
      </c>
      <c r="O2821" s="5"/>
      <c r="S2821" s="6"/>
    </row>
    <row r="2822" spans="1:19" customFormat="1" x14ac:dyDescent="0.45">
      <c r="A2822">
        <v>562360</v>
      </c>
      <c r="B2822" t="s">
        <v>21690</v>
      </c>
      <c r="C2822" t="s">
        <v>21691</v>
      </c>
      <c r="D2822">
        <v>1</v>
      </c>
      <c r="F2822" s="126"/>
      <c r="G2822" s="7">
        <v>0</v>
      </c>
      <c r="H2822" s="7">
        <v>0</v>
      </c>
      <c r="I2822" s="7">
        <v>0</v>
      </c>
      <c r="J2822" s="7">
        <v>0</v>
      </c>
      <c r="K2822" s="3">
        <f t="shared" si="104"/>
        <v>0</v>
      </c>
      <c r="L2822" s="3"/>
      <c r="M2822" s="3">
        <f t="shared" si="105"/>
        <v>0</v>
      </c>
      <c r="O2822" s="5"/>
      <c r="S2822" s="6"/>
    </row>
    <row r="2823" spans="1:19" customFormat="1" x14ac:dyDescent="0.45">
      <c r="A2823">
        <v>562377</v>
      </c>
      <c r="B2823" t="s">
        <v>21692</v>
      </c>
      <c r="C2823" t="s">
        <v>16331</v>
      </c>
      <c r="D2823">
        <v>1</v>
      </c>
      <c r="E2823" t="s">
        <v>16331</v>
      </c>
      <c r="F2823" s="126"/>
      <c r="G2823" s="7">
        <v>0</v>
      </c>
      <c r="H2823" s="7">
        <v>0</v>
      </c>
      <c r="I2823" s="7">
        <v>0</v>
      </c>
      <c r="J2823" s="7">
        <v>0</v>
      </c>
      <c r="K2823" s="3">
        <f t="shared" si="104"/>
        <v>0</v>
      </c>
      <c r="L2823" s="3"/>
      <c r="M2823" s="3">
        <f t="shared" si="105"/>
        <v>0</v>
      </c>
      <c r="O2823" s="5"/>
      <c r="S2823" s="6"/>
    </row>
    <row r="2824" spans="1:19" customFormat="1" x14ac:dyDescent="0.45">
      <c r="A2824">
        <v>562475</v>
      </c>
      <c r="B2824" t="s">
        <v>21693</v>
      </c>
      <c r="C2824" t="s">
        <v>21694</v>
      </c>
      <c r="D2824">
        <v>3</v>
      </c>
      <c r="F2824" s="126"/>
      <c r="K2824" s="3">
        <f t="shared" si="104"/>
        <v>0</v>
      </c>
      <c r="L2824" s="3"/>
      <c r="M2824" s="3">
        <f t="shared" si="105"/>
        <v>0</v>
      </c>
      <c r="O2824" s="5"/>
      <c r="S2824" s="6"/>
    </row>
    <row r="2825" spans="1:19" customFormat="1" x14ac:dyDescent="0.45">
      <c r="A2825">
        <v>562516</v>
      </c>
      <c r="B2825" t="s">
        <v>21695</v>
      </c>
      <c r="C2825" t="s">
        <v>16331</v>
      </c>
      <c r="D2825">
        <v>2</v>
      </c>
      <c r="E2825" t="s">
        <v>16331</v>
      </c>
      <c r="F2825" s="126"/>
      <c r="G2825" s="7">
        <v>0</v>
      </c>
      <c r="H2825" s="7">
        <v>0</v>
      </c>
      <c r="I2825" s="7">
        <v>0</v>
      </c>
      <c r="J2825" s="7">
        <v>0</v>
      </c>
      <c r="K2825" s="3">
        <f t="shared" si="104"/>
        <v>0</v>
      </c>
      <c r="L2825" s="3"/>
      <c r="M2825" s="3">
        <f t="shared" si="105"/>
        <v>0</v>
      </c>
      <c r="O2825" s="5"/>
      <c r="S2825" s="6"/>
    </row>
    <row r="2826" spans="1:19" customFormat="1" x14ac:dyDescent="0.45">
      <c r="A2826">
        <v>562574</v>
      </c>
      <c r="B2826" t="s">
        <v>21696</v>
      </c>
      <c r="C2826" t="s">
        <v>21697</v>
      </c>
      <c r="D2826">
        <v>2</v>
      </c>
      <c r="F2826" s="126"/>
      <c r="G2826" s="7">
        <v>0</v>
      </c>
      <c r="H2826" s="7">
        <v>0</v>
      </c>
      <c r="I2826" s="7">
        <v>0</v>
      </c>
      <c r="J2826" s="7">
        <v>0</v>
      </c>
      <c r="K2826" s="3">
        <f t="shared" si="104"/>
        <v>0</v>
      </c>
      <c r="L2826" s="3"/>
      <c r="M2826" s="3">
        <f t="shared" si="105"/>
        <v>0</v>
      </c>
      <c r="O2826" s="5"/>
      <c r="S2826" s="6"/>
    </row>
    <row r="2827" spans="1:19" customFormat="1" x14ac:dyDescent="0.45">
      <c r="A2827">
        <v>562607</v>
      </c>
      <c r="B2827" t="s">
        <v>21698</v>
      </c>
      <c r="C2827" t="s">
        <v>21699</v>
      </c>
      <c r="D2827">
        <v>1</v>
      </c>
      <c r="F2827" s="126"/>
      <c r="G2827" s="3">
        <v>0</v>
      </c>
      <c r="H2827" s="3">
        <v>0</v>
      </c>
      <c r="I2827" s="3">
        <v>0</v>
      </c>
      <c r="J2827" s="3">
        <v>0</v>
      </c>
      <c r="K2827" s="3">
        <f t="shared" si="104"/>
        <v>0</v>
      </c>
      <c r="L2827" s="3"/>
      <c r="M2827" s="3">
        <f t="shared" si="105"/>
        <v>0</v>
      </c>
      <c r="O2827" s="5"/>
      <c r="S2827" s="6"/>
    </row>
    <row r="2828" spans="1:19" customFormat="1" x14ac:dyDescent="0.45">
      <c r="A2828">
        <v>563192</v>
      </c>
      <c r="B2828" t="s">
        <v>21700</v>
      </c>
      <c r="C2828" t="s">
        <v>21701</v>
      </c>
      <c r="D2828">
        <v>2</v>
      </c>
      <c r="F2828" s="126"/>
      <c r="G2828" s="7">
        <v>0</v>
      </c>
      <c r="H2828" s="7">
        <v>0</v>
      </c>
      <c r="I2828" s="7">
        <v>0</v>
      </c>
      <c r="J2828" s="7">
        <v>0</v>
      </c>
      <c r="K2828" s="3">
        <f t="shared" si="104"/>
        <v>0</v>
      </c>
      <c r="L2828" s="3"/>
      <c r="M2828" s="3">
        <f t="shared" si="105"/>
        <v>0</v>
      </c>
      <c r="N2828" s="7"/>
      <c r="O2828" s="5" t="s">
        <v>21702</v>
      </c>
      <c r="S2828" s="6"/>
    </row>
    <row r="2829" spans="1:19" customFormat="1" x14ac:dyDescent="0.45">
      <c r="A2829">
        <v>563214</v>
      </c>
      <c r="B2829" t="s">
        <v>21703</v>
      </c>
      <c r="C2829" t="s">
        <v>21704</v>
      </c>
      <c r="D2829">
        <v>1</v>
      </c>
      <c r="F2829" s="126"/>
      <c r="G2829" s="3">
        <v>0</v>
      </c>
      <c r="H2829" s="3">
        <v>0</v>
      </c>
      <c r="I2829" s="3">
        <v>0</v>
      </c>
      <c r="J2829" s="3">
        <v>0</v>
      </c>
      <c r="K2829" s="3">
        <f t="shared" si="104"/>
        <v>0</v>
      </c>
      <c r="L2829" s="3"/>
      <c r="M2829" s="3">
        <f t="shared" si="105"/>
        <v>0</v>
      </c>
      <c r="O2829" s="5"/>
      <c r="S2829" s="6"/>
    </row>
    <row r="2830" spans="1:19" customFormat="1" x14ac:dyDescent="0.45">
      <c r="A2830">
        <v>563294</v>
      </c>
      <c r="B2830" t="s">
        <v>21705</v>
      </c>
      <c r="C2830" t="s">
        <v>16331</v>
      </c>
      <c r="D2830">
        <v>1</v>
      </c>
      <c r="E2830" t="s">
        <v>16331</v>
      </c>
      <c r="F2830" s="126"/>
      <c r="G2830" s="7">
        <v>0</v>
      </c>
      <c r="H2830" s="7">
        <v>0</v>
      </c>
      <c r="I2830" s="7">
        <v>0</v>
      </c>
      <c r="J2830" s="7">
        <v>0</v>
      </c>
      <c r="K2830" s="3">
        <f t="shared" si="104"/>
        <v>0</v>
      </c>
      <c r="L2830" s="3"/>
      <c r="M2830" s="3">
        <f t="shared" si="105"/>
        <v>0</v>
      </c>
      <c r="O2830" s="5"/>
      <c r="S2830" s="6"/>
    </row>
    <row r="2831" spans="1:19" customFormat="1" x14ac:dyDescent="0.45">
      <c r="A2831">
        <v>563343</v>
      </c>
      <c r="B2831" t="s">
        <v>21706</v>
      </c>
      <c r="C2831" t="s">
        <v>21707</v>
      </c>
      <c r="D2831">
        <v>3</v>
      </c>
      <c r="F2831" s="126"/>
      <c r="G2831" s="7">
        <v>0</v>
      </c>
      <c r="H2831" s="7">
        <v>0</v>
      </c>
      <c r="I2831" s="7">
        <v>0</v>
      </c>
      <c r="J2831" s="7">
        <v>0</v>
      </c>
      <c r="K2831" s="3">
        <f t="shared" si="104"/>
        <v>0</v>
      </c>
      <c r="L2831" s="3"/>
      <c r="M2831" s="3">
        <f t="shared" si="105"/>
        <v>0</v>
      </c>
      <c r="O2831" s="5"/>
      <c r="S2831" s="6"/>
    </row>
    <row r="2832" spans="1:19" customFormat="1" x14ac:dyDescent="0.45">
      <c r="A2832">
        <v>563379</v>
      </c>
      <c r="B2832" t="s">
        <v>21708</v>
      </c>
      <c r="C2832" t="s">
        <v>21709</v>
      </c>
      <c r="D2832">
        <v>1</v>
      </c>
      <c r="F2832" s="126"/>
      <c r="G2832" s="7">
        <v>0</v>
      </c>
      <c r="H2832" s="7">
        <v>0</v>
      </c>
      <c r="I2832" s="7">
        <v>0</v>
      </c>
      <c r="J2832" s="7">
        <v>0</v>
      </c>
      <c r="K2832" s="3">
        <f t="shared" si="104"/>
        <v>0</v>
      </c>
      <c r="L2832" s="3"/>
      <c r="M2832" s="3">
        <f t="shared" si="105"/>
        <v>0</v>
      </c>
      <c r="O2832" s="5"/>
      <c r="S2832" s="6"/>
    </row>
    <row r="2833" spans="1:19" customFormat="1" x14ac:dyDescent="0.45">
      <c r="A2833">
        <v>563449</v>
      </c>
      <c r="B2833" t="s">
        <v>21710</v>
      </c>
      <c r="C2833" t="s">
        <v>21711</v>
      </c>
      <c r="D2833">
        <v>11</v>
      </c>
      <c r="F2833" s="126"/>
      <c r="G2833" s="7">
        <v>0</v>
      </c>
      <c r="H2833" s="7">
        <v>0</v>
      </c>
      <c r="I2833" s="7">
        <v>0</v>
      </c>
      <c r="J2833" s="7">
        <v>0</v>
      </c>
      <c r="K2833" s="3">
        <f t="shared" si="104"/>
        <v>0</v>
      </c>
      <c r="L2833" s="3"/>
      <c r="M2833" s="3">
        <f t="shared" si="105"/>
        <v>0</v>
      </c>
      <c r="N2833" s="7"/>
      <c r="O2833" s="5"/>
      <c r="S2833" s="6"/>
    </row>
    <row r="2834" spans="1:19" customFormat="1" x14ac:dyDescent="0.45">
      <c r="A2834">
        <v>563705</v>
      </c>
      <c r="B2834" t="s">
        <v>21712</v>
      </c>
      <c r="C2834" t="s">
        <v>21713</v>
      </c>
      <c r="D2834">
        <v>1</v>
      </c>
      <c r="F2834" s="126"/>
      <c r="G2834" s="7">
        <v>0</v>
      </c>
      <c r="H2834" s="7">
        <v>0</v>
      </c>
      <c r="I2834" s="7">
        <v>0</v>
      </c>
      <c r="J2834" s="7">
        <v>0</v>
      </c>
      <c r="K2834" s="3">
        <f t="shared" si="104"/>
        <v>0</v>
      </c>
      <c r="L2834" s="3"/>
      <c r="M2834" s="3">
        <f t="shared" si="105"/>
        <v>0</v>
      </c>
      <c r="O2834" s="5"/>
      <c r="S2834" s="6"/>
    </row>
    <row r="2835" spans="1:19" customFormat="1" x14ac:dyDescent="0.45">
      <c r="A2835">
        <v>563812</v>
      </c>
      <c r="B2835" t="s">
        <v>21714</v>
      </c>
      <c r="C2835" t="s">
        <v>21715</v>
      </c>
      <c r="D2835">
        <v>4</v>
      </c>
      <c r="F2835" s="126"/>
      <c r="G2835" s="3">
        <v>0</v>
      </c>
      <c r="H2835" s="3">
        <v>0</v>
      </c>
      <c r="I2835" s="3">
        <v>0</v>
      </c>
      <c r="J2835" s="3">
        <v>0</v>
      </c>
      <c r="K2835" s="3">
        <f t="shared" si="104"/>
        <v>0</v>
      </c>
      <c r="L2835" s="3"/>
      <c r="M2835" s="3">
        <f t="shared" si="105"/>
        <v>0</v>
      </c>
      <c r="O2835" s="5"/>
      <c r="S2835" s="6"/>
    </row>
    <row r="2836" spans="1:19" customFormat="1" x14ac:dyDescent="0.45">
      <c r="A2836">
        <v>563896</v>
      </c>
      <c r="B2836" t="s">
        <v>21716</v>
      </c>
      <c r="C2836" t="s">
        <v>16331</v>
      </c>
      <c r="D2836">
        <v>3</v>
      </c>
      <c r="E2836" t="s">
        <v>16331</v>
      </c>
      <c r="F2836" s="126"/>
      <c r="G2836" s="7">
        <v>0</v>
      </c>
      <c r="H2836" s="7">
        <v>0</v>
      </c>
      <c r="I2836" s="7">
        <v>0</v>
      </c>
      <c r="J2836" s="7">
        <v>0</v>
      </c>
      <c r="K2836" s="3">
        <f t="shared" si="104"/>
        <v>0</v>
      </c>
      <c r="L2836" s="3"/>
      <c r="M2836" s="3">
        <f t="shared" si="105"/>
        <v>0</v>
      </c>
      <c r="O2836" s="5"/>
      <c r="S2836" s="6"/>
    </row>
    <row r="2837" spans="1:19" customFormat="1" x14ac:dyDescent="0.45">
      <c r="A2837">
        <v>563900</v>
      </c>
      <c r="B2837" t="s">
        <v>21717</v>
      </c>
      <c r="C2837" t="s">
        <v>16331</v>
      </c>
      <c r="D2837">
        <v>1</v>
      </c>
      <c r="E2837" t="s">
        <v>16331</v>
      </c>
      <c r="F2837" s="126"/>
      <c r="G2837" s="7">
        <v>0</v>
      </c>
      <c r="H2837" s="7">
        <v>0</v>
      </c>
      <c r="I2837" s="7">
        <v>0</v>
      </c>
      <c r="J2837" s="7">
        <v>0</v>
      </c>
      <c r="K2837" s="3">
        <f t="shared" si="104"/>
        <v>0</v>
      </c>
      <c r="L2837" s="3"/>
      <c r="M2837" s="3">
        <f t="shared" si="105"/>
        <v>0</v>
      </c>
      <c r="O2837" s="5"/>
      <c r="S2837" s="6"/>
    </row>
    <row r="2838" spans="1:19" customFormat="1" x14ac:dyDescent="0.45">
      <c r="A2838">
        <v>563905</v>
      </c>
      <c r="B2838" t="s">
        <v>21718</v>
      </c>
      <c r="C2838" t="s">
        <v>21719</v>
      </c>
      <c r="D2838">
        <v>2</v>
      </c>
      <c r="F2838" s="126"/>
      <c r="G2838" s="7">
        <v>0</v>
      </c>
      <c r="H2838" s="7">
        <v>0</v>
      </c>
      <c r="I2838" s="7">
        <v>0</v>
      </c>
      <c r="J2838" s="7">
        <v>0</v>
      </c>
      <c r="K2838" s="3">
        <f t="shared" si="104"/>
        <v>0</v>
      </c>
      <c r="L2838" s="3"/>
      <c r="M2838" s="3">
        <f t="shared" si="105"/>
        <v>0</v>
      </c>
      <c r="O2838" s="5"/>
      <c r="S2838" s="6"/>
    </row>
    <row r="2839" spans="1:19" customFormat="1" x14ac:dyDescent="0.45">
      <c r="A2839">
        <v>563908</v>
      </c>
      <c r="B2839" t="s">
        <v>21720</v>
      </c>
      <c r="C2839" t="s">
        <v>21721</v>
      </c>
      <c r="D2839">
        <v>1</v>
      </c>
      <c r="F2839" s="126"/>
      <c r="G2839" s="7">
        <v>0</v>
      </c>
      <c r="H2839" s="7">
        <v>0</v>
      </c>
      <c r="I2839" s="7">
        <v>0</v>
      </c>
      <c r="J2839" s="7">
        <v>0</v>
      </c>
      <c r="K2839" s="3">
        <f t="shared" si="104"/>
        <v>0</v>
      </c>
      <c r="L2839" s="3"/>
      <c r="M2839" s="3">
        <f t="shared" si="105"/>
        <v>0</v>
      </c>
      <c r="O2839" s="5"/>
      <c r="S2839" s="6"/>
    </row>
    <row r="2840" spans="1:19" customFormat="1" x14ac:dyDescent="0.45">
      <c r="A2840">
        <v>563909</v>
      </c>
      <c r="B2840" t="s">
        <v>21722</v>
      </c>
      <c r="C2840" t="s">
        <v>21723</v>
      </c>
      <c r="D2840">
        <v>4</v>
      </c>
      <c r="F2840" s="126"/>
      <c r="G2840" s="7">
        <v>0</v>
      </c>
      <c r="H2840" s="7">
        <v>0</v>
      </c>
      <c r="I2840" s="7">
        <v>0</v>
      </c>
      <c r="J2840" s="7">
        <v>0</v>
      </c>
      <c r="K2840" s="3">
        <f t="shared" si="104"/>
        <v>0</v>
      </c>
      <c r="L2840" s="3"/>
      <c r="M2840" s="3">
        <f t="shared" si="105"/>
        <v>0</v>
      </c>
      <c r="O2840" s="5"/>
      <c r="S2840" s="6"/>
    </row>
    <row r="2841" spans="1:19" customFormat="1" x14ac:dyDescent="0.45">
      <c r="A2841">
        <v>563973</v>
      </c>
      <c r="B2841" t="s">
        <v>21724</v>
      </c>
      <c r="C2841" t="s">
        <v>21725</v>
      </c>
      <c r="D2841">
        <v>1</v>
      </c>
      <c r="F2841" s="126"/>
      <c r="G2841" s="7">
        <v>0</v>
      </c>
      <c r="H2841" s="7">
        <v>0</v>
      </c>
      <c r="I2841" s="7">
        <v>0</v>
      </c>
      <c r="J2841" s="7">
        <v>0</v>
      </c>
      <c r="K2841" s="3">
        <f t="shared" si="104"/>
        <v>0</v>
      </c>
      <c r="L2841" s="3"/>
      <c r="M2841" s="3">
        <f t="shared" si="105"/>
        <v>0</v>
      </c>
      <c r="O2841" s="5"/>
      <c r="S2841" s="6"/>
    </row>
    <row r="2842" spans="1:19" customFormat="1" x14ac:dyDescent="0.45">
      <c r="A2842">
        <v>563997</v>
      </c>
      <c r="B2842" t="s">
        <v>21726</v>
      </c>
      <c r="C2842" t="s">
        <v>21727</v>
      </c>
      <c r="D2842">
        <v>3</v>
      </c>
      <c r="F2842" s="126"/>
      <c r="G2842" s="3">
        <v>0</v>
      </c>
      <c r="H2842" s="3">
        <v>0</v>
      </c>
      <c r="I2842" s="3">
        <v>0</v>
      </c>
      <c r="J2842" s="3">
        <v>0</v>
      </c>
      <c r="K2842" s="3">
        <f t="shared" si="104"/>
        <v>0</v>
      </c>
      <c r="L2842" s="3"/>
      <c r="M2842" s="3">
        <f t="shared" si="105"/>
        <v>0</v>
      </c>
      <c r="O2842" s="5"/>
      <c r="S2842" s="6"/>
    </row>
    <row r="2843" spans="1:19" customFormat="1" x14ac:dyDescent="0.45">
      <c r="A2843">
        <v>564038</v>
      </c>
      <c r="B2843" t="s">
        <v>21728</v>
      </c>
      <c r="C2843" t="s">
        <v>21729</v>
      </c>
      <c r="D2843">
        <v>10</v>
      </c>
      <c r="F2843" s="126"/>
      <c r="G2843" s="7">
        <v>0</v>
      </c>
      <c r="H2843" s="7">
        <v>0</v>
      </c>
      <c r="I2843" s="7">
        <v>0</v>
      </c>
      <c r="J2843" s="7">
        <v>0</v>
      </c>
      <c r="K2843" s="3">
        <f t="shared" si="104"/>
        <v>0</v>
      </c>
      <c r="L2843" s="3"/>
      <c r="M2843" s="3">
        <f t="shared" si="105"/>
        <v>0</v>
      </c>
      <c r="O2843" s="5"/>
      <c r="S2843" s="6"/>
    </row>
    <row r="2844" spans="1:19" customFormat="1" x14ac:dyDescent="0.45">
      <c r="A2844">
        <v>564043</v>
      </c>
      <c r="B2844" t="s">
        <v>21730</v>
      </c>
      <c r="C2844" t="s">
        <v>21731</v>
      </c>
      <c r="D2844">
        <v>2</v>
      </c>
      <c r="F2844" s="126"/>
      <c r="G2844" s="7">
        <v>0</v>
      </c>
      <c r="H2844" s="7">
        <v>0</v>
      </c>
      <c r="I2844" s="7">
        <v>0</v>
      </c>
      <c r="J2844" s="7">
        <v>0</v>
      </c>
      <c r="K2844" s="3">
        <f t="shared" si="104"/>
        <v>0</v>
      </c>
      <c r="L2844" s="3"/>
      <c r="M2844" s="3">
        <f t="shared" si="105"/>
        <v>0</v>
      </c>
      <c r="O2844" s="5"/>
      <c r="S2844" s="6"/>
    </row>
    <row r="2845" spans="1:19" customFormat="1" x14ac:dyDescent="0.45">
      <c r="A2845">
        <v>564126</v>
      </c>
      <c r="B2845" t="s">
        <v>21732</v>
      </c>
      <c r="C2845" t="s">
        <v>21733</v>
      </c>
      <c r="D2845">
        <v>4</v>
      </c>
      <c r="F2845" s="126"/>
      <c r="G2845" s="3">
        <v>0</v>
      </c>
      <c r="H2845" s="3">
        <v>0</v>
      </c>
      <c r="I2845" s="3">
        <v>0</v>
      </c>
      <c r="J2845" s="3">
        <v>0</v>
      </c>
      <c r="K2845" s="3">
        <f t="shared" si="104"/>
        <v>0</v>
      </c>
      <c r="L2845" s="3"/>
      <c r="M2845" s="3">
        <f t="shared" si="105"/>
        <v>0</v>
      </c>
      <c r="O2845" s="5"/>
      <c r="S2845" s="6"/>
    </row>
    <row r="2846" spans="1:19" customFormat="1" x14ac:dyDescent="0.45">
      <c r="A2846">
        <v>564185</v>
      </c>
      <c r="B2846" t="s">
        <v>21734</v>
      </c>
      <c r="C2846" t="s">
        <v>16451</v>
      </c>
      <c r="D2846">
        <v>0</v>
      </c>
      <c r="E2846" t="s">
        <v>16334</v>
      </c>
      <c r="F2846" s="126"/>
      <c r="K2846" s="3">
        <f t="shared" si="104"/>
        <v>0</v>
      </c>
      <c r="L2846" s="3"/>
      <c r="M2846" s="3">
        <f t="shared" si="105"/>
        <v>0</v>
      </c>
      <c r="O2846" s="5"/>
      <c r="S2846" s="6"/>
    </row>
    <row r="2847" spans="1:19" customFormat="1" x14ac:dyDescent="0.45">
      <c r="A2847">
        <v>564221</v>
      </c>
      <c r="B2847" t="s">
        <v>21735</v>
      </c>
      <c r="C2847" t="s">
        <v>21736</v>
      </c>
      <c r="D2847">
        <v>0</v>
      </c>
      <c r="E2847" t="s">
        <v>17298</v>
      </c>
      <c r="F2847" s="126"/>
      <c r="G2847" s="3">
        <v>0</v>
      </c>
      <c r="H2847" s="3">
        <v>0</v>
      </c>
      <c r="I2847" s="3">
        <v>0</v>
      </c>
      <c r="J2847" s="3">
        <v>0</v>
      </c>
      <c r="K2847" s="3">
        <f t="shared" si="104"/>
        <v>0</v>
      </c>
      <c r="L2847" s="3"/>
      <c r="M2847" s="3">
        <f t="shared" si="105"/>
        <v>0</v>
      </c>
      <c r="O2847" s="5"/>
      <c r="S2847" s="6"/>
    </row>
    <row r="2848" spans="1:19" customFormat="1" x14ac:dyDescent="0.45">
      <c r="A2848">
        <v>564504</v>
      </c>
      <c r="B2848" t="s">
        <v>21737</v>
      </c>
      <c r="C2848" t="s">
        <v>21738</v>
      </c>
      <c r="D2848">
        <v>1</v>
      </c>
      <c r="F2848" s="126"/>
      <c r="G2848" s="7">
        <v>0</v>
      </c>
      <c r="H2848" s="7">
        <v>0</v>
      </c>
      <c r="I2848" s="7">
        <v>0</v>
      </c>
      <c r="J2848" s="7">
        <v>0</v>
      </c>
      <c r="K2848" s="3">
        <f t="shared" si="104"/>
        <v>0</v>
      </c>
      <c r="L2848" s="3"/>
      <c r="M2848" s="3">
        <f t="shared" si="105"/>
        <v>0</v>
      </c>
      <c r="O2848" s="5"/>
      <c r="S2848" s="6"/>
    </row>
    <row r="2849" spans="1:19" customFormat="1" x14ac:dyDescent="0.45">
      <c r="A2849">
        <v>564525</v>
      </c>
      <c r="B2849" t="s">
        <v>21739</v>
      </c>
      <c r="C2849" t="s">
        <v>16331</v>
      </c>
      <c r="D2849">
        <v>0</v>
      </c>
      <c r="E2849" t="s">
        <v>16331</v>
      </c>
      <c r="F2849" s="126"/>
      <c r="G2849" s="7">
        <v>0</v>
      </c>
      <c r="H2849" s="7">
        <v>0</v>
      </c>
      <c r="I2849" s="7">
        <v>0</v>
      </c>
      <c r="J2849" s="7">
        <v>0</v>
      </c>
      <c r="K2849" s="3">
        <f t="shared" si="104"/>
        <v>0</v>
      </c>
      <c r="L2849" s="3"/>
      <c r="M2849" s="3">
        <f t="shared" si="105"/>
        <v>0</v>
      </c>
      <c r="O2849" s="5"/>
      <c r="S2849" s="6"/>
    </row>
    <row r="2850" spans="1:19" customFormat="1" x14ac:dyDescent="0.45">
      <c r="A2850">
        <v>564603</v>
      </c>
      <c r="B2850" t="s">
        <v>21740</v>
      </c>
      <c r="C2850" t="s">
        <v>16331</v>
      </c>
      <c r="D2850">
        <v>1</v>
      </c>
      <c r="E2850" t="s">
        <v>16331</v>
      </c>
      <c r="F2850" s="126"/>
      <c r="G2850" s="7">
        <v>0</v>
      </c>
      <c r="H2850" s="7">
        <v>0</v>
      </c>
      <c r="I2850" s="7">
        <v>0</v>
      </c>
      <c r="J2850" s="7">
        <v>0</v>
      </c>
      <c r="K2850" s="3">
        <f t="shared" ref="K2850:K2913" si="106">SUM(G2850:J2850)</f>
        <v>0</v>
      </c>
      <c r="L2850" s="3"/>
      <c r="M2850" s="3">
        <f t="shared" ref="M2850:M2913" si="107">K2850+F2850</f>
        <v>0</v>
      </c>
      <c r="O2850" s="5"/>
      <c r="S2850" s="6"/>
    </row>
    <row r="2851" spans="1:19" customFormat="1" x14ac:dyDescent="0.45">
      <c r="A2851">
        <v>564741</v>
      </c>
      <c r="B2851" t="s">
        <v>21741</v>
      </c>
      <c r="C2851" t="s">
        <v>21742</v>
      </c>
      <c r="D2851">
        <v>0</v>
      </c>
      <c r="E2851" t="s">
        <v>16561</v>
      </c>
      <c r="F2851" s="126"/>
      <c r="G2851" s="7">
        <v>0</v>
      </c>
      <c r="H2851" s="7">
        <v>0</v>
      </c>
      <c r="I2851" s="7">
        <v>0</v>
      </c>
      <c r="J2851" s="7">
        <v>0</v>
      </c>
      <c r="K2851" s="3">
        <f t="shared" si="106"/>
        <v>0</v>
      </c>
      <c r="L2851" s="3"/>
      <c r="M2851" s="3">
        <f t="shared" si="107"/>
        <v>0</v>
      </c>
      <c r="N2851" s="7"/>
      <c r="O2851" s="5"/>
      <c r="S2851" s="6"/>
    </row>
    <row r="2852" spans="1:19" customFormat="1" x14ac:dyDescent="0.45">
      <c r="A2852">
        <v>564770</v>
      </c>
      <c r="B2852" t="s">
        <v>21743</v>
      </c>
      <c r="C2852" t="s">
        <v>21744</v>
      </c>
      <c r="D2852">
        <v>3</v>
      </c>
      <c r="F2852" s="126"/>
      <c r="G2852" s="7">
        <v>0</v>
      </c>
      <c r="H2852" s="7">
        <v>0</v>
      </c>
      <c r="I2852" s="7">
        <v>0</v>
      </c>
      <c r="J2852" s="7">
        <v>0</v>
      </c>
      <c r="K2852" s="3">
        <f t="shared" si="106"/>
        <v>0</v>
      </c>
      <c r="L2852" s="3"/>
      <c r="M2852" s="3">
        <f t="shared" si="107"/>
        <v>0</v>
      </c>
      <c r="O2852" s="5"/>
      <c r="S2852" s="6"/>
    </row>
    <row r="2853" spans="1:19" customFormat="1" x14ac:dyDescent="0.45">
      <c r="A2853">
        <v>564876</v>
      </c>
      <c r="B2853" t="s">
        <v>21745</v>
      </c>
      <c r="C2853" t="s">
        <v>21746</v>
      </c>
      <c r="D2853">
        <v>0</v>
      </c>
      <c r="E2853" t="s">
        <v>16561</v>
      </c>
      <c r="F2853" s="126"/>
      <c r="G2853" s="7">
        <v>0</v>
      </c>
      <c r="H2853" s="7">
        <v>0</v>
      </c>
      <c r="I2853" s="7">
        <v>0</v>
      </c>
      <c r="J2853" s="7">
        <v>0</v>
      </c>
      <c r="K2853" s="3">
        <f t="shared" si="106"/>
        <v>0</v>
      </c>
      <c r="L2853" s="3"/>
      <c r="M2853" s="3">
        <f t="shared" si="107"/>
        <v>0</v>
      </c>
      <c r="N2853" s="7"/>
      <c r="O2853" s="5"/>
      <c r="S2853" s="6"/>
    </row>
    <row r="2854" spans="1:19" customFormat="1" x14ac:dyDescent="0.45">
      <c r="A2854">
        <v>564990</v>
      </c>
      <c r="B2854" t="s">
        <v>21747</v>
      </c>
      <c r="C2854" t="s">
        <v>21748</v>
      </c>
      <c r="D2854">
        <v>1</v>
      </c>
      <c r="F2854" s="126"/>
      <c r="G2854" s="7">
        <v>0</v>
      </c>
      <c r="H2854" s="7">
        <v>0</v>
      </c>
      <c r="I2854" s="7">
        <v>0</v>
      </c>
      <c r="J2854" s="7">
        <v>0</v>
      </c>
      <c r="K2854" s="3">
        <f t="shared" si="106"/>
        <v>0</v>
      </c>
      <c r="L2854" s="3"/>
      <c r="M2854" s="3">
        <f t="shared" si="107"/>
        <v>0</v>
      </c>
      <c r="O2854" s="5"/>
      <c r="S2854" s="6"/>
    </row>
    <row r="2855" spans="1:19" customFormat="1" x14ac:dyDescent="0.45">
      <c r="A2855">
        <v>565076</v>
      </c>
      <c r="B2855" t="s">
        <v>21749</v>
      </c>
      <c r="C2855" t="s">
        <v>21750</v>
      </c>
      <c r="D2855">
        <v>2</v>
      </c>
      <c r="F2855" s="126"/>
      <c r="G2855" s="7">
        <v>0</v>
      </c>
      <c r="H2855" s="7">
        <v>0</v>
      </c>
      <c r="I2855" s="7">
        <v>0</v>
      </c>
      <c r="J2855" s="7">
        <v>0</v>
      </c>
      <c r="K2855" s="3">
        <f t="shared" si="106"/>
        <v>0</v>
      </c>
      <c r="L2855" s="3"/>
      <c r="M2855" s="3">
        <f t="shared" si="107"/>
        <v>0</v>
      </c>
      <c r="O2855" s="5"/>
      <c r="S2855" s="6"/>
    </row>
    <row r="2856" spans="1:19" customFormat="1" x14ac:dyDescent="0.45">
      <c r="A2856">
        <v>565523</v>
      </c>
      <c r="B2856" t="s">
        <v>21751</v>
      </c>
      <c r="C2856" t="s">
        <v>21752</v>
      </c>
      <c r="D2856">
        <v>2</v>
      </c>
      <c r="F2856" s="126"/>
      <c r="G2856" s="3">
        <v>0</v>
      </c>
      <c r="H2856" s="3">
        <v>0</v>
      </c>
      <c r="I2856" s="3">
        <v>0</v>
      </c>
      <c r="J2856" s="3">
        <v>0</v>
      </c>
      <c r="K2856" s="3">
        <f t="shared" si="106"/>
        <v>0</v>
      </c>
      <c r="L2856" s="3"/>
      <c r="M2856" s="3">
        <f t="shared" si="107"/>
        <v>0</v>
      </c>
      <c r="O2856" s="5"/>
      <c r="S2856" s="6"/>
    </row>
    <row r="2857" spans="1:19" customFormat="1" x14ac:dyDescent="0.45">
      <c r="A2857">
        <v>565554</v>
      </c>
      <c r="B2857" t="s">
        <v>21753</v>
      </c>
      <c r="C2857" t="s">
        <v>21754</v>
      </c>
      <c r="D2857">
        <v>2</v>
      </c>
      <c r="F2857" s="126"/>
      <c r="K2857" s="3">
        <f t="shared" si="106"/>
        <v>0</v>
      </c>
      <c r="L2857" s="3"/>
      <c r="M2857" s="3">
        <f t="shared" si="107"/>
        <v>0</v>
      </c>
      <c r="O2857" s="5"/>
      <c r="S2857" s="6"/>
    </row>
    <row r="2858" spans="1:19" customFormat="1" x14ac:dyDescent="0.45">
      <c r="A2858">
        <v>565732</v>
      </c>
      <c r="B2858" t="s">
        <v>21755</v>
      </c>
      <c r="C2858" t="s">
        <v>21756</v>
      </c>
      <c r="D2858">
        <v>4</v>
      </c>
      <c r="F2858" s="126"/>
      <c r="K2858" s="3">
        <f t="shared" si="106"/>
        <v>0</v>
      </c>
      <c r="L2858" s="3"/>
      <c r="M2858" s="3">
        <f t="shared" si="107"/>
        <v>0</v>
      </c>
      <c r="O2858" s="5"/>
      <c r="S2858" s="6"/>
    </row>
    <row r="2859" spans="1:19" customFormat="1" x14ac:dyDescent="0.45">
      <c r="A2859">
        <v>565876</v>
      </c>
      <c r="B2859" t="s">
        <v>21757</v>
      </c>
      <c r="C2859" t="s">
        <v>21758</v>
      </c>
      <c r="D2859">
        <v>4</v>
      </c>
      <c r="F2859" s="126"/>
      <c r="G2859" s="7">
        <v>0</v>
      </c>
      <c r="H2859" s="7">
        <v>0</v>
      </c>
      <c r="I2859" s="7">
        <v>0</v>
      </c>
      <c r="J2859" s="7">
        <v>0</v>
      </c>
      <c r="K2859" s="3">
        <f t="shared" si="106"/>
        <v>0</v>
      </c>
      <c r="L2859" s="3"/>
      <c r="M2859" s="3">
        <f t="shared" si="107"/>
        <v>0</v>
      </c>
      <c r="O2859" s="5"/>
      <c r="S2859" s="6"/>
    </row>
    <row r="2860" spans="1:19" customFormat="1" x14ac:dyDescent="0.45">
      <c r="A2860">
        <v>566225</v>
      </c>
      <c r="B2860" t="s">
        <v>21759</v>
      </c>
      <c r="C2860" t="s">
        <v>21760</v>
      </c>
      <c r="D2860">
        <v>1</v>
      </c>
      <c r="F2860" s="126"/>
      <c r="G2860" s="3">
        <v>0</v>
      </c>
      <c r="H2860" s="3">
        <v>0</v>
      </c>
      <c r="I2860" s="3">
        <v>0</v>
      </c>
      <c r="J2860" s="3">
        <v>0</v>
      </c>
      <c r="K2860" s="3">
        <f t="shared" si="106"/>
        <v>0</v>
      </c>
      <c r="L2860" s="3"/>
      <c r="M2860" s="3">
        <f t="shared" si="107"/>
        <v>0</v>
      </c>
      <c r="O2860" s="5"/>
      <c r="S2860" s="6"/>
    </row>
    <row r="2861" spans="1:19" customFormat="1" x14ac:dyDescent="0.45">
      <c r="A2861">
        <v>566257</v>
      </c>
      <c r="B2861" t="s">
        <v>21761</v>
      </c>
      <c r="C2861" t="s">
        <v>16331</v>
      </c>
      <c r="D2861">
        <v>0</v>
      </c>
      <c r="E2861" t="s">
        <v>16331</v>
      </c>
      <c r="F2861" s="126"/>
      <c r="G2861" s="7">
        <v>0</v>
      </c>
      <c r="H2861" s="7">
        <v>0</v>
      </c>
      <c r="I2861" s="7">
        <v>0</v>
      </c>
      <c r="J2861" s="7">
        <v>0</v>
      </c>
      <c r="K2861" s="3">
        <f t="shared" si="106"/>
        <v>0</v>
      </c>
      <c r="L2861" s="3"/>
      <c r="M2861" s="3">
        <f t="shared" si="107"/>
        <v>0</v>
      </c>
      <c r="O2861" s="5"/>
      <c r="S2861" s="6"/>
    </row>
    <row r="2862" spans="1:19" customFormat="1" x14ac:dyDescent="0.45">
      <c r="A2862">
        <v>566865</v>
      </c>
      <c r="B2862" t="s">
        <v>21762</v>
      </c>
      <c r="C2862" t="s">
        <v>21763</v>
      </c>
      <c r="D2862">
        <v>6</v>
      </c>
      <c r="F2862" s="126"/>
      <c r="G2862" s="7">
        <v>0</v>
      </c>
      <c r="H2862" s="7">
        <v>0</v>
      </c>
      <c r="I2862" s="7">
        <v>0</v>
      </c>
      <c r="J2862" s="7">
        <v>0</v>
      </c>
      <c r="K2862" s="3">
        <f t="shared" si="106"/>
        <v>0</v>
      </c>
      <c r="L2862" s="3"/>
      <c r="M2862" s="3">
        <f t="shared" si="107"/>
        <v>0</v>
      </c>
      <c r="N2862" s="7"/>
      <c r="O2862" s="5"/>
      <c r="S2862" s="6"/>
    </row>
    <row r="2863" spans="1:19" customFormat="1" x14ac:dyDescent="0.45">
      <c r="A2863">
        <v>566890</v>
      </c>
      <c r="B2863" t="s">
        <v>21764</v>
      </c>
      <c r="C2863" t="s">
        <v>21765</v>
      </c>
      <c r="D2863">
        <v>12</v>
      </c>
      <c r="F2863" s="126"/>
      <c r="G2863" s="20"/>
      <c r="H2863" s="19"/>
      <c r="I2863" s="19"/>
      <c r="J2863" s="19"/>
      <c r="K2863" s="3">
        <f t="shared" si="106"/>
        <v>0</v>
      </c>
      <c r="L2863" s="3"/>
      <c r="M2863" s="3">
        <f t="shared" si="107"/>
        <v>0</v>
      </c>
      <c r="O2863" s="5"/>
      <c r="S2863" s="6"/>
    </row>
    <row r="2864" spans="1:19" customFormat="1" x14ac:dyDescent="0.45">
      <c r="A2864">
        <v>566936</v>
      </c>
      <c r="B2864" t="s">
        <v>21766</v>
      </c>
      <c r="C2864" t="s">
        <v>21767</v>
      </c>
      <c r="D2864">
        <v>1</v>
      </c>
      <c r="F2864" s="126"/>
      <c r="G2864" s="7">
        <v>0</v>
      </c>
      <c r="H2864" s="7">
        <v>0</v>
      </c>
      <c r="I2864" s="7">
        <v>0</v>
      </c>
      <c r="J2864" s="7">
        <v>0</v>
      </c>
      <c r="K2864" s="3">
        <f t="shared" si="106"/>
        <v>0</v>
      </c>
      <c r="L2864" s="3"/>
      <c r="M2864" s="3">
        <f t="shared" si="107"/>
        <v>0</v>
      </c>
      <c r="O2864" s="5"/>
      <c r="S2864" s="6"/>
    </row>
    <row r="2865" spans="1:22" customFormat="1" x14ac:dyDescent="0.45">
      <c r="A2865">
        <v>566946</v>
      </c>
      <c r="B2865" t="s">
        <v>21768</v>
      </c>
      <c r="C2865" t="s">
        <v>21769</v>
      </c>
      <c r="D2865">
        <v>5</v>
      </c>
      <c r="F2865" s="126"/>
      <c r="G2865" s="3">
        <v>0</v>
      </c>
      <c r="H2865" s="3">
        <v>0</v>
      </c>
      <c r="I2865" s="3">
        <v>0</v>
      </c>
      <c r="J2865" s="3">
        <v>0</v>
      </c>
      <c r="K2865" s="3">
        <f t="shared" si="106"/>
        <v>0</v>
      </c>
      <c r="L2865" s="3"/>
      <c r="M2865" s="3">
        <f t="shared" si="107"/>
        <v>0</v>
      </c>
      <c r="O2865" s="5"/>
      <c r="S2865" s="6"/>
    </row>
    <row r="2866" spans="1:22" customFormat="1" x14ac:dyDescent="0.45">
      <c r="A2866">
        <v>567443</v>
      </c>
      <c r="B2866" t="s">
        <v>21770</v>
      </c>
      <c r="C2866" t="s">
        <v>21771</v>
      </c>
      <c r="D2866">
        <v>2</v>
      </c>
      <c r="F2866" s="126"/>
      <c r="G2866" s="3">
        <v>0</v>
      </c>
      <c r="H2866" s="3">
        <v>0</v>
      </c>
      <c r="I2866" s="3">
        <v>0</v>
      </c>
      <c r="J2866" s="3">
        <v>0</v>
      </c>
      <c r="K2866" s="3">
        <f t="shared" si="106"/>
        <v>0</v>
      </c>
      <c r="L2866" s="3"/>
      <c r="M2866" s="3">
        <f t="shared" si="107"/>
        <v>0</v>
      </c>
      <c r="O2866" s="5"/>
      <c r="S2866" s="6"/>
    </row>
    <row r="2867" spans="1:22" customFormat="1" x14ac:dyDescent="0.45">
      <c r="A2867">
        <v>567504</v>
      </c>
      <c r="B2867" t="s">
        <v>21772</v>
      </c>
      <c r="C2867" t="s">
        <v>21773</v>
      </c>
      <c r="D2867">
        <v>3</v>
      </c>
      <c r="F2867" s="126"/>
      <c r="G2867" s="7">
        <v>0</v>
      </c>
      <c r="H2867" s="7">
        <v>0</v>
      </c>
      <c r="I2867" s="7">
        <v>0</v>
      </c>
      <c r="J2867" s="7">
        <v>0</v>
      </c>
      <c r="K2867" s="3">
        <f t="shared" si="106"/>
        <v>0</v>
      </c>
      <c r="L2867" s="3"/>
      <c r="M2867" s="3">
        <f t="shared" si="107"/>
        <v>0</v>
      </c>
      <c r="O2867" s="5"/>
      <c r="S2867" s="6"/>
    </row>
    <row r="2868" spans="1:22" customFormat="1" x14ac:dyDescent="0.45">
      <c r="A2868">
        <v>567842</v>
      </c>
      <c r="B2868" t="s">
        <v>21774</v>
      </c>
      <c r="C2868" t="s">
        <v>21775</v>
      </c>
      <c r="D2868">
        <v>5</v>
      </c>
      <c r="F2868" s="126"/>
      <c r="G2868" s="7">
        <v>0</v>
      </c>
      <c r="H2868" s="7">
        <v>0</v>
      </c>
      <c r="I2868" s="7">
        <v>0</v>
      </c>
      <c r="J2868" s="7">
        <v>0</v>
      </c>
      <c r="K2868" s="3">
        <f t="shared" si="106"/>
        <v>0</v>
      </c>
      <c r="L2868" s="3"/>
      <c r="M2868" s="3">
        <f t="shared" si="107"/>
        <v>0</v>
      </c>
      <c r="O2868" s="5"/>
      <c r="S2868" s="6"/>
    </row>
    <row r="2869" spans="1:22" customFormat="1" x14ac:dyDescent="0.45">
      <c r="A2869">
        <v>567851</v>
      </c>
      <c r="B2869" t="s">
        <v>21776</v>
      </c>
      <c r="C2869" t="s">
        <v>21777</v>
      </c>
      <c r="D2869">
        <v>4</v>
      </c>
      <c r="F2869" s="126"/>
      <c r="G2869" s="7">
        <v>0</v>
      </c>
      <c r="H2869" s="7">
        <v>0</v>
      </c>
      <c r="I2869" s="7">
        <v>0</v>
      </c>
      <c r="J2869" s="7">
        <v>0</v>
      </c>
      <c r="K2869" s="3">
        <f t="shared" si="106"/>
        <v>0</v>
      </c>
      <c r="L2869" s="3"/>
      <c r="M2869" s="3">
        <f t="shared" si="107"/>
        <v>0</v>
      </c>
      <c r="O2869" s="5"/>
      <c r="S2869" s="6"/>
    </row>
    <row r="2870" spans="1:22" customFormat="1" x14ac:dyDescent="0.45">
      <c r="A2870">
        <v>567852</v>
      </c>
      <c r="B2870" t="s">
        <v>21778</v>
      </c>
      <c r="C2870" t="s">
        <v>21779</v>
      </c>
      <c r="D2870">
        <v>10</v>
      </c>
      <c r="F2870" s="126"/>
      <c r="G2870" s="7">
        <v>0</v>
      </c>
      <c r="H2870" s="7">
        <v>0</v>
      </c>
      <c r="I2870" s="7">
        <v>0</v>
      </c>
      <c r="J2870" s="7">
        <v>0</v>
      </c>
      <c r="K2870" s="3">
        <f t="shared" si="106"/>
        <v>0</v>
      </c>
      <c r="L2870" s="3"/>
      <c r="M2870" s="3">
        <f t="shared" si="107"/>
        <v>0</v>
      </c>
      <c r="O2870" s="5"/>
      <c r="S2870" s="6"/>
    </row>
    <row r="2871" spans="1:22" x14ac:dyDescent="0.45">
      <c r="A2871" s="124">
        <v>582519</v>
      </c>
      <c r="B2871" s="124" t="s">
        <v>21780</v>
      </c>
      <c r="C2871" s="124" t="s">
        <v>21781</v>
      </c>
      <c r="D2871" s="124">
        <v>87</v>
      </c>
      <c r="E2871" s="124" t="s">
        <v>16417</v>
      </c>
      <c r="F2871" s="126">
        <v>0.01</v>
      </c>
      <c r="G2871" s="126">
        <v>3.5000000000000003E-2</v>
      </c>
      <c r="I2871" s="127"/>
      <c r="J2871" s="127"/>
      <c r="K2871" s="126">
        <f t="shared" si="106"/>
        <v>3.5000000000000003E-2</v>
      </c>
      <c r="L2871" s="3"/>
      <c r="M2871" s="126">
        <f t="shared" si="107"/>
        <v>4.5000000000000005E-2</v>
      </c>
      <c r="N2871" s="124" t="s">
        <v>17244</v>
      </c>
      <c r="O2871" s="141" t="s">
        <v>21781</v>
      </c>
      <c r="Q2871" s="130">
        <v>29758790</v>
      </c>
      <c r="R2871" s="130" t="s">
        <v>16348</v>
      </c>
      <c r="S2871" s="130">
        <v>18783993</v>
      </c>
      <c r="T2871" s="129">
        <f>S2871/Q2871</f>
        <v>0.63120822452794623</v>
      </c>
      <c r="U2871" s="130"/>
      <c r="V2871" s="125" t="s">
        <v>21782</v>
      </c>
    </row>
    <row r="2872" spans="1:22" customFormat="1" x14ac:dyDescent="0.45">
      <c r="A2872">
        <v>568273</v>
      </c>
      <c r="B2872" t="s">
        <v>21783</v>
      </c>
      <c r="C2872" t="s">
        <v>16331</v>
      </c>
      <c r="D2872">
        <v>2</v>
      </c>
      <c r="E2872" t="s">
        <v>16331</v>
      </c>
      <c r="F2872" s="126"/>
      <c r="G2872" s="7">
        <v>0</v>
      </c>
      <c r="H2872" s="7">
        <v>0</v>
      </c>
      <c r="I2872" s="7">
        <v>0</v>
      </c>
      <c r="J2872" s="7">
        <v>0</v>
      </c>
      <c r="K2872" s="3">
        <f t="shared" si="106"/>
        <v>0</v>
      </c>
      <c r="L2872" s="3"/>
      <c r="M2872" s="3">
        <f t="shared" si="107"/>
        <v>0</v>
      </c>
      <c r="O2872" s="5"/>
      <c r="S2872" s="6"/>
    </row>
    <row r="2873" spans="1:22" customFormat="1" x14ac:dyDescent="0.45">
      <c r="A2873">
        <v>568281</v>
      </c>
      <c r="B2873" t="s">
        <v>21784</v>
      </c>
      <c r="C2873" t="s">
        <v>21785</v>
      </c>
      <c r="D2873">
        <v>1</v>
      </c>
      <c r="F2873" s="126"/>
      <c r="G2873" s="7">
        <v>0</v>
      </c>
      <c r="H2873" s="7">
        <v>0</v>
      </c>
      <c r="I2873" s="7">
        <v>0</v>
      </c>
      <c r="J2873" s="7">
        <v>0</v>
      </c>
      <c r="K2873" s="3">
        <f t="shared" si="106"/>
        <v>0</v>
      </c>
      <c r="L2873" s="3"/>
      <c r="M2873" s="3">
        <f t="shared" si="107"/>
        <v>0</v>
      </c>
      <c r="O2873" s="5"/>
      <c r="S2873" s="6"/>
    </row>
    <row r="2874" spans="1:22" customFormat="1" x14ac:dyDescent="0.45">
      <c r="A2874">
        <v>568323</v>
      </c>
      <c r="B2874" t="s">
        <v>21786</v>
      </c>
      <c r="C2874" t="s">
        <v>21787</v>
      </c>
      <c r="D2874">
        <v>0</v>
      </c>
      <c r="E2874" t="s">
        <v>16561</v>
      </c>
      <c r="F2874" s="126"/>
      <c r="G2874" s="7">
        <v>0</v>
      </c>
      <c r="H2874" s="3">
        <v>0</v>
      </c>
      <c r="I2874" s="3">
        <v>0</v>
      </c>
      <c r="J2874">
        <v>0</v>
      </c>
      <c r="K2874" s="3">
        <f t="shared" si="106"/>
        <v>0</v>
      </c>
      <c r="L2874" s="3"/>
      <c r="M2874" s="3">
        <f t="shared" si="107"/>
        <v>0</v>
      </c>
      <c r="O2874" s="5"/>
      <c r="S2874" s="6"/>
    </row>
    <row r="2875" spans="1:22" customFormat="1" x14ac:dyDescent="0.45">
      <c r="A2875">
        <v>568521</v>
      </c>
      <c r="B2875" t="s">
        <v>21788</v>
      </c>
      <c r="C2875" t="s">
        <v>16331</v>
      </c>
      <c r="D2875">
        <v>1</v>
      </c>
      <c r="E2875" t="s">
        <v>16331</v>
      </c>
      <c r="F2875" s="126"/>
      <c r="G2875" s="7">
        <v>0</v>
      </c>
      <c r="H2875" s="7">
        <v>0</v>
      </c>
      <c r="I2875" s="7">
        <v>0</v>
      </c>
      <c r="J2875" s="7">
        <v>0</v>
      </c>
      <c r="K2875" s="3">
        <f t="shared" si="106"/>
        <v>0</v>
      </c>
      <c r="L2875" s="3"/>
      <c r="M2875" s="3">
        <f t="shared" si="107"/>
        <v>0</v>
      </c>
      <c r="O2875" s="5"/>
      <c r="S2875" s="6"/>
    </row>
    <row r="2876" spans="1:22" customFormat="1" x14ac:dyDescent="0.45">
      <c r="A2876">
        <v>569043</v>
      </c>
      <c r="B2876" t="s">
        <v>21789</v>
      </c>
      <c r="C2876" t="s">
        <v>21790</v>
      </c>
      <c r="D2876">
        <v>1</v>
      </c>
      <c r="F2876" s="126"/>
      <c r="G2876" s="3">
        <v>0</v>
      </c>
      <c r="H2876" s="3">
        <v>0</v>
      </c>
      <c r="I2876" s="3">
        <v>0</v>
      </c>
      <c r="J2876" s="3">
        <v>0</v>
      </c>
      <c r="K2876" s="3">
        <f t="shared" si="106"/>
        <v>0</v>
      </c>
      <c r="L2876" s="3"/>
      <c r="M2876" s="3">
        <f t="shared" si="107"/>
        <v>0</v>
      </c>
      <c r="O2876" s="5"/>
      <c r="S2876" s="6"/>
    </row>
    <row r="2877" spans="1:22" customFormat="1" x14ac:dyDescent="0.45">
      <c r="A2877">
        <v>569226</v>
      </c>
      <c r="B2877" t="s">
        <v>21791</v>
      </c>
      <c r="C2877" t="s">
        <v>21792</v>
      </c>
      <c r="D2877">
        <v>2</v>
      </c>
      <c r="F2877" s="126"/>
      <c r="G2877" s="7">
        <v>0</v>
      </c>
      <c r="H2877" s="7">
        <v>0</v>
      </c>
      <c r="I2877" s="7">
        <v>0</v>
      </c>
      <c r="J2877" s="7">
        <v>0</v>
      </c>
      <c r="K2877" s="3">
        <f t="shared" si="106"/>
        <v>0</v>
      </c>
      <c r="L2877" s="3"/>
      <c r="M2877" s="3">
        <f t="shared" si="107"/>
        <v>0</v>
      </c>
      <c r="O2877" s="5"/>
      <c r="S2877" s="6"/>
    </row>
    <row r="2878" spans="1:22" customFormat="1" x14ac:dyDescent="0.45">
      <c r="A2878">
        <v>569612</v>
      </c>
      <c r="B2878" t="s">
        <v>21793</v>
      </c>
      <c r="C2878" t="s">
        <v>16331</v>
      </c>
      <c r="D2878">
        <v>2</v>
      </c>
      <c r="E2878" t="s">
        <v>16331</v>
      </c>
      <c r="F2878" s="126"/>
      <c r="G2878" s="7">
        <v>0</v>
      </c>
      <c r="H2878" s="7">
        <v>0</v>
      </c>
      <c r="I2878" s="7">
        <v>0</v>
      </c>
      <c r="J2878" s="7">
        <v>0</v>
      </c>
      <c r="K2878" s="3">
        <f t="shared" si="106"/>
        <v>0</v>
      </c>
      <c r="L2878" s="3"/>
      <c r="M2878" s="3">
        <f t="shared" si="107"/>
        <v>0</v>
      </c>
      <c r="O2878" s="5"/>
      <c r="S2878" s="6"/>
    </row>
    <row r="2879" spans="1:22" customFormat="1" x14ac:dyDescent="0.45">
      <c r="A2879">
        <v>569713</v>
      </c>
      <c r="B2879" t="s">
        <v>21794</v>
      </c>
      <c r="C2879" t="s">
        <v>21795</v>
      </c>
      <c r="D2879">
        <v>8</v>
      </c>
      <c r="F2879" s="126"/>
      <c r="K2879" s="3">
        <f t="shared" si="106"/>
        <v>0</v>
      </c>
      <c r="L2879" s="3"/>
      <c r="M2879" s="3">
        <f t="shared" si="107"/>
        <v>0</v>
      </c>
      <c r="O2879" s="5"/>
      <c r="S2879" s="6"/>
    </row>
    <row r="2880" spans="1:22" customFormat="1" x14ac:dyDescent="0.45">
      <c r="A2880">
        <v>569723</v>
      </c>
      <c r="B2880" t="s">
        <v>21796</v>
      </c>
      <c r="C2880" t="s">
        <v>21797</v>
      </c>
      <c r="D2880">
        <v>1</v>
      </c>
      <c r="F2880" s="126"/>
      <c r="G2880" s="3">
        <v>0</v>
      </c>
      <c r="H2880" s="3">
        <v>0</v>
      </c>
      <c r="I2880" s="3">
        <v>0</v>
      </c>
      <c r="J2880" s="3">
        <v>0</v>
      </c>
      <c r="K2880" s="3">
        <f t="shared" si="106"/>
        <v>0</v>
      </c>
      <c r="L2880" s="3"/>
      <c r="M2880" s="3">
        <f t="shared" si="107"/>
        <v>0</v>
      </c>
      <c r="O2880" s="5"/>
      <c r="S2880" s="6"/>
    </row>
    <row r="2881" spans="1:19" customFormat="1" x14ac:dyDescent="0.45">
      <c r="A2881">
        <v>569871</v>
      </c>
      <c r="B2881" t="s">
        <v>21798</v>
      </c>
      <c r="C2881" t="s">
        <v>21799</v>
      </c>
      <c r="D2881">
        <v>2</v>
      </c>
      <c r="F2881" s="126"/>
      <c r="K2881" s="3">
        <f t="shared" si="106"/>
        <v>0</v>
      </c>
      <c r="L2881" s="3"/>
      <c r="M2881" s="3">
        <f t="shared" si="107"/>
        <v>0</v>
      </c>
      <c r="O2881" s="5"/>
      <c r="S2881" s="6"/>
    </row>
    <row r="2882" spans="1:19" customFormat="1" x14ac:dyDescent="0.45">
      <c r="A2882">
        <v>569888</v>
      </c>
      <c r="B2882" t="s">
        <v>21800</v>
      </c>
      <c r="C2882" t="s">
        <v>21801</v>
      </c>
      <c r="D2882">
        <v>3</v>
      </c>
      <c r="F2882" s="126"/>
      <c r="G2882" s="7">
        <v>0</v>
      </c>
      <c r="H2882" s="7">
        <v>0</v>
      </c>
      <c r="I2882" s="7">
        <v>0</v>
      </c>
      <c r="J2882" s="7">
        <v>0</v>
      </c>
      <c r="K2882" s="3">
        <f t="shared" si="106"/>
        <v>0</v>
      </c>
      <c r="L2882" s="3"/>
      <c r="M2882" s="3">
        <f t="shared" si="107"/>
        <v>0</v>
      </c>
      <c r="O2882" s="5"/>
      <c r="S2882" s="6"/>
    </row>
    <row r="2883" spans="1:19" customFormat="1" x14ac:dyDescent="0.45">
      <c r="A2883">
        <v>570102</v>
      </c>
      <c r="B2883" t="s">
        <v>21802</v>
      </c>
      <c r="C2883" t="s">
        <v>21803</v>
      </c>
      <c r="D2883">
        <v>2</v>
      </c>
      <c r="F2883" s="126"/>
      <c r="K2883" s="3">
        <f t="shared" si="106"/>
        <v>0</v>
      </c>
      <c r="L2883" s="3"/>
      <c r="M2883" s="3">
        <f t="shared" si="107"/>
        <v>0</v>
      </c>
      <c r="O2883" s="5"/>
      <c r="S2883" s="6"/>
    </row>
    <row r="2884" spans="1:19" customFormat="1" x14ac:dyDescent="0.45">
      <c r="A2884">
        <v>570863</v>
      </c>
      <c r="B2884" t="s">
        <v>21804</v>
      </c>
      <c r="C2884" t="s">
        <v>21805</v>
      </c>
      <c r="D2884">
        <v>2</v>
      </c>
      <c r="F2884" s="126"/>
      <c r="G2884" s="7">
        <v>0</v>
      </c>
      <c r="H2884" s="7">
        <v>0</v>
      </c>
      <c r="I2884" s="7">
        <v>0</v>
      </c>
      <c r="J2884" s="7">
        <v>0</v>
      </c>
      <c r="K2884" s="3">
        <f t="shared" si="106"/>
        <v>0</v>
      </c>
      <c r="L2884" s="3"/>
      <c r="M2884" s="3">
        <f t="shared" si="107"/>
        <v>0</v>
      </c>
      <c r="O2884" s="5"/>
      <c r="S2884" s="6"/>
    </row>
    <row r="2885" spans="1:19" customFormat="1" x14ac:dyDescent="0.45">
      <c r="A2885">
        <v>571252</v>
      </c>
      <c r="B2885" t="s">
        <v>21806</v>
      </c>
      <c r="C2885" t="s">
        <v>21807</v>
      </c>
      <c r="D2885">
        <v>1</v>
      </c>
      <c r="F2885" s="126"/>
      <c r="G2885" s="7">
        <v>0</v>
      </c>
      <c r="H2885" s="7">
        <v>0</v>
      </c>
      <c r="I2885" s="7">
        <v>0</v>
      </c>
      <c r="J2885" s="7">
        <v>0</v>
      </c>
      <c r="K2885" s="3">
        <f t="shared" si="106"/>
        <v>0</v>
      </c>
      <c r="L2885" s="3"/>
      <c r="M2885" s="3">
        <f t="shared" si="107"/>
        <v>0</v>
      </c>
      <c r="O2885" s="5"/>
      <c r="S2885" s="6"/>
    </row>
    <row r="2886" spans="1:19" customFormat="1" x14ac:dyDescent="0.45">
      <c r="A2886">
        <v>571299</v>
      </c>
      <c r="B2886" t="s">
        <v>21808</v>
      </c>
      <c r="C2886" t="s">
        <v>21809</v>
      </c>
      <c r="D2886">
        <v>1</v>
      </c>
      <c r="F2886" s="126"/>
      <c r="G2886" s="7">
        <v>0</v>
      </c>
      <c r="H2886" s="7">
        <v>0</v>
      </c>
      <c r="I2886" s="7">
        <v>0</v>
      </c>
      <c r="J2886" s="7">
        <v>0</v>
      </c>
      <c r="K2886" s="3">
        <f t="shared" si="106"/>
        <v>0</v>
      </c>
      <c r="L2886" s="3"/>
      <c r="M2886" s="3">
        <f t="shared" si="107"/>
        <v>0</v>
      </c>
      <c r="O2886" s="5"/>
      <c r="S2886" s="6"/>
    </row>
    <row r="2887" spans="1:19" customFormat="1" x14ac:dyDescent="0.45">
      <c r="A2887">
        <v>571405</v>
      </c>
      <c r="B2887" t="s">
        <v>21810</v>
      </c>
      <c r="C2887" t="s">
        <v>21811</v>
      </c>
      <c r="D2887">
        <v>2</v>
      </c>
      <c r="F2887" s="126"/>
      <c r="G2887" s="7">
        <v>0</v>
      </c>
      <c r="H2887" s="7">
        <v>0</v>
      </c>
      <c r="I2887" s="7">
        <v>0</v>
      </c>
      <c r="J2887" s="7">
        <v>0</v>
      </c>
      <c r="K2887" s="3">
        <f t="shared" si="106"/>
        <v>0</v>
      </c>
      <c r="L2887" s="3"/>
      <c r="M2887" s="3">
        <f t="shared" si="107"/>
        <v>0</v>
      </c>
      <c r="O2887" s="5"/>
      <c r="S2887" s="6"/>
    </row>
    <row r="2888" spans="1:19" customFormat="1" x14ac:dyDescent="0.45">
      <c r="A2888">
        <v>571590</v>
      </c>
      <c r="B2888" t="s">
        <v>21812</v>
      </c>
      <c r="C2888" t="s">
        <v>21813</v>
      </c>
      <c r="D2888">
        <v>2</v>
      </c>
      <c r="F2888" s="126"/>
      <c r="G2888" s="3">
        <v>0</v>
      </c>
      <c r="H2888" s="3">
        <v>0</v>
      </c>
      <c r="I2888" s="3">
        <v>0</v>
      </c>
      <c r="J2888" s="3">
        <v>0</v>
      </c>
      <c r="K2888" s="3">
        <f t="shared" si="106"/>
        <v>0</v>
      </c>
      <c r="L2888" s="3"/>
      <c r="M2888" s="3">
        <f t="shared" si="107"/>
        <v>0</v>
      </c>
      <c r="O2888" s="5"/>
      <c r="S2888" s="6"/>
    </row>
    <row r="2889" spans="1:19" customFormat="1" x14ac:dyDescent="0.45">
      <c r="A2889">
        <v>571653</v>
      </c>
      <c r="B2889" t="s">
        <v>21814</v>
      </c>
      <c r="C2889" t="s">
        <v>21815</v>
      </c>
      <c r="D2889">
        <v>2</v>
      </c>
      <c r="F2889" s="126"/>
      <c r="G2889" s="3">
        <v>0</v>
      </c>
      <c r="H2889" s="3">
        <v>0</v>
      </c>
      <c r="I2889" s="3">
        <v>0</v>
      </c>
      <c r="J2889" s="3">
        <v>0</v>
      </c>
      <c r="K2889" s="3">
        <f t="shared" si="106"/>
        <v>0</v>
      </c>
      <c r="L2889" s="3"/>
      <c r="M2889" s="3">
        <f t="shared" si="107"/>
        <v>0</v>
      </c>
      <c r="O2889" s="5"/>
      <c r="S2889" s="6"/>
    </row>
    <row r="2890" spans="1:19" customFormat="1" x14ac:dyDescent="0.45">
      <c r="A2890">
        <v>571695</v>
      </c>
      <c r="B2890" t="s">
        <v>21816</v>
      </c>
      <c r="C2890" t="s">
        <v>21817</v>
      </c>
      <c r="D2890">
        <v>0</v>
      </c>
      <c r="E2890" t="s">
        <v>16334</v>
      </c>
      <c r="F2890" s="126"/>
      <c r="G2890" s="7">
        <v>0</v>
      </c>
      <c r="H2890" s="7">
        <v>0</v>
      </c>
      <c r="I2890" s="7">
        <v>0</v>
      </c>
      <c r="J2890" s="7">
        <v>0</v>
      </c>
      <c r="K2890" s="3">
        <f t="shared" si="106"/>
        <v>0</v>
      </c>
      <c r="L2890" s="3"/>
      <c r="M2890" s="3">
        <f t="shared" si="107"/>
        <v>0</v>
      </c>
      <c r="O2890" s="5"/>
      <c r="S2890" s="6"/>
    </row>
    <row r="2891" spans="1:19" customFormat="1" x14ac:dyDescent="0.45">
      <c r="A2891">
        <v>571728</v>
      </c>
      <c r="B2891" t="s">
        <v>21818</v>
      </c>
      <c r="C2891" t="s">
        <v>21819</v>
      </c>
      <c r="D2891">
        <v>2</v>
      </c>
      <c r="F2891" s="126"/>
      <c r="G2891" s="3">
        <v>0</v>
      </c>
      <c r="H2891" s="3">
        <v>0</v>
      </c>
      <c r="I2891" s="3">
        <v>0</v>
      </c>
      <c r="J2891" s="3">
        <v>0</v>
      </c>
      <c r="K2891" s="3">
        <f t="shared" si="106"/>
        <v>0</v>
      </c>
      <c r="L2891" s="3"/>
      <c r="M2891" s="3">
        <f t="shared" si="107"/>
        <v>0</v>
      </c>
      <c r="O2891" s="5"/>
      <c r="S2891" s="6"/>
    </row>
    <row r="2892" spans="1:19" customFormat="1" x14ac:dyDescent="0.45">
      <c r="A2892">
        <v>572096</v>
      </c>
      <c r="B2892" t="s">
        <v>21820</v>
      </c>
      <c r="C2892" t="s">
        <v>21821</v>
      </c>
      <c r="D2892">
        <v>8</v>
      </c>
      <c r="F2892" s="126"/>
      <c r="G2892" s="7">
        <v>0</v>
      </c>
      <c r="H2892" s="7">
        <v>0</v>
      </c>
      <c r="I2892" s="7">
        <v>0</v>
      </c>
      <c r="J2892" s="7">
        <v>0</v>
      </c>
      <c r="K2892" s="3">
        <f t="shared" si="106"/>
        <v>0</v>
      </c>
      <c r="L2892" s="3"/>
      <c r="M2892" s="3">
        <f t="shared" si="107"/>
        <v>0</v>
      </c>
      <c r="N2892" s="7"/>
      <c r="O2892" s="5"/>
      <c r="S2892" s="6"/>
    </row>
    <row r="2893" spans="1:19" customFormat="1" x14ac:dyDescent="0.45">
      <c r="A2893">
        <v>572119</v>
      </c>
      <c r="B2893" t="s">
        <v>21822</v>
      </c>
      <c r="C2893" t="s">
        <v>16331</v>
      </c>
      <c r="D2893">
        <v>1</v>
      </c>
      <c r="E2893" t="s">
        <v>16331</v>
      </c>
      <c r="F2893" s="126"/>
      <c r="G2893" s="7">
        <v>0</v>
      </c>
      <c r="H2893" s="7">
        <v>0</v>
      </c>
      <c r="I2893" s="7">
        <v>0</v>
      </c>
      <c r="J2893" s="7">
        <v>0</v>
      </c>
      <c r="K2893" s="3">
        <f t="shared" si="106"/>
        <v>0</v>
      </c>
      <c r="L2893" s="3"/>
      <c r="M2893" s="3">
        <f t="shared" si="107"/>
        <v>0</v>
      </c>
      <c r="O2893" s="5"/>
      <c r="S2893" s="6"/>
    </row>
    <row r="2894" spans="1:19" customFormat="1" x14ac:dyDescent="0.45">
      <c r="A2894">
        <v>572159</v>
      </c>
      <c r="B2894" t="s">
        <v>21823</v>
      </c>
      <c r="C2894" t="s">
        <v>16331</v>
      </c>
      <c r="D2894">
        <v>1</v>
      </c>
      <c r="E2894" t="s">
        <v>16331</v>
      </c>
      <c r="F2894" s="126"/>
      <c r="G2894" s="7">
        <v>0</v>
      </c>
      <c r="H2894" s="7">
        <v>0</v>
      </c>
      <c r="I2894" s="7">
        <v>0</v>
      </c>
      <c r="J2894" s="7">
        <v>0</v>
      </c>
      <c r="K2894" s="3">
        <f t="shared" si="106"/>
        <v>0</v>
      </c>
      <c r="L2894" s="3"/>
      <c r="M2894" s="3">
        <f t="shared" si="107"/>
        <v>0</v>
      </c>
      <c r="O2894" s="5"/>
      <c r="S2894" s="6"/>
    </row>
    <row r="2895" spans="1:19" customFormat="1" x14ac:dyDescent="0.45">
      <c r="A2895">
        <v>572300</v>
      </c>
      <c r="B2895" t="s">
        <v>21824</v>
      </c>
      <c r="C2895" t="s">
        <v>21825</v>
      </c>
      <c r="D2895">
        <v>0</v>
      </c>
      <c r="E2895" t="s">
        <v>16561</v>
      </c>
      <c r="F2895" s="126"/>
      <c r="G2895" s="7">
        <v>0</v>
      </c>
      <c r="H2895" s="7">
        <v>0</v>
      </c>
      <c r="I2895" s="7">
        <v>0</v>
      </c>
      <c r="J2895" s="7">
        <v>0</v>
      </c>
      <c r="K2895" s="3">
        <f t="shared" si="106"/>
        <v>0</v>
      </c>
      <c r="L2895" s="3"/>
      <c r="M2895" s="3">
        <f t="shared" si="107"/>
        <v>0</v>
      </c>
      <c r="N2895" s="7"/>
      <c r="O2895" s="5"/>
      <c r="S2895" s="6"/>
    </row>
    <row r="2896" spans="1:19" customFormat="1" x14ac:dyDescent="0.45">
      <c r="A2896">
        <v>572308</v>
      </c>
      <c r="B2896" t="s">
        <v>21826</v>
      </c>
      <c r="C2896" t="s">
        <v>21827</v>
      </c>
      <c r="D2896">
        <v>2</v>
      </c>
      <c r="F2896" s="126"/>
      <c r="G2896" s="7">
        <v>0</v>
      </c>
      <c r="H2896" s="7">
        <v>0</v>
      </c>
      <c r="I2896" s="7">
        <v>0</v>
      </c>
      <c r="J2896" s="7">
        <v>0</v>
      </c>
      <c r="K2896" s="3">
        <f t="shared" si="106"/>
        <v>0</v>
      </c>
      <c r="L2896" s="3"/>
      <c r="M2896" s="3">
        <f t="shared" si="107"/>
        <v>0</v>
      </c>
      <c r="O2896" s="5"/>
      <c r="S2896" s="6"/>
    </row>
    <row r="2897" spans="1:23" customFormat="1" x14ac:dyDescent="0.45">
      <c r="A2897">
        <v>572461</v>
      </c>
      <c r="B2897" t="s">
        <v>21828</v>
      </c>
      <c r="C2897" t="s">
        <v>21829</v>
      </c>
      <c r="D2897">
        <v>1</v>
      </c>
      <c r="F2897" s="126"/>
      <c r="G2897" s="3">
        <v>0</v>
      </c>
      <c r="H2897" s="3">
        <v>0</v>
      </c>
      <c r="I2897" s="3">
        <v>0</v>
      </c>
      <c r="J2897" s="3">
        <v>0</v>
      </c>
      <c r="K2897" s="3">
        <f t="shared" si="106"/>
        <v>0</v>
      </c>
      <c r="L2897" s="3"/>
      <c r="M2897" s="3">
        <f t="shared" si="107"/>
        <v>0</v>
      </c>
      <c r="O2897" s="5"/>
      <c r="S2897" s="6"/>
    </row>
    <row r="2898" spans="1:23" customFormat="1" x14ac:dyDescent="0.45">
      <c r="A2898">
        <v>572521</v>
      </c>
      <c r="B2898" t="s">
        <v>21830</v>
      </c>
      <c r="C2898" t="s">
        <v>21831</v>
      </c>
      <c r="D2898">
        <v>2</v>
      </c>
      <c r="F2898" s="126"/>
      <c r="G2898" s="7">
        <v>0</v>
      </c>
      <c r="H2898" s="7">
        <v>0</v>
      </c>
      <c r="I2898" s="7">
        <v>0</v>
      </c>
      <c r="J2898" s="7">
        <v>0</v>
      </c>
      <c r="K2898" s="3">
        <f t="shared" si="106"/>
        <v>0</v>
      </c>
      <c r="L2898" s="3"/>
      <c r="M2898" s="3">
        <f t="shared" si="107"/>
        <v>0</v>
      </c>
      <c r="O2898" s="5"/>
      <c r="S2898" s="6"/>
    </row>
    <row r="2899" spans="1:23" customFormat="1" x14ac:dyDescent="0.45">
      <c r="A2899">
        <v>572605</v>
      </c>
      <c r="B2899" t="s">
        <v>21832</v>
      </c>
      <c r="C2899" t="s">
        <v>16331</v>
      </c>
      <c r="D2899">
        <v>2</v>
      </c>
      <c r="E2899" t="s">
        <v>16331</v>
      </c>
      <c r="F2899" s="126"/>
      <c r="G2899" s="7">
        <v>0</v>
      </c>
      <c r="H2899" s="7">
        <v>0</v>
      </c>
      <c r="I2899" s="7">
        <v>0</v>
      </c>
      <c r="J2899" s="7">
        <v>0</v>
      </c>
      <c r="K2899" s="3">
        <f t="shared" si="106"/>
        <v>0</v>
      </c>
      <c r="L2899" s="3"/>
      <c r="M2899" s="3">
        <f t="shared" si="107"/>
        <v>0</v>
      </c>
      <c r="O2899" s="5"/>
      <c r="S2899" s="6"/>
    </row>
    <row r="2900" spans="1:23" customFormat="1" x14ac:dyDescent="0.45">
      <c r="A2900">
        <v>572611</v>
      </c>
      <c r="B2900" t="s">
        <v>21833</v>
      </c>
      <c r="C2900" t="s">
        <v>21834</v>
      </c>
      <c r="D2900">
        <v>4</v>
      </c>
      <c r="F2900" s="126"/>
      <c r="G2900" s="7">
        <v>0</v>
      </c>
      <c r="H2900" s="7">
        <v>0</v>
      </c>
      <c r="I2900" s="7">
        <v>0</v>
      </c>
      <c r="J2900" s="7">
        <v>0</v>
      </c>
      <c r="K2900" s="3">
        <f t="shared" si="106"/>
        <v>0</v>
      </c>
      <c r="L2900" s="3"/>
      <c r="M2900" s="3">
        <f t="shared" si="107"/>
        <v>0</v>
      </c>
      <c r="O2900" s="5"/>
      <c r="S2900" s="6"/>
    </row>
    <row r="2901" spans="1:23" customFormat="1" x14ac:dyDescent="0.45">
      <c r="A2901">
        <v>572655</v>
      </c>
      <c r="B2901" t="s">
        <v>21835</v>
      </c>
      <c r="C2901" t="s">
        <v>21836</v>
      </c>
      <c r="D2901">
        <v>1</v>
      </c>
      <c r="F2901" s="126"/>
      <c r="G2901" s="7">
        <v>0</v>
      </c>
      <c r="H2901" s="7">
        <v>0</v>
      </c>
      <c r="I2901" s="7">
        <v>0</v>
      </c>
      <c r="J2901" s="7">
        <v>0</v>
      </c>
      <c r="K2901" s="3">
        <f t="shared" si="106"/>
        <v>0</v>
      </c>
      <c r="L2901" s="3"/>
      <c r="M2901" s="3">
        <f t="shared" si="107"/>
        <v>0</v>
      </c>
      <c r="O2901" s="5"/>
      <c r="S2901" s="6"/>
    </row>
    <row r="2902" spans="1:23" customFormat="1" x14ac:dyDescent="0.45">
      <c r="A2902">
        <v>572691</v>
      </c>
      <c r="B2902" t="s">
        <v>21837</v>
      </c>
      <c r="C2902" t="s">
        <v>21838</v>
      </c>
      <c r="D2902">
        <v>4</v>
      </c>
      <c r="F2902" s="126"/>
      <c r="G2902" s="7">
        <v>0</v>
      </c>
      <c r="H2902" s="3">
        <v>0</v>
      </c>
      <c r="I2902" s="3">
        <v>0</v>
      </c>
      <c r="J2902">
        <v>0</v>
      </c>
      <c r="K2902" s="3">
        <f t="shared" si="106"/>
        <v>0</v>
      </c>
      <c r="L2902" s="3"/>
      <c r="M2902" s="3">
        <f t="shared" si="107"/>
        <v>0</v>
      </c>
      <c r="O2902" s="5"/>
      <c r="S2902" s="6"/>
    </row>
    <row r="2903" spans="1:23" customFormat="1" x14ac:dyDescent="0.45">
      <c r="A2903">
        <v>572891</v>
      </c>
      <c r="B2903" t="s">
        <v>21839</v>
      </c>
      <c r="C2903" t="s">
        <v>21840</v>
      </c>
      <c r="D2903">
        <v>2</v>
      </c>
      <c r="F2903" s="126"/>
      <c r="K2903" s="3">
        <f t="shared" si="106"/>
        <v>0</v>
      </c>
      <c r="L2903" s="3"/>
      <c r="M2903" s="3">
        <f t="shared" si="107"/>
        <v>0</v>
      </c>
      <c r="O2903" s="5"/>
      <c r="S2903" s="6"/>
    </row>
    <row r="2904" spans="1:23" customFormat="1" x14ac:dyDescent="0.45">
      <c r="A2904">
        <v>572917</v>
      </c>
      <c r="B2904" t="s">
        <v>21841</v>
      </c>
      <c r="C2904" t="s">
        <v>16331</v>
      </c>
      <c r="D2904">
        <v>1</v>
      </c>
      <c r="E2904" t="s">
        <v>16331</v>
      </c>
      <c r="F2904" s="126"/>
      <c r="G2904" s="7">
        <v>0</v>
      </c>
      <c r="H2904" s="7">
        <v>0</v>
      </c>
      <c r="I2904" s="7">
        <v>0</v>
      </c>
      <c r="J2904" s="7">
        <v>0</v>
      </c>
      <c r="K2904" s="3">
        <f t="shared" si="106"/>
        <v>0</v>
      </c>
      <c r="L2904" s="3"/>
      <c r="M2904" s="3">
        <f t="shared" si="107"/>
        <v>0</v>
      </c>
      <c r="N2904" s="7"/>
      <c r="O2904" s="5"/>
      <c r="S2904" s="6"/>
    </row>
    <row r="2905" spans="1:23" customFormat="1" x14ac:dyDescent="0.45">
      <c r="A2905">
        <v>572955</v>
      </c>
      <c r="B2905" t="s">
        <v>21842</v>
      </c>
      <c r="C2905" t="s">
        <v>16331</v>
      </c>
      <c r="D2905">
        <v>4</v>
      </c>
      <c r="E2905" t="s">
        <v>16331</v>
      </c>
      <c r="F2905" s="126"/>
      <c r="G2905" s="7">
        <v>0</v>
      </c>
      <c r="H2905" s="7">
        <v>0</v>
      </c>
      <c r="I2905" s="7">
        <v>0</v>
      </c>
      <c r="J2905" s="7">
        <v>0</v>
      </c>
      <c r="K2905" s="3">
        <f t="shared" si="106"/>
        <v>0</v>
      </c>
      <c r="L2905" s="3"/>
      <c r="M2905" s="3">
        <f t="shared" si="107"/>
        <v>0</v>
      </c>
      <c r="O2905" s="5"/>
      <c r="S2905" s="6"/>
    </row>
    <row r="2906" spans="1:23" x14ac:dyDescent="0.45">
      <c r="A2906" s="124">
        <v>453251</v>
      </c>
      <c r="B2906" s="124" t="s">
        <v>21843</v>
      </c>
      <c r="C2906" s="124" t="s">
        <v>21844</v>
      </c>
      <c r="D2906" s="124">
        <v>2</v>
      </c>
      <c r="E2906" s="124" t="s">
        <v>16417</v>
      </c>
      <c r="F2906" s="126">
        <v>5.4000000000000003E-3</v>
      </c>
      <c r="G2906" s="126">
        <v>8.9999999999999993E-3</v>
      </c>
      <c r="H2906" s="127">
        <v>7.4999999999999997E-3</v>
      </c>
      <c r="I2906" s="127">
        <v>0</v>
      </c>
      <c r="J2906" s="127">
        <v>0</v>
      </c>
      <c r="K2906" s="126">
        <f t="shared" si="106"/>
        <v>1.6500000000000001E-2</v>
      </c>
      <c r="L2906" s="3"/>
      <c r="M2906" s="126">
        <f t="shared" si="107"/>
        <v>2.1900000000000003E-2</v>
      </c>
      <c r="O2906" s="125" t="s">
        <v>21845</v>
      </c>
      <c r="P2906" s="125" t="s">
        <v>21846</v>
      </c>
      <c r="Q2906" s="130">
        <v>161118851</v>
      </c>
      <c r="R2906" s="130" t="s">
        <v>16</v>
      </c>
      <c r="S2906" s="130">
        <v>142135576</v>
      </c>
      <c r="T2906" s="129">
        <f>S2906/Q2906</f>
        <v>0.88217843609125535</v>
      </c>
      <c r="U2906" s="130"/>
      <c r="V2906" s="124" t="s">
        <v>21847</v>
      </c>
    </row>
    <row r="2907" spans="1:23" customFormat="1" x14ac:dyDescent="0.45">
      <c r="A2907">
        <v>573420</v>
      </c>
      <c r="B2907" t="s">
        <v>21848</v>
      </c>
      <c r="C2907" t="s">
        <v>16331</v>
      </c>
      <c r="D2907">
        <v>4</v>
      </c>
      <c r="E2907" t="s">
        <v>16331</v>
      </c>
      <c r="F2907" s="126"/>
      <c r="G2907" s="7">
        <v>0</v>
      </c>
      <c r="H2907" s="7">
        <v>0</v>
      </c>
      <c r="I2907" s="7">
        <v>0</v>
      </c>
      <c r="J2907" s="7">
        <v>0</v>
      </c>
      <c r="K2907" s="3">
        <f t="shared" si="106"/>
        <v>0</v>
      </c>
      <c r="L2907" s="3"/>
      <c r="M2907" s="3">
        <f t="shared" si="107"/>
        <v>0</v>
      </c>
      <c r="O2907" s="5"/>
      <c r="S2907" s="6"/>
    </row>
    <row r="2908" spans="1:23" customFormat="1" x14ac:dyDescent="0.45">
      <c r="A2908">
        <v>573661</v>
      </c>
      <c r="B2908" t="s">
        <v>21849</v>
      </c>
      <c r="C2908" t="s">
        <v>21850</v>
      </c>
      <c r="D2908">
        <v>1</v>
      </c>
      <c r="F2908" s="126"/>
      <c r="G2908" s="7">
        <v>0</v>
      </c>
      <c r="H2908" s="7">
        <v>0</v>
      </c>
      <c r="I2908" s="7">
        <v>0</v>
      </c>
      <c r="J2908" s="7">
        <v>0</v>
      </c>
      <c r="K2908" s="3">
        <f t="shared" si="106"/>
        <v>0</v>
      </c>
      <c r="L2908" s="3"/>
      <c r="M2908" s="3">
        <f t="shared" si="107"/>
        <v>0</v>
      </c>
      <c r="O2908" s="5"/>
      <c r="S2908" s="6"/>
    </row>
    <row r="2909" spans="1:23" x14ac:dyDescent="0.45">
      <c r="A2909" s="124">
        <v>552016</v>
      </c>
      <c r="B2909" s="124" t="s">
        <v>21851</v>
      </c>
      <c r="C2909" s="124" t="s">
        <v>21852</v>
      </c>
      <c r="D2909" s="124">
        <v>7</v>
      </c>
      <c r="E2909" s="124" t="s">
        <v>16417</v>
      </c>
      <c r="F2909" s="126">
        <v>5.4000000000000003E-3</v>
      </c>
      <c r="G2909" s="126">
        <v>8.9999999999999993E-3</v>
      </c>
      <c r="H2909" s="127">
        <v>7.4999999999999997E-3</v>
      </c>
      <c r="I2909" s="127">
        <v>0</v>
      </c>
      <c r="J2909" s="127">
        <v>0</v>
      </c>
      <c r="K2909" s="126">
        <f t="shared" si="106"/>
        <v>1.6500000000000001E-2</v>
      </c>
      <c r="L2909" s="3"/>
      <c r="M2909" s="126">
        <f t="shared" si="107"/>
        <v>2.1900000000000003E-2</v>
      </c>
      <c r="N2909" s="124" t="s">
        <v>21853</v>
      </c>
      <c r="O2909" s="141" t="s">
        <v>21845</v>
      </c>
      <c r="Q2909" s="130">
        <v>161118851</v>
      </c>
      <c r="R2909" s="130" t="s">
        <v>16</v>
      </c>
      <c r="S2909" s="130">
        <v>142135576</v>
      </c>
      <c r="T2909" s="129">
        <f>S2909/Q2909</f>
        <v>0.88217843609125535</v>
      </c>
      <c r="U2909" s="130"/>
      <c r="V2909" s="124" t="s">
        <v>21847</v>
      </c>
      <c r="W2909" s="124" t="s">
        <v>21854</v>
      </c>
    </row>
    <row r="2910" spans="1:23" customFormat="1" x14ac:dyDescent="0.45">
      <c r="A2910">
        <v>574676</v>
      </c>
      <c r="B2910" t="s">
        <v>21855</v>
      </c>
      <c r="C2910" t="s">
        <v>16331</v>
      </c>
      <c r="D2910">
        <v>1</v>
      </c>
      <c r="E2910" t="s">
        <v>16331</v>
      </c>
      <c r="F2910" s="126"/>
      <c r="G2910" s="7">
        <v>0</v>
      </c>
      <c r="H2910" s="7">
        <v>0</v>
      </c>
      <c r="I2910" s="7">
        <v>0</v>
      </c>
      <c r="J2910" s="7">
        <v>0</v>
      </c>
      <c r="K2910" s="3">
        <f t="shared" si="106"/>
        <v>0</v>
      </c>
      <c r="L2910" s="3"/>
      <c r="M2910" s="3">
        <f t="shared" si="107"/>
        <v>0</v>
      </c>
      <c r="O2910" s="5"/>
      <c r="S2910" s="6"/>
    </row>
    <row r="2911" spans="1:23" customFormat="1" x14ac:dyDescent="0.45">
      <c r="A2911">
        <v>574686</v>
      </c>
      <c r="B2911" t="s">
        <v>21856</v>
      </c>
      <c r="C2911" t="s">
        <v>21857</v>
      </c>
      <c r="D2911">
        <v>2</v>
      </c>
      <c r="F2911" s="126"/>
      <c r="G2911" s="7">
        <v>0</v>
      </c>
      <c r="H2911" s="7">
        <v>0</v>
      </c>
      <c r="I2911" s="7">
        <v>0</v>
      </c>
      <c r="J2911" s="7">
        <v>0</v>
      </c>
      <c r="K2911" s="3">
        <f t="shared" si="106"/>
        <v>0</v>
      </c>
      <c r="L2911" s="3"/>
      <c r="M2911" s="3">
        <f t="shared" si="107"/>
        <v>0</v>
      </c>
      <c r="O2911" s="5"/>
      <c r="S2911" s="6"/>
    </row>
    <row r="2912" spans="1:23" customFormat="1" x14ac:dyDescent="0.45">
      <c r="A2912">
        <v>574786</v>
      </c>
      <c r="B2912" t="s">
        <v>21858</v>
      </c>
      <c r="C2912" t="s">
        <v>21859</v>
      </c>
      <c r="D2912">
        <v>4</v>
      </c>
      <c r="F2912" s="126"/>
      <c r="K2912" s="3">
        <f t="shared" si="106"/>
        <v>0</v>
      </c>
      <c r="L2912" s="3"/>
      <c r="M2912" s="3">
        <f t="shared" si="107"/>
        <v>0</v>
      </c>
      <c r="O2912" s="5"/>
      <c r="S2912" s="6"/>
    </row>
    <row r="2913" spans="1:23" x14ac:dyDescent="0.45">
      <c r="A2913" s="124">
        <v>755066</v>
      </c>
      <c r="B2913" s="124" t="s">
        <v>21860</v>
      </c>
      <c r="C2913" s="124" t="s">
        <v>21852</v>
      </c>
      <c r="D2913" s="124">
        <v>71</v>
      </c>
      <c r="E2913" s="124" t="s">
        <v>16417</v>
      </c>
      <c r="F2913" s="126">
        <v>5.4000000000000003E-3</v>
      </c>
      <c r="G2913" s="126">
        <v>8.9999999999999993E-3</v>
      </c>
      <c r="H2913" s="127">
        <v>7.4999999999999997E-3</v>
      </c>
      <c r="I2913" s="127">
        <v>0</v>
      </c>
      <c r="J2913" s="127">
        <v>0</v>
      </c>
      <c r="K2913" s="126">
        <f t="shared" si="106"/>
        <v>1.6500000000000001E-2</v>
      </c>
      <c r="L2913" s="3"/>
      <c r="M2913" s="126">
        <f t="shared" si="107"/>
        <v>2.1900000000000003E-2</v>
      </c>
      <c r="N2913" s="135"/>
      <c r="O2913" s="141" t="s">
        <v>21845</v>
      </c>
      <c r="Q2913" s="130">
        <v>161118851</v>
      </c>
      <c r="R2913" s="130" t="s">
        <v>16</v>
      </c>
      <c r="S2913" s="130">
        <v>142135576</v>
      </c>
      <c r="T2913" s="129">
        <f>S2913/Q2913</f>
        <v>0.88217843609125535</v>
      </c>
      <c r="U2913" s="130"/>
      <c r="V2913" s="124" t="s">
        <v>21847</v>
      </c>
      <c r="W2913" s="124" t="s">
        <v>21854</v>
      </c>
    </row>
    <row r="2914" spans="1:23" customFormat="1" x14ac:dyDescent="0.45">
      <c r="A2914">
        <v>575237</v>
      </c>
      <c r="B2914" t="s">
        <v>21861</v>
      </c>
      <c r="C2914" t="s">
        <v>16331</v>
      </c>
      <c r="D2914">
        <v>0</v>
      </c>
      <c r="E2914" t="s">
        <v>16331</v>
      </c>
      <c r="F2914" s="126"/>
      <c r="K2914" s="3">
        <f t="shared" ref="K2914:K2977" si="108">SUM(G2914:J2914)</f>
        <v>0</v>
      </c>
      <c r="L2914" s="3"/>
      <c r="M2914" s="3">
        <f t="shared" ref="M2914:M2977" si="109">K2914+F2914</f>
        <v>0</v>
      </c>
      <c r="O2914" s="5"/>
      <c r="S2914" s="6"/>
    </row>
    <row r="2915" spans="1:23" customFormat="1" x14ac:dyDescent="0.45">
      <c r="A2915">
        <v>575242</v>
      </c>
      <c r="B2915" t="s">
        <v>21862</v>
      </c>
      <c r="C2915" t="s">
        <v>21863</v>
      </c>
      <c r="D2915">
        <v>0</v>
      </c>
      <c r="E2915" t="s">
        <v>16334</v>
      </c>
      <c r="F2915" s="126"/>
      <c r="K2915" s="3">
        <f t="shared" si="108"/>
        <v>0</v>
      </c>
      <c r="L2915" s="3"/>
      <c r="M2915" s="3">
        <f t="shared" si="109"/>
        <v>0</v>
      </c>
      <c r="O2915" s="5"/>
      <c r="S2915" s="6"/>
    </row>
    <row r="2916" spans="1:23" customFormat="1" x14ac:dyDescent="0.45">
      <c r="A2916">
        <v>575246</v>
      </c>
      <c r="B2916" t="s">
        <v>21864</v>
      </c>
      <c r="C2916" t="s">
        <v>21865</v>
      </c>
      <c r="D2916">
        <v>1</v>
      </c>
      <c r="F2916" s="126"/>
      <c r="G2916" s="7">
        <v>0</v>
      </c>
      <c r="H2916" s="7">
        <v>0</v>
      </c>
      <c r="I2916" s="7">
        <v>0</v>
      </c>
      <c r="J2916" s="7">
        <v>0</v>
      </c>
      <c r="K2916" s="3">
        <f t="shared" si="108"/>
        <v>0</v>
      </c>
      <c r="L2916" s="3"/>
      <c r="M2916" s="3">
        <f t="shared" si="109"/>
        <v>0</v>
      </c>
      <c r="O2916" s="5"/>
      <c r="S2916" s="6"/>
    </row>
    <row r="2917" spans="1:23" customFormat="1" x14ac:dyDescent="0.45">
      <c r="A2917">
        <v>575247</v>
      </c>
      <c r="B2917" t="s">
        <v>21866</v>
      </c>
      <c r="C2917" t="s">
        <v>16331</v>
      </c>
      <c r="D2917">
        <v>1</v>
      </c>
      <c r="E2917" t="s">
        <v>16331</v>
      </c>
      <c r="F2917" s="126"/>
      <c r="G2917" s="7">
        <v>0</v>
      </c>
      <c r="H2917" s="7">
        <v>0</v>
      </c>
      <c r="I2917" s="7">
        <v>0</v>
      </c>
      <c r="J2917" s="7">
        <v>0</v>
      </c>
      <c r="K2917" s="3">
        <f t="shared" si="108"/>
        <v>0</v>
      </c>
      <c r="L2917" s="3"/>
      <c r="M2917" s="3">
        <f t="shared" si="109"/>
        <v>0</v>
      </c>
      <c r="O2917" s="5"/>
      <c r="S2917" s="6"/>
    </row>
    <row r="2918" spans="1:23" customFormat="1" x14ac:dyDescent="0.45">
      <c r="A2918">
        <v>575251</v>
      </c>
      <c r="B2918" t="s">
        <v>21867</v>
      </c>
      <c r="C2918" t="s">
        <v>21868</v>
      </c>
      <c r="D2918">
        <v>1</v>
      </c>
      <c r="F2918" s="126"/>
      <c r="G2918" s="7">
        <v>0</v>
      </c>
      <c r="H2918" s="7">
        <v>0</v>
      </c>
      <c r="I2918" s="7">
        <v>0</v>
      </c>
      <c r="J2918" s="7">
        <v>0</v>
      </c>
      <c r="K2918" s="3">
        <f t="shared" si="108"/>
        <v>0</v>
      </c>
      <c r="L2918" s="3"/>
      <c r="M2918" s="3">
        <f t="shared" si="109"/>
        <v>0</v>
      </c>
      <c r="N2918" s="7"/>
      <c r="O2918" s="5"/>
      <c r="S2918" s="6"/>
    </row>
    <row r="2919" spans="1:23" customFormat="1" x14ac:dyDescent="0.45">
      <c r="A2919">
        <v>575252</v>
      </c>
      <c r="B2919" t="s">
        <v>21869</v>
      </c>
      <c r="C2919" t="s">
        <v>21870</v>
      </c>
      <c r="D2919">
        <v>45</v>
      </c>
      <c r="F2919" s="126"/>
      <c r="G2919" s="7">
        <v>0</v>
      </c>
      <c r="H2919" s="7">
        <v>0</v>
      </c>
      <c r="I2919" s="7">
        <v>0</v>
      </c>
      <c r="J2919" s="7">
        <v>0</v>
      </c>
      <c r="K2919" s="3">
        <f t="shared" si="108"/>
        <v>0</v>
      </c>
      <c r="L2919" s="3"/>
      <c r="M2919" s="3">
        <f t="shared" si="109"/>
        <v>0</v>
      </c>
      <c r="O2919" s="5"/>
      <c r="S2919" s="6"/>
    </row>
    <row r="2920" spans="1:23" customFormat="1" x14ac:dyDescent="0.45">
      <c r="A2920">
        <v>575394</v>
      </c>
      <c r="B2920" t="s">
        <v>21871</v>
      </c>
      <c r="C2920" t="s">
        <v>21872</v>
      </c>
      <c r="D2920">
        <v>1</v>
      </c>
      <c r="F2920" s="126"/>
      <c r="G2920" s="7">
        <v>0</v>
      </c>
      <c r="H2920" s="7">
        <v>0</v>
      </c>
      <c r="I2920" s="7">
        <v>0</v>
      </c>
      <c r="J2920" s="7">
        <v>0</v>
      </c>
      <c r="K2920" s="3">
        <f t="shared" si="108"/>
        <v>0</v>
      </c>
      <c r="L2920" s="3"/>
      <c r="M2920" s="3">
        <f t="shared" si="109"/>
        <v>0</v>
      </c>
      <c r="O2920" s="5"/>
      <c r="S2920" s="6"/>
    </row>
    <row r="2921" spans="1:23" customFormat="1" x14ac:dyDescent="0.45">
      <c r="A2921">
        <v>575549</v>
      </c>
      <c r="B2921" t="s">
        <v>21873</v>
      </c>
      <c r="C2921" t="s">
        <v>21874</v>
      </c>
      <c r="D2921">
        <v>7</v>
      </c>
      <c r="F2921" s="126"/>
      <c r="G2921" s="3">
        <v>0</v>
      </c>
      <c r="H2921" s="3">
        <v>0</v>
      </c>
      <c r="I2921" s="3">
        <v>0</v>
      </c>
      <c r="J2921" s="3">
        <v>0</v>
      </c>
      <c r="K2921" s="3">
        <f t="shared" si="108"/>
        <v>0</v>
      </c>
      <c r="L2921" s="3"/>
      <c r="M2921" s="3">
        <f t="shared" si="109"/>
        <v>0</v>
      </c>
      <c r="O2921" s="5"/>
      <c r="S2921" s="6"/>
    </row>
    <row r="2922" spans="1:23" customFormat="1" x14ac:dyDescent="0.45">
      <c r="A2922">
        <v>576159</v>
      </c>
      <c r="B2922" t="s">
        <v>21875</v>
      </c>
      <c r="C2922" t="s">
        <v>16331</v>
      </c>
      <c r="D2922">
        <v>3</v>
      </c>
      <c r="E2922" t="s">
        <v>16331</v>
      </c>
      <c r="F2922" s="126"/>
      <c r="K2922" s="3">
        <f t="shared" si="108"/>
        <v>0</v>
      </c>
      <c r="L2922" s="3"/>
      <c r="M2922" s="3">
        <f t="shared" si="109"/>
        <v>0</v>
      </c>
      <c r="O2922" s="5"/>
      <c r="S2922" s="6"/>
    </row>
    <row r="2923" spans="1:23" x14ac:dyDescent="0.45">
      <c r="A2923" s="124">
        <v>481182</v>
      </c>
      <c r="B2923" s="124" t="s">
        <v>21876</v>
      </c>
      <c r="C2923" s="124" t="s">
        <v>21877</v>
      </c>
      <c r="D2923" s="124">
        <v>2</v>
      </c>
      <c r="E2923" s="124" t="s">
        <v>16334</v>
      </c>
      <c r="F2923" s="126">
        <v>1.6999999999999999E-3</v>
      </c>
      <c r="G2923" s="126">
        <v>1.4999999999999999E-2</v>
      </c>
      <c r="H2923" s="126">
        <v>5.0000000000000001E-3</v>
      </c>
      <c r="I2923" s="127"/>
      <c r="J2923" s="127"/>
      <c r="K2923" s="126">
        <f t="shared" si="108"/>
        <v>0.02</v>
      </c>
      <c r="L2923" s="3"/>
      <c r="M2923" s="126">
        <f t="shared" si="109"/>
        <v>2.1700000000000001E-2</v>
      </c>
      <c r="N2923" s="124" t="str">
        <f>P2923</f>
        <v>Blackrock MyMap 5 Fund D GBP Acc, GB00BFBFYQ25:GBP summary - FT.com</v>
      </c>
      <c r="O2923" s="131" t="s">
        <v>21878</v>
      </c>
      <c r="P2923" s="128" t="s">
        <v>26918</v>
      </c>
      <c r="Q2923" s="130">
        <f>674883+36271</f>
        <v>711154</v>
      </c>
      <c r="R2923" s="124" t="s">
        <v>16348</v>
      </c>
      <c r="S2923" s="132">
        <v>674883</v>
      </c>
      <c r="T2923" s="129">
        <f>S2923/Q2923</f>
        <v>0.94899698236950081</v>
      </c>
      <c r="V2923" s="125" t="s">
        <v>21879</v>
      </c>
    </row>
    <row r="2924" spans="1:23" customFormat="1" x14ac:dyDescent="0.45">
      <c r="A2924">
        <v>576184</v>
      </c>
      <c r="B2924" t="s">
        <v>21880</v>
      </c>
      <c r="C2924" t="s">
        <v>21881</v>
      </c>
      <c r="D2924">
        <v>1</v>
      </c>
      <c r="F2924" s="126"/>
      <c r="G2924" s="7">
        <v>0</v>
      </c>
      <c r="H2924" s="7">
        <v>0</v>
      </c>
      <c r="I2924" s="7">
        <v>0</v>
      </c>
      <c r="J2924" s="7">
        <v>0</v>
      </c>
      <c r="K2924" s="3">
        <f t="shared" si="108"/>
        <v>0</v>
      </c>
      <c r="L2924" s="3"/>
      <c r="M2924" s="3">
        <f t="shared" si="109"/>
        <v>0</v>
      </c>
      <c r="O2924" s="5"/>
      <c r="S2924" s="6"/>
    </row>
    <row r="2925" spans="1:23" customFormat="1" x14ac:dyDescent="0.45">
      <c r="A2925">
        <v>576353</v>
      </c>
      <c r="B2925" t="s">
        <v>21882</v>
      </c>
      <c r="C2925" t="s">
        <v>21883</v>
      </c>
      <c r="D2925">
        <v>1</v>
      </c>
      <c r="F2925" s="126"/>
      <c r="G2925" s="3">
        <v>0</v>
      </c>
      <c r="H2925" s="3">
        <v>0</v>
      </c>
      <c r="I2925" s="3">
        <v>0</v>
      </c>
      <c r="J2925" s="3">
        <v>0</v>
      </c>
      <c r="K2925" s="3">
        <f t="shared" si="108"/>
        <v>0</v>
      </c>
      <c r="L2925" s="3"/>
      <c r="M2925" s="3">
        <f t="shared" si="109"/>
        <v>0</v>
      </c>
      <c r="O2925" s="5"/>
      <c r="S2925" s="6"/>
    </row>
    <row r="2926" spans="1:23" customFormat="1" x14ac:dyDescent="0.45">
      <c r="A2926">
        <v>576731</v>
      </c>
      <c r="B2926" t="s">
        <v>21884</v>
      </c>
      <c r="C2926" t="s">
        <v>16331</v>
      </c>
      <c r="D2926">
        <v>1</v>
      </c>
      <c r="E2926" t="s">
        <v>16331</v>
      </c>
      <c r="F2926" s="126"/>
      <c r="G2926" s="7">
        <v>0</v>
      </c>
      <c r="H2926" s="7">
        <v>0</v>
      </c>
      <c r="I2926" s="7">
        <v>0</v>
      </c>
      <c r="J2926" s="7">
        <v>0</v>
      </c>
      <c r="K2926" s="3">
        <f t="shared" si="108"/>
        <v>0</v>
      </c>
      <c r="L2926" s="3"/>
      <c r="M2926" s="3">
        <f t="shared" si="109"/>
        <v>0</v>
      </c>
      <c r="O2926" s="5"/>
      <c r="S2926" s="6"/>
    </row>
    <row r="2927" spans="1:23" customFormat="1" x14ac:dyDescent="0.45">
      <c r="A2927">
        <v>576749</v>
      </c>
      <c r="B2927" t="s">
        <v>21885</v>
      </c>
      <c r="C2927" t="s">
        <v>21886</v>
      </c>
      <c r="D2927">
        <v>2</v>
      </c>
      <c r="F2927" s="126"/>
      <c r="G2927" s="7">
        <v>0</v>
      </c>
      <c r="H2927" s="7">
        <v>0</v>
      </c>
      <c r="I2927" s="7">
        <v>0</v>
      </c>
      <c r="J2927" s="7">
        <v>0</v>
      </c>
      <c r="K2927" s="3">
        <f t="shared" si="108"/>
        <v>0</v>
      </c>
      <c r="L2927" s="3"/>
      <c r="M2927" s="3">
        <f t="shared" si="109"/>
        <v>0</v>
      </c>
      <c r="O2927" s="5"/>
      <c r="S2927" s="6"/>
    </row>
    <row r="2928" spans="1:23" customFormat="1" x14ac:dyDescent="0.45">
      <c r="A2928">
        <v>576846</v>
      </c>
      <c r="B2928" t="s">
        <v>21887</v>
      </c>
      <c r="C2928" t="s">
        <v>16331</v>
      </c>
      <c r="D2928">
        <v>1</v>
      </c>
      <c r="E2928" t="s">
        <v>16331</v>
      </c>
      <c r="F2928" s="126"/>
      <c r="G2928" s="7">
        <v>0</v>
      </c>
      <c r="H2928" s="7">
        <v>0</v>
      </c>
      <c r="I2928" s="7">
        <v>0</v>
      </c>
      <c r="J2928" s="7">
        <v>0</v>
      </c>
      <c r="K2928" s="3">
        <f t="shared" si="108"/>
        <v>0</v>
      </c>
      <c r="L2928" s="3"/>
      <c r="M2928" s="3">
        <f t="shared" si="109"/>
        <v>0</v>
      </c>
      <c r="O2928" s="5"/>
      <c r="S2928" s="6"/>
    </row>
    <row r="2929" spans="1:22" customFormat="1" x14ac:dyDescent="0.45">
      <c r="A2929">
        <v>577082</v>
      </c>
      <c r="B2929" t="s">
        <v>21888</v>
      </c>
      <c r="C2929" t="s">
        <v>21889</v>
      </c>
      <c r="D2929">
        <v>5</v>
      </c>
      <c r="F2929" s="126"/>
      <c r="G2929" s="7">
        <v>0</v>
      </c>
      <c r="H2929" s="7">
        <v>0</v>
      </c>
      <c r="I2929" s="7">
        <v>0</v>
      </c>
      <c r="J2929" s="7">
        <v>0</v>
      </c>
      <c r="K2929" s="3">
        <f t="shared" si="108"/>
        <v>0</v>
      </c>
      <c r="L2929" s="3"/>
      <c r="M2929" s="3">
        <f t="shared" si="109"/>
        <v>0</v>
      </c>
      <c r="N2929" s="7"/>
      <c r="O2929" s="5"/>
      <c r="S2929" s="6"/>
    </row>
    <row r="2930" spans="1:22" customFormat="1" x14ac:dyDescent="0.45">
      <c r="A2930">
        <v>577169</v>
      </c>
      <c r="B2930" t="s">
        <v>21890</v>
      </c>
      <c r="C2930" t="s">
        <v>21891</v>
      </c>
      <c r="D2930">
        <v>1</v>
      </c>
      <c r="F2930" s="126"/>
      <c r="G2930" s="3">
        <v>0</v>
      </c>
      <c r="H2930" s="3">
        <v>0</v>
      </c>
      <c r="I2930" s="3">
        <v>0</v>
      </c>
      <c r="J2930" s="3">
        <v>0</v>
      </c>
      <c r="K2930" s="3">
        <f t="shared" si="108"/>
        <v>0</v>
      </c>
      <c r="L2930" s="3"/>
      <c r="M2930" s="3">
        <f t="shared" si="109"/>
        <v>0</v>
      </c>
      <c r="O2930" s="5"/>
      <c r="S2930" s="6"/>
    </row>
    <row r="2931" spans="1:22" customFormat="1" x14ac:dyDescent="0.45">
      <c r="A2931">
        <v>577269</v>
      </c>
      <c r="B2931" t="s">
        <v>21892</v>
      </c>
      <c r="C2931" t="s">
        <v>21893</v>
      </c>
      <c r="D2931">
        <v>1</v>
      </c>
      <c r="F2931" s="126"/>
      <c r="G2931" s="7">
        <v>0</v>
      </c>
      <c r="H2931" s="7">
        <v>0</v>
      </c>
      <c r="I2931" s="7">
        <v>0</v>
      </c>
      <c r="J2931" s="7">
        <v>0</v>
      </c>
      <c r="K2931" s="3">
        <f t="shared" si="108"/>
        <v>0</v>
      </c>
      <c r="L2931" s="3"/>
      <c r="M2931" s="3">
        <f t="shared" si="109"/>
        <v>0</v>
      </c>
      <c r="O2931" s="5"/>
      <c r="S2931" s="6"/>
    </row>
    <row r="2932" spans="1:22" customFormat="1" x14ac:dyDescent="0.45">
      <c r="A2932">
        <v>577323</v>
      </c>
      <c r="B2932" t="s">
        <v>21894</v>
      </c>
      <c r="C2932" t="s">
        <v>21895</v>
      </c>
      <c r="D2932">
        <v>1</v>
      </c>
      <c r="F2932" s="126"/>
      <c r="G2932" s="7">
        <v>0</v>
      </c>
      <c r="H2932" s="7">
        <v>0</v>
      </c>
      <c r="I2932" s="7">
        <v>0</v>
      </c>
      <c r="J2932" s="7">
        <v>0</v>
      </c>
      <c r="K2932" s="3">
        <f t="shared" si="108"/>
        <v>0</v>
      </c>
      <c r="L2932" s="3"/>
      <c r="M2932" s="3">
        <f t="shared" si="109"/>
        <v>0</v>
      </c>
      <c r="O2932" s="5"/>
      <c r="S2932" s="6"/>
    </row>
    <row r="2933" spans="1:22" x14ac:dyDescent="0.45">
      <c r="A2933" s="124">
        <v>184591</v>
      </c>
      <c r="B2933" s="124" t="s">
        <v>21896</v>
      </c>
      <c r="C2933" s="124" t="s">
        <v>21897</v>
      </c>
      <c r="D2933" s="124">
        <v>148</v>
      </c>
      <c r="E2933" s="124" t="s">
        <v>16417</v>
      </c>
      <c r="F2933" s="126">
        <f>0.38%+0.3%</f>
        <v>6.8000000000000005E-3</v>
      </c>
      <c r="G2933" s="135">
        <v>0.02</v>
      </c>
      <c r="H2933" s="126">
        <f>0.95%</f>
        <v>9.4999999999999998E-3</v>
      </c>
      <c r="I2933" s="127">
        <v>0</v>
      </c>
      <c r="J2933" s="127">
        <v>0</v>
      </c>
      <c r="K2933" s="126">
        <f t="shared" si="108"/>
        <v>2.9499999999999998E-2</v>
      </c>
      <c r="L2933" s="3"/>
      <c r="M2933" s="126">
        <f t="shared" si="109"/>
        <v>3.6299999999999999E-2</v>
      </c>
      <c r="N2933" s="135"/>
      <c r="O2933" s="141" t="s">
        <v>16704</v>
      </c>
      <c r="Q2933" s="130">
        <v>43457000</v>
      </c>
      <c r="R2933" s="130" t="s">
        <v>16</v>
      </c>
      <c r="S2933" s="130">
        <v>26935000</v>
      </c>
      <c r="T2933" s="129">
        <f>S2933/Q2933</f>
        <v>0.61980808615412941</v>
      </c>
      <c r="U2933" s="130"/>
      <c r="V2933" s="125" t="s">
        <v>21898</v>
      </c>
    </row>
    <row r="2934" spans="1:22" customFormat="1" x14ac:dyDescent="0.45">
      <c r="A2934">
        <v>577471</v>
      </c>
      <c r="B2934" t="s">
        <v>21899</v>
      </c>
      <c r="C2934" t="s">
        <v>16331</v>
      </c>
      <c r="D2934">
        <v>1</v>
      </c>
      <c r="E2934" t="s">
        <v>16331</v>
      </c>
      <c r="F2934" s="126"/>
      <c r="K2934" s="3">
        <f t="shared" si="108"/>
        <v>0</v>
      </c>
      <c r="L2934" s="3"/>
      <c r="M2934" s="3">
        <f t="shared" si="109"/>
        <v>0</v>
      </c>
      <c r="O2934" s="5"/>
      <c r="S2934" s="6"/>
    </row>
    <row r="2935" spans="1:22" x14ac:dyDescent="0.45">
      <c r="A2935" s="124">
        <v>195199</v>
      </c>
      <c r="B2935" s="124" t="s">
        <v>21900</v>
      </c>
      <c r="C2935" s="125" t="s">
        <v>21901</v>
      </c>
      <c r="D2935" s="124">
        <v>70</v>
      </c>
      <c r="E2935" s="124" t="s">
        <v>16417</v>
      </c>
      <c r="F2935" s="126">
        <f>0.38%+0.3%</f>
        <v>6.8000000000000005E-3</v>
      </c>
      <c r="G2935" s="135">
        <v>0.02</v>
      </c>
      <c r="H2935" s="126">
        <f>0.95%</f>
        <v>9.4999999999999998E-3</v>
      </c>
      <c r="I2935" s="127">
        <v>0</v>
      </c>
      <c r="J2935" s="127">
        <v>0</v>
      </c>
      <c r="K2935" s="126">
        <f t="shared" si="108"/>
        <v>2.9499999999999998E-2</v>
      </c>
      <c r="L2935" s="3"/>
      <c r="M2935" s="126">
        <f t="shared" si="109"/>
        <v>3.6299999999999999E-2</v>
      </c>
      <c r="N2935" s="125" t="s">
        <v>21902</v>
      </c>
      <c r="O2935" s="124" t="s">
        <v>16704</v>
      </c>
      <c r="Q2935" s="130">
        <v>87370000</v>
      </c>
      <c r="R2935" s="130" t="s">
        <v>16</v>
      </c>
      <c r="S2935" s="130">
        <v>17752000</v>
      </c>
      <c r="T2935" s="129">
        <f>S2935/Q2935</f>
        <v>0.20318187020716494</v>
      </c>
      <c r="U2935" s="130"/>
      <c r="V2935" s="124" t="s">
        <v>21903</v>
      </c>
    </row>
    <row r="2936" spans="1:22" customFormat="1" x14ac:dyDescent="0.45">
      <c r="A2936">
        <v>577595</v>
      </c>
      <c r="B2936" t="s">
        <v>21904</v>
      </c>
      <c r="C2936" t="s">
        <v>21905</v>
      </c>
      <c r="D2936">
        <v>1</v>
      </c>
      <c r="F2936" s="126"/>
      <c r="K2936" s="3">
        <f t="shared" si="108"/>
        <v>0</v>
      </c>
      <c r="L2936" s="3"/>
      <c r="M2936" s="3">
        <f t="shared" si="109"/>
        <v>0</v>
      </c>
      <c r="O2936" s="5"/>
      <c r="S2936" s="6"/>
    </row>
    <row r="2937" spans="1:22" customFormat="1" x14ac:dyDescent="0.45">
      <c r="A2937">
        <v>577611</v>
      </c>
      <c r="B2937" t="s">
        <v>21906</v>
      </c>
      <c r="C2937" t="s">
        <v>21907</v>
      </c>
      <c r="D2937">
        <v>0</v>
      </c>
      <c r="E2937" t="s">
        <v>16561</v>
      </c>
      <c r="F2937" s="126"/>
      <c r="K2937" s="3">
        <f t="shared" si="108"/>
        <v>0</v>
      </c>
      <c r="L2937" s="3"/>
      <c r="M2937" s="3">
        <f t="shared" si="109"/>
        <v>0</v>
      </c>
      <c r="O2937" s="5"/>
      <c r="S2937" s="6"/>
    </row>
    <row r="2938" spans="1:22" customFormat="1" x14ac:dyDescent="0.45">
      <c r="A2938">
        <v>577935</v>
      </c>
      <c r="B2938" t="s">
        <v>21908</v>
      </c>
      <c r="C2938" t="s">
        <v>16331</v>
      </c>
      <c r="D2938">
        <v>1</v>
      </c>
      <c r="E2938" t="s">
        <v>16331</v>
      </c>
      <c r="F2938" s="126"/>
      <c r="G2938" s="7">
        <v>0</v>
      </c>
      <c r="H2938" s="7">
        <v>0</v>
      </c>
      <c r="I2938" s="7">
        <v>0</v>
      </c>
      <c r="J2938" s="7">
        <v>0</v>
      </c>
      <c r="K2938" s="3">
        <f t="shared" si="108"/>
        <v>0</v>
      </c>
      <c r="L2938" s="3"/>
      <c r="M2938" s="3">
        <f t="shared" si="109"/>
        <v>0</v>
      </c>
      <c r="O2938" s="5"/>
      <c r="S2938" s="6"/>
    </row>
    <row r="2939" spans="1:22" customFormat="1" x14ac:dyDescent="0.45">
      <c r="A2939">
        <v>578031</v>
      </c>
      <c r="B2939" t="s">
        <v>21909</v>
      </c>
      <c r="C2939" t="s">
        <v>16331</v>
      </c>
      <c r="D2939">
        <v>1</v>
      </c>
      <c r="E2939" t="s">
        <v>16331</v>
      </c>
      <c r="F2939" s="126"/>
      <c r="G2939" s="7">
        <v>0</v>
      </c>
      <c r="H2939" s="7">
        <v>0</v>
      </c>
      <c r="I2939" s="7">
        <v>0</v>
      </c>
      <c r="J2939" s="7">
        <v>0</v>
      </c>
      <c r="K2939" s="3">
        <f t="shared" si="108"/>
        <v>0</v>
      </c>
      <c r="L2939" s="3"/>
      <c r="M2939" s="3">
        <f t="shared" si="109"/>
        <v>0</v>
      </c>
      <c r="O2939" s="5"/>
      <c r="S2939" s="6"/>
    </row>
    <row r="2940" spans="1:22" customFormat="1" x14ac:dyDescent="0.45">
      <c r="A2940">
        <v>578037</v>
      </c>
      <c r="B2940" t="s">
        <v>21910</v>
      </c>
      <c r="C2940" t="s">
        <v>21911</v>
      </c>
      <c r="D2940">
        <v>1</v>
      </c>
      <c r="F2940" s="126"/>
      <c r="G2940" s="3">
        <v>0</v>
      </c>
      <c r="H2940" s="3">
        <v>0</v>
      </c>
      <c r="I2940" s="3">
        <v>0</v>
      </c>
      <c r="J2940" s="3">
        <v>0</v>
      </c>
      <c r="K2940" s="3">
        <f t="shared" si="108"/>
        <v>0</v>
      </c>
      <c r="L2940" s="3"/>
      <c r="M2940" s="3">
        <f t="shared" si="109"/>
        <v>0</v>
      </c>
      <c r="O2940" s="5"/>
      <c r="S2940" s="6"/>
    </row>
    <row r="2941" spans="1:22" customFormat="1" x14ac:dyDescent="0.45">
      <c r="A2941">
        <v>578320</v>
      </c>
      <c r="B2941" t="s">
        <v>21912</v>
      </c>
      <c r="C2941" t="s">
        <v>21913</v>
      </c>
      <c r="D2941">
        <v>1</v>
      </c>
      <c r="F2941" s="126"/>
      <c r="G2941" s="7">
        <v>0</v>
      </c>
      <c r="H2941" s="7">
        <v>0</v>
      </c>
      <c r="I2941" s="7">
        <v>0</v>
      </c>
      <c r="J2941" s="7">
        <v>0</v>
      </c>
      <c r="K2941" s="3">
        <f t="shared" si="108"/>
        <v>0</v>
      </c>
      <c r="L2941" s="3"/>
      <c r="M2941" s="3">
        <f t="shared" si="109"/>
        <v>0</v>
      </c>
      <c r="O2941" s="5"/>
      <c r="S2941" s="6"/>
    </row>
    <row r="2942" spans="1:22" customFormat="1" x14ac:dyDescent="0.45">
      <c r="A2942">
        <v>578323</v>
      </c>
      <c r="B2942" t="s">
        <v>21914</v>
      </c>
      <c r="C2942" t="s">
        <v>21915</v>
      </c>
      <c r="D2942">
        <v>1</v>
      </c>
      <c r="F2942" s="126"/>
      <c r="G2942" s="7">
        <v>0</v>
      </c>
      <c r="H2942" s="7">
        <v>0</v>
      </c>
      <c r="I2942" s="7">
        <v>0</v>
      </c>
      <c r="J2942" s="7">
        <v>0</v>
      </c>
      <c r="K2942" s="3">
        <f t="shared" si="108"/>
        <v>0</v>
      </c>
      <c r="L2942" s="3"/>
      <c r="M2942" s="3">
        <f t="shared" si="109"/>
        <v>0</v>
      </c>
      <c r="O2942" s="5"/>
      <c r="S2942" s="6"/>
    </row>
    <row r="2943" spans="1:22" customFormat="1" x14ac:dyDescent="0.45">
      <c r="A2943">
        <v>578337</v>
      </c>
      <c r="B2943" t="s">
        <v>21916</v>
      </c>
      <c r="C2943" t="s">
        <v>21917</v>
      </c>
      <c r="D2943">
        <v>1</v>
      </c>
      <c r="F2943" s="126"/>
      <c r="G2943" s="7">
        <v>0</v>
      </c>
      <c r="H2943" s="7">
        <v>0</v>
      </c>
      <c r="I2943" s="7">
        <v>0</v>
      </c>
      <c r="J2943" s="7">
        <v>0</v>
      </c>
      <c r="K2943" s="3">
        <f t="shared" si="108"/>
        <v>0</v>
      </c>
      <c r="L2943" s="3"/>
      <c r="M2943" s="3">
        <f t="shared" si="109"/>
        <v>0</v>
      </c>
      <c r="O2943" s="5"/>
      <c r="S2943" s="6"/>
    </row>
    <row r="2944" spans="1:22" customFormat="1" x14ac:dyDescent="0.45">
      <c r="A2944">
        <v>578609</v>
      </c>
      <c r="B2944" t="s">
        <v>21918</v>
      </c>
      <c r="C2944" t="s">
        <v>16331</v>
      </c>
      <c r="D2944">
        <v>8</v>
      </c>
      <c r="E2944" t="s">
        <v>16331</v>
      </c>
      <c r="F2944" s="126"/>
      <c r="G2944" s="7">
        <v>0</v>
      </c>
      <c r="H2944" s="7">
        <v>0</v>
      </c>
      <c r="I2944" s="7">
        <v>0</v>
      </c>
      <c r="J2944" s="7">
        <v>0</v>
      </c>
      <c r="K2944" s="3">
        <f t="shared" si="108"/>
        <v>0</v>
      </c>
      <c r="L2944" s="3"/>
      <c r="M2944" s="3">
        <f t="shared" si="109"/>
        <v>0</v>
      </c>
      <c r="O2944" s="5"/>
      <c r="S2944" s="6"/>
    </row>
    <row r="2945" spans="1:22" x14ac:dyDescent="0.45">
      <c r="A2945" s="124">
        <v>217742</v>
      </c>
      <c r="B2945" s="124" t="s">
        <v>21919</v>
      </c>
      <c r="C2945" s="125" t="s">
        <v>21897</v>
      </c>
      <c r="D2945" s="124">
        <v>86</v>
      </c>
      <c r="E2945" s="124" t="s">
        <v>16417</v>
      </c>
      <c r="F2945" s="126">
        <f>0.38%+0.3%</f>
        <v>6.8000000000000005E-3</v>
      </c>
      <c r="G2945" s="135">
        <v>0.02</v>
      </c>
      <c r="H2945" s="126">
        <f>0.95%</f>
        <v>9.4999999999999998E-3</v>
      </c>
      <c r="I2945" s="127">
        <v>0</v>
      </c>
      <c r="J2945" s="127">
        <v>0</v>
      </c>
      <c r="K2945" s="126">
        <f t="shared" si="108"/>
        <v>2.9499999999999998E-2</v>
      </c>
      <c r="L2945" s="3"/>
      <c r="M2945" s="126">
        <f t="shared" si="109"/>
        <v>3.6299999999999999E-2</v>
      </c>
      <c r="N2945" s="135"/>
      <c r="O2945" s="125" t="s">
        <v>16704</v>
      </c>
      <c r="Q2945" s="130">
        <f>(18568+4)*1000</f>
        <v>18572000</v>
      </c>
      <c r="R2945" s="130" t="s">
        <v>16</v>
      </c>
      <c r="S2945" s="130">
        <v>8615000</v>
      </c>
      <c r="T2945" s="129">
        <f>S2945/Q2945</f>
        <v>0.4638703424510015</v>
      </c>
      <c r="U2945" s="130"/>
      <c r="V2945" s="125" t="s">
        <v>21920</v>
      </c>
    </row>
    <row r="2946" spans="1:22" customFormat="1" x14ac:dyDescent="0.45">
      <c r="A2946">
        <v>578635</v>
      </c>
      <c r="B2946" t="s">
        <v>21921</v>
      </c>
      <c r="C2946" t="s">
        <v>16331</v>
      </c>
      <c r="D2946">
        <v>5</v>
      </c>
      <c r="E2946" t="s">
        <v>16331</v>
      </c>
      <c r="F2946" s="126"/>
      <c r="G2946" s="7">
        <v>0</v>
      </c>
      <c r="H2946" s="7">
        <v>0</v>
      </c>
      <c r="I2946" s="7">
        <v>0</v>
      </c>
      <c r="J2946" s="7">
        <v>0</v>
      </c>
      <c r="K2946" s="3">
        <f t="shared" si="108"/>
        <v>0</v>
      </c>
      <c r="L2946" s="3"/>
      <c r="M2946" s="3">
        <f t="shared" si="109"/>
        <v>0</v>
      </c>
      <c r="O2946" s="5"/>
      <c r="S2946" s="6"/>
    </row>
    <row r="2947" spans="1:22" customFormat="1" x14ac:dyDescent="0.45">
      <c r="A2947">
        <v>578647</v>
      </c>
      <c r="B2947" t="s">
        <v>21922</v>
      </c>
      <c r="C2947" t="s">
        <v>21923</v>
      </c>
      <c r="D2947">
        <v>2</v>
      </c>
      <c r="F2947" s="126"/>
      <c r="G2947" s="3">
        <v>0</v>
      </c>
      <c r="H2947" s="3">
        <v>0</v>
      </c>
      <c r="I2947" s="3">
        <v>0</v>
      </c>
      <c r="J2947" s="3">
        <v>0</v>
      </c>
      <c r="K2947" s="3">
        <f t="shared" si="108"/>
        <v>0</v>
      </c>
      <c r="L2947" s="3"/>
      <c r="M2947" s="3">
        <f t="shared" si="109"/>
        <v>0</v>
      </c>
      <c r="O2947" s="5"/>
      <c r="S2947" s="6"/>
    </row>
    <row r="2948" spans="1:22" customFormat="1" x14ac:dyDescent="0.45">
      <c r="A2948">
        <v>579244</v>
      </c>
      <c r="B2948" t="s">
        <v>21924</v>
      </c>
      <c r="C2948" t="s">
        <v>21925</v>
      </c>
      <c r="D2948">
        <v>0</v>
      </c>
      <c r="E2948" t="s">
        <v>16561</v>
      </c>
      <c r="F2948" s="126"/>
      <c r="G2948" s="7">
        <v>0</v>
      </c>
      <c r="H2948" s="7">
        <v>0</v>
      </c>
      <c r="I2948" s="7">
        <v>0</v>
      </c>
      <c r="J2948" s="7">
        <v>0</v>
      </c>
      <c r="K2948" s="3">
        <f t="shared" si="108"/>
        <v>0</v>
      </c>
      <c r="L2948" s="3"/>
      <c r="M2948" s="3">
        <f t="shared" si="109"/>
        <v>0</v>
      </c>
      <c r="N2948" s="7"/>
      <c r="O2948" s="5"/>
      <c r="S2948" s="6"/>
    </row>
    <row r="2949" spans="1:22" customFormat="1" x14ac:dyDescent="0.45">
      <c r="A2949">
        <v>579302</v>
      </c>
      <c r="B2949" t="s">
        <v>21926</v>
      </c>
      <c r="C2949" t="s">
        <v>16331</v>
      </c>
      <c r="D2949">
        <v>1</v>
      </c>
      <c r="E2949" t="s">
        <v>16331</v>
      </c>
      <c r="F2949" s="126"/>
      <c r="G2949" s="7">
        <v>0</v>
      </c>
      <c r="H2949" s="7">
        <v>0</v>
      </c>
      <c r="I2949" s="7">
        <v>0</v>
      </c>
      <c r="J2949" s="7">
        <v>0</v>
      </c>
      <c r="K2949" s="3">
        <f t="shared" si="108"/>
        <v>0</v>
      </c>
      <c r="L2949" s="3"/>
      <c r="M2949" s="3">
        <f t="shared" si="109"/>
        <v>0</v>
      </c>
      <c r="O2949" s="5"/>
      <c r="S2949" s="6"/>
    </row>
    <row r="2950" spans="1:22" customFormat="1" x14ac:dyDescent="0.45">
      <c r="A2950">
        <v>579310</v>
      </c>
      <c r="B2950" t="s">
        <v>21927</v>
      </c>
      <c r="C2950" t="s">
        <v>16331</v>
      </c>
      <c r="D2950">
        <v>0</v>
      </c>
      <c r="E2950" t="s">
        <v>16331</v>
      </c>
      <c r="F2950" s="126"/>
      <c r="G2950" s="7">
        <v>0</v>
      </c>
      <c r="H2950" s="7">
        <v>0</v>
      </c>
      <c r="I2950" s="7">
        <v>0</v>
      </c>
      <c r="J2950" s="7">
        <v>0</v>
      </c>
      <c r="K2950" s="3">
        <f t="shared" si="108"/>
        <v>0</v>
      </c>
      <c r="L2950" s="3"/>
      <c r="M2950" s="3">
        <f t="shared" si="109"/>
        <v>0</v>
      </c>
      <c r="N2950" s="7"/>
      <c r="O2950" s="5"/>
      <c r="S2950" s="6"/>
    </row>
    <row r="2951" spans="1:22" customFormat="1" x14ac:dyDescent="0.45">
      <c r="A2951">
        <v>579324</v>
      </c>
      <c r="B2951" t="s">
        <v>21928</v>
      </c>
      <c r="C2951" t="s">
        <v>21929</v>
      </c>
      <c r="D2951">
        <v>5</v>
      </c>
      <c r="F2951" s="126"/>
      <c r="G2951" s="7">
        <v>0</v>
      </c>
      <c r="H2951" s="7">
        <v>0</v>
      </c>
      <c r="I2951" s="7">
        <v>0</v>
      </c>
      <c r="J2951" s="7">
        <v>0</v>
      </c>
      <c r="K2951" s="3">
        <f t="shared" si="108"/>
        <v>0</v>
      </c>
      <c r="L2951" s="3"/>
      <c r="M2951" s="3">
        <f t="shared" si="109"/>
        <v>0</v>
      </c>
      <c r="N2951" s="7"/>
      <c r="O2951" s="5"/>
      <c r="S2951" s="6"/>
    </row>
    <row r="2952" spans="1:22" customFormat="1" x14ac:dyDescent="0.45">
      <c r="A2952">
        <v>579330</v>
      </c>
      <c r="B2952" t="s">
        <v>21930</v>
      </c>
      <c r="C2952" t="s">
        <v>21931</v>
      </c>
      <c r="D2952">
        <v>1</v>
      </c>
      <c r="F2952" s="126"/>
      <c r="K2952" s="3">
        <f t="shared" si="108"/>
        <v>0</v>
      </c>
      <c r="L2952" s="3"/>
      <c r="M2952" s="3">
        <f t="shared" si="109"/>
        <v>0</v>
      </c>
      <c r="O2952" s="5"/>
      <c r="S2952" s="6"/>
    </row>
    <row r="2953" spans="1:22" customFormat="1" x14ac:dyDescent="0.45">
      <c r="A2953">
        <v>579397</v>
      </c>
      <c r="B2953" t="s">
        <v>21932</v>
      </c>
      <c r="C2953" t="s">
        <v>16331</v>
      </c>
      <c r="D2953">
        <v>1</v>
      </c>
      <c r="E2953" t="s">
        <v>16331</v>
      </c>
      <c r="F2953" s="126"/>
      <c r="G2953" s="7">
        <v>0</v>
      </c>
      <c r="H2953" s="7">
        <v>0</v>
      </c>
      <c r="I2953" s="7">
        <v>0</v>
      </c>
      <c r="J2953" s="7">
        <v>0</v>
      </c>
      <c r="K2953" s="3">
        <f t="shared" si="108"/>
        <v>0</v>
      </c>
      <c r="L2953" s="3"/>
      <c r="M2953" s="3">
        <f t="shared" si="109"/>
        <v>0</v>
      </c>
      <c r="O2953" s="5"/>
      <c r="S2953" s="6"/>
    </row>
    <row r="2954" spans="1:22" customFormat="1" x14ac:dyDescent="0.45">
      <c r="A2954">
        <v>579414</v>
      </c>
      <c r="B2954" t="s">
        <v>21933</v>
      </c>
      <c r="C2954" t="s">
        <v>21934</v>
      </c>
      <c r="D2954">
        <v>0</v>
      </c>
      <c r="E2954" t="s">
        <v>16561</v>
      </c>
      <c r="F2954" s="126"/>
      <c r="K2954" s="3">
        <f t="shared" si="108"/>
        <v>0</v>
      </c>
      <c r="L2954" s="3"/>
      <c r="M2954" s="3">
        <f t="shared" si="109"/>
        <v>0</v>
      </c>
      <c r="O2954" s="5"/>
      <c r="S2954" s="6"/>
    </row>
    <row r="2955" spans="1:22" customFormat="1" x14ac:dyDescent="0.45">
      <c r="A2955">
        <v>579506</v>
      </c>
      <c r="B2955" t="s">
        <v>21935</v>
      </c>
      <c r="C2955" t="s">
        <v>21936</v>
      </c>
      <c r="D2955">
        <v>13</v>
      </c>
      <c r="F2955" s="126"/>
      <c r="K2955" s="3">
        <f t="shared" si="108"/>
        <v>0</v>
      </c>
      <c r="L2955" s="3"/>
      <c r="M2955" s="3">
        <f t="shared" si="109"/>
        <v>0</v>
      </c>
      <c r="O2955" s="5"/>
      <c r="S2955" s="6"/>
    </row>
    <row r="2956" spans="1:22" customFormat="1" x14ac:dyDescent="0.45">
      <c r="A2956">
        <v>579842</v>
      </c>
      <c r="B2956" t="s">
        <v>21937</v>
      </c>
      <c r="C2956" t="s">
        <v>21938</v>
      </c>
      <c r="D2956">
        <v>1</v>
      </c>
      <c r="F2956" s="126"/>
      <c r="G2956" s="3">
        <v>0</v>
      </c>
      <c r="H2956" s="3">
        <v>0</v>
      </c>
      <c r="I2956" s="3">
        <v>0</v>
      </c>
      <c r="J2956" s="3">
        <v>0</v>
      </c>
      <c r="K2956" s="3">
        <f t="shared" si="108"/>
        <v>0</v>
      </c>
      <c r="L2956" s="3"/>
      <c r="M2956" s="3">
        <f t="shared" si="109"/>
        <v>0</v>
      </c>
      <c r="O2956" s="5"/>
      <c r="S2956" s="6"/>
    </row>
    <row r="2957" spans="1:22" customFormat="1" x14ac:dyDescent="0.45">
      <c r="A2957">
        <v>579899</v>
      </c>
      <c r="B2957" t="s">
        <v>21939</v>
      </c>
      <c r="C2957" t="s">
        <v>21940</v>
      </c>
      <c r="D2957">
        <v>2</v>
      </c>
      <c r="F2957" s="126"/>
      <c r="G2957" s="3">
        <v>0</v>
      </c>
      <c r="H2957" s="3">
        <v>0</v>
      </c>
      <c r="I2957" s="3">
        <v>0</v>
      </c>
      <c r="J2957" s="3">
        <v>0</v>
      </c>
      <c r="K2957" s="3">
        <f t="shared" si="108"/>
        <v>0</v>
      </c>
      <c r="L2957" s="3"/>
      <c r="M2957" s="3">
        <f t="shared" si="109"/>
        <v>0</v>
      </c>
      <c r="O2957" s="5"/>
      <c r="S2957" s="6"/>
    </row>
    <row r="2958" spans="1:22" customFormat="1" x14ac:dyDescent="0.45">
      <c r="A2958">
        <v>579963</v>
      </c>
      <c r="B2958" t="s">
        <v>21941</v>
      </c>
      <c r="C2958" t="s">
        <v>16331</v>
      </c>
      <c r="D2958">
        <v>1</v>
      </c>
      <c r="E2958" t="s">
        <v>16331</v>
      </c>
      <c r="F2958" s="126"/>
      <c r="G2958" s="7">
        <v>0</v>
      </c>
      <c r="H2958" s="7">
        <v>0</v>
      </c>
      <c r="I2958" s="7">
        <v>0</v>
      </c>
      <c r="J2958" s="7">
        <v>0</v>
      </c>
      <c r="K2958" s="3">
        <f t="shared" si="108"/>
        <v>0</v>
      </c>
      <c r="L2958" s="3"/>
      <c r="M2958" s="3">
        <f t="shared" si="109"/>
        <v>0</v>
      </c>
      <c r="O2958" s="5"/>
      <c r="S2958" s="6"/>
    </row>
    <row r="2959" spans="1:22" customFormat="1" x14ac:dyDescent="0.45">
      <c r="A2959">
        <v>579999</v>
      </c>
      <c r="B2959" t="s">
        <v>21942</v>
      </c>
      <c r="C2959" t="s">
        <v>21943</v>
      </c>
      <c r="D2959">
        <v>10</v>
      </c>
      <c r="F2959" s="126"/>
      <c r="K2959" s="3">
        <f t="shared" si="108"/>
        <v>0</v>
      </c>
      <c r="L2959" s="3"/>
      <c r="M2959" s="3">
        <f t="shared" si="109"/>
        <v>0</v>
      </c>
      <c r="O2959" s="5"/>
      <c r="S2959" s="6"/>
    </row>
    <row r="2960" spans="1:22" x14ac:dyDescent="0.45">
      <c r="A2960" s="124">
        <v>440703</v>
      </c>
      <c r="B2960" s="124" t="s">
        <v>21944</v>
      </c>
      <c r="C2960" s="125" t="s">
        <v>21897</v>
      </c>
      <c r="D2960" s="124">
        <v>1034</v>
      </c>
      <c r="E2960" s="124" t="s">
        <v>16417</v>
      </c>
      <c r="F2960" s="126">
        <f>0.38%+0.3%</f>
        <v>6.8000000000000005E-3</v>
      </c>
      <c r="G2960" s="135">
        <v>0.02</v>
      </c>
      <c r="H2960" s="126">
        <f>0.95%</f>
        <v>9.4999999999999998E-3</v>
      </c>
      <c r="I2960" s="127">
        <v>0</v>
      </c>
      <c r="J2960" s="127">
        <v>0</v>
      </c>
      <c r="K2960" s="126">
        <f t="shared" si="108"/>
        <v>2.9499999999999998E-2</v>
      </c>
      <c r="L2960" s="3"/>
      <c r="M2960" s="126">
        <f t="shared" si="109"/>
        <v>3.6299999999999999E-2</v>
      </c>
      <c r="N2960" s="135"/>
      <c r="O2960" s="125" t="s">
        <v>16704</v>
      </c>
      <c r="Q2960" s="130">
        <f>(75+81089)*1000</f>
        <v>81164000</v>
      </c>
      <c r="R2960" s="130" t="s">
        <v>16</v>
      </c>
      <c r="S2960" s="130">
        <v>36511000</v>
      </c>
      <c r="T2960" s="129">
        <f>S2960/Q2960</f>
        <v>0.44984229461337538</v>
      </c>
      <c r="U2960" s="130"/>
      <c r="V2960" s="125" t="s">
        <v>21945</v>
      </c>
    </row>
    <row r="2961" spans="1:22" customFormat="1" x14ac:dyDescent="0.45">
      <c r="A2961">
        <v>580514</v>
      </c>
      <c r="B2961" t="s">
        <v>21946</v>
      </c>
      <c r="C2961" t="s">
        <v>21947</v>
      </c>
      <c r="D2961">
        <v>4</v>
      </c>
      <c r="F2961" s="126"/>
      <c r="G2961" s="3">
        <v>0</v>
      </c>
      <c r="H2961" s="3">
        <v>0</v>
      </c>
      <c r="I2961" s="3">
        <v>0</v>
      </c>
      <c r="J2961" s="3">
        <v>0</v>
      </c>
      <c r="K2961" s="3">
        <f t="shared" si="108"/>
        <v>0</v>
      </c>
      <c r="L2961" s="3"/>
      <c r="M2961" s="3">
        <f t="shared" si="109"/>
        <v>0</v>
      </c>
      <c r="O2961" s="5"/>
      <c r="S2961" s="6"/>
    </row>
    <row r="2962" spans="1:22" customFormat="1" x14ac:dyDescent="0.45">
      <c r="A2962">
        <v>580520</v>
      </c>
      <c r="B2962" t="s">
        <v>21948</v>
      </c>
      <c r="C2962" t="s">
        <v>16331</v>
      </c>
      <c r="D2962">
        <v>1</v>
      </c>
      <c r="E2962" t="s">
        <v>16331</v>
      </c>
      <c r="F2962" s="126"/>
      <c r="G2962" s="7">
        <v>0</v>
      </c>
      <c r="H2962" s="7">
        <v>0</v>
      </c>
      <c r="I2962" s="7">
        <v>0</v>
      </c>
      <c r="J2962" s="7">
        <v>0</v>
      </c>
      <c r="K2962" s="3">
        <f t="shared" si="108"/>
        <v>0</v>
      </c>
      <c r="L2962" s="3"/>
      <c r="M2962" s="3">
        <f t="shared" si="109"/>
        <v>0</v>
      </c>
      <c r="O2962" s="5"/>
      <c r="S2962" s="6"/>
    </row>
    <row r="2963" spans="1:22" x14ac:dyDescent="0.45">
      <c r="A2963" s="124">
        <v>497604</v>
      </c>
      <c r="B2963" s="124" t="s">
        <v>21949</v>
      </c>
      <c r="C2963" s="124" t="s">
        <v>21897</v>
      </c>
      <c r="D2963" s="124">
        <v>143</v>
      </c>
      <c r="E2963" s="124" t="s">
        <v>16417</v>
      </c>
      <c r="F2963" s="126">
        <f>0.38%+0.3%</f>
        <v>6.8000000000000005E-3</v>
      </c>
      <c r="G2963" s="135">
        <v>0.02</v>
      </c>
      <c r="H2963" s="126">
        <f>0.95%</f>
        <v>9.4999999999999998E-3</v>
      </c>
      <c r="I2963" s="127">
        <v>0</v>
      </c>
      <c r="J2963" s="127">
        <v>0</v>
      </c>
      <c r="K2963" s="126">
        <f t="shared" si="108"/>
        <v>2.9499999999999998E-2</v>
      </c>
      <c r="L2963" s="3"/>
      <c r="M2963" s="126">
        <f t="shared" si="109"/>
        <v>3.6299999999999999E-2</v>
      </c>
      <c r="N2963" s="124" t="s">
        <v>21950</v>
      </c>
      <c r="O2963" s="141" t="s">
        <v>16704</v>
      </c>
      <c r="Q2963" s="130">
        <f>(24665+5)*1000</f>
        <v>24670000</v>
      </c>
      <c r="R2963" s="130" t="s">
        <v>16</v>
      </c>
      <c r="S2963" s="130">
        <v>12392000</v>
      </c>
      <c r="T2963" s="129">
        <f>S2963/Q2963</f>
        <v>0.50231049858127275</v>
      </c>
      <c r="U2963" s="130"/>
      <c r="V2963" s="125" t="s">
        <v>21951</v>
      </c>
    </row>
    <row r="2964" spans="1:22" customFormat="1" x14ac:dyDescent="0.45">
      <c r="A2964">
        <v>580832</v>
      </c>
      <c r="B2964" t="s">
        <v>21952</v>
      </c>
      <c r="C2964" t="s">
        <v>16331</v>
      </c>
      <c r="D2964">
        <v>1</v>
      </c>
      <c r="E2964" t="s">
        <v>16331</v>
      </c>
      <c r="F2964" s="126"/>
      <c r="G2964" s="7">
        <v>0</v>
      </c>
      <c r="H2964" s="7">
        <v>0</v>
      </c>
      <c r="I2964" s="7">
        <v>0</v>
      </c>
      <c r="J2964" s="7">
        <v>0</v>
      </c>
      <c r="K2964" s="3">
        <f t="shared" si="108"/>
        <v>0</v>
      </c>
      <c r="L2964" s="3"/>
      <c r="M2964" s="3">
        <f t="shared" si="109"/>
        <v>0</v>
      </c>
      <c r="O2964" s="5"/>
      <c r="S2964" s="6"/>
    </row>
    <row r="2965" spans="1:22" x14ac:dyDescent="0.45">
      <c r="A2965" s="124">
        <v>590726</v>
      </c>
      <c r="B2965" s="124" t="s">
        <v>21953</v>
      </c>
      <c r="C2965" s="124" t="s">
        <v>21954</v>
      </c>
      <c r="D2965" s="124">
        <v>1</v>
      </c>
      <c r="E2965" s="124" t="s">
        <v>16334</v>
      </c>
      <c r="F2965" s="126">
        <v>1.6999999999999999E-3</v>
      </c>
      <c r="G2965" s="126">
        <v>0</v>
      </c>
      <c r="H2965" s="126">
        <v>0</v>
      </c>
      <c r="I2965" s="127">
        <v>0.01</v>
      </c>
      <c r="J2965" s="127">
        <v>0.01</v>
      </c>
      <c r="K2965" s="126">
        <f t="shared" si="108"/>
        <v>0.02</v>
      </c>
      <c r="L2965" s="3"/>
      <c r="M2965" s="126">
        <f t="shared" si="109"/>
        <v>2.1700000000000001E-2</v>
      </c>
      <c r="O2965" s="131" t="s">
        <v>21955</v>
      </c>
      <c r="P2965" s="128" t="s">
        <v>26918</v>
      </c>
      <c r="Q2965" s="130">
        <f>57153+6933</f>
        <v>64086</v>
      </c>
      <c r="R2965" s="124" t="s">
        <v>16348</v>
      </c>
      <c r="S2965" s="132">
        <v>25312</v>
      </c>
      <c r="T2965" s="129">
        <f>S2965/Q2965</f>
        <v>0.39496926005679867</v>
      </c>
      <c r="V2965" s="125" t="s">
        <v>21956</v>
      </c>
    </row>
    <row r="2966" spans="1:22" customFormat="1" x14ac:dyDescent="0.45">
      <c r="A2966">
        <v>581082</v>
      </c>
      <c r="B2966" t="s">
        <v>21957</v>
      </c>
      <c r="C2966" t="s">
        <v>16331</v>
      </c>
      <c r="D2966">
        <v>1</v>
      </c>
      <c r="E2966" t="s">
        <v>16331</v>
      </c>
      <c r="F2966" s="126"/>
      <c r="G2966" s="7">
        <v>0</v>
      </c>
      <c r="H2966" s="7">
        <v>0</v>
      </c>
      <c r="I2966" s="7">
        <v>0</v>
      </c>
      <c r="J2966" s="7">
        <v>0</v>
      </c>
      <c r="K2966" s="3">
        <f t="shared" si="108"/>
        <v>0</v>
      </c>
      <c r="L2966" s="3"/>
      <c r="M2966" s="3">
        <f t="shared" si="109"/>
        <v>0</v>
      </c>
      <c r="O2966" s="5"/>
      <c r="S2966" s="6"/>
    </row>
    <row r="2967" spans="1:22" x14ac:dyDescent="0.45">
      <c r="A2967" s="124">
        <v>164691</v>
      </c>
      <c r="B2967" s="124" t="s">
        <v>21958</v>
      </c>
      <c r="C2967" s="124" t="s">
        <v>21959</v>
      </c>
      <c r="D2967" s="124">
        <v>2</v>
      </c>
      <c r="E2967" s="124" t="s">
        <v>16334</v>
      </c>
      <c r="F2967" s="126">
        <v>1.6999999999999999E-3</v>
      </c>
      <c r="G2967" s="135">
        <v>0</v>
      </c>
      <c r="H2967" s="135">
        <v>0</v>
      </c>
      <c r="I2967" s="127">
        <v>0.03</v>
      </c>
      <c r="J2967" s="127">
        <v>5.0000000000000001E-3</v>
      </c>
      <c r="K2967" s="126">
        <f t="shared" si="108"/>
        <v>3.4999999999999996E-2</v>
      </c>
      <c r="L2967" s="3"/>
      <c r="M2967" s="126">
        <f t="shared" si="109"/>
        <v>3.6699999999999997E-2</v>
      </c>
      <c r="O2967" s="125" t="s">
        <v>21960</v>
      </c>
      <c r="P2967" s="128" t="s">
        <v>26918</v>
      </c>
      <c r="Q2967" s="130">
        <f>453221+14342</f>
        <v>467563</v>
      </c>
      <c r="R2967" s="124" t="s">
        <v>16348</v>
      </c>
      <c r="S2967" s="130">
        <v>459745</v>
      </c>
      <c r="T2967" s="129">
        <f>S2967/Q2967</f>
        <v>0.98327925862397147</v>
      </c>
      <c r="V2967" s="125" t="s">
        <v>21961</v>
      </c>
    </row>
    <row r="2968" spans="1:22" customFormat="1" x14ac:dyDescent="0.45">
      <c r="A2968">
        <v>581393</v>
      </c>
      <c r="B2968" t="s">
        <v>21962</v>
      </c>
      <c r="C2968" t="s">
        <v>21963</v>
      </c>
      <c r="D2968">
        <v>3</v>
      </c>
      <c r="F2968" s="126"/>
      <c r="G2968" s="7">
        <v>0</v>
      </c>
      <c r="H2968" s="7">
        <v>0</v>
      </c>
      <c r="I2968" s="7">
        <v>0</v>
      </c>
      <c r="J2968" s="7">
        <v>0</v>
      </c>
      <c r="K2968" s="3">
        <f t="shared" si="108"/>
        <v>0</v>
      </c>
      <c r="L2968" s="3"/>
      <c r="M2968" s="3">
        <f t="shared" si="109"/>
        <v>0</v>
      </c>
      <c r="O2968" s="5"/>
      <c r="S2968" s="6"/>
    </row>
    <row r="2969" spans="1:22" customFormat="1" x14ac:dyDescent="0.45">
      <c r="A2969">
        <v>581642</v>
      </c>
      <c r="B2969" t="s">
        <v>21964</v>
      </c>
      <c r="C2969" t="s">
        <v>16331</v>
      </c>
      <c r="D2969">
        <v>1</v>
      </c>
      <c r="E2969" t="s">
        <v>16331</v>
      </c>
      <c r="F2969" s="126"/>
      <c r="G2969" s="7">
        <v>0</v>
      </c>
      <c r="H2969" s="7">
        <v>0</v>
      </c>
      <c r="I2969" s="7">
        <v>0</v>
      </c>
      <c r="J2969" s="7">
        <v>0</v>
      </c>
      <c r="K2969" s="3">
        <f t="shared" si="108"/>
        <v>0</v>
      </c>
      <c r="L2969" s="3"/>
      <c r="M2969" s="3">
        <f t="shared" si="109"/>
        <v>0</v>
      </c>
      <c r="O2969" s="5"/>
      <c r="S2969" s="6"/>
    </row>
    <row r="2970" spans="1:22" customFormat="1" x14ac:dyDescent="0.45">
      <c r="A2970">
        <v>581738</v>
      </c>
      <c r="B2970" t="s">
        <v>21965</v>
      </c>
      <c r="C2970" t="s">
        <v>21966</v>
      </c>
      <c r="D2970">
        <v>5</v>
      </c>
      <c r="F2970" s="126"/>
      <c r="G2970" s="3">
        <v>0</v>
      </c>
      <c r="H2970" s="3">
        <v>0</v>
      </c>
      <c r="I2970" s="3">
        <v>0</v>
      </c>
      <c r="J2970" s="3">
        <v>0</v>
      </c>
      <c r="K2970" s="3">
        <f t="shared" si="108"/>
        <v>0</v>
      </c>
      <c r="L2970" s="3"/>
      <c r="M2970" s="3">
        <f t="shared" si="109"/>
        <v>0</v>
      </c>
      <c r="O2970" s="5"/>
      <c r="S2970" s="6"/>
    </row>
    <row r="2971" spans="1:22" x14ac:dyDescent="0.45">
      <c r="A2971" s="124">
        <v>141816</v>
      </c>
      <c r="B2971" s="124" t="s">
        <v>21967</v>
      </c>
      <c r="C2971" s="124" t="s">
        <v>21968</v>
      </c>
      <c r="D2971" s="124">
        <v>3</v>
      </c>
      <c r="E2971" s="124" t="s">
        <v>16334</v>
      </c>
      <c r="F2971" s="126">
        <v>1.6999999999999999E-3</v>
      </c>
      <c r="G2971" s="135">
        <v>0</v>
      </c>
      <c r="H2971" s="135">
        <v>0</v>
      </c>
      <c r="I2971" s="127">
        <v>2.5999999999999999E-2</v>
      </c>
      <c r="J2971" s="127">
        <v>7.4999999999999997E-3</v>
      </c>
      <c r="K2971" s="126">
        <f t="shared" si="108"/>
        <v>3.3500000000000002E-2</v>
      </c>
      <c r="L2971" s="3"/>
      <c r="M2971" s="126">
        <f t="shared" si="109"/>
        <v>3.5200000000000002E-2</v>
      </c>
      <c r="N2971" s="124" t="s">
        <v>21969</v>
      </c>
      <c r="O2971" s="125" t="s">
        <v>21970</v>
      </c>
      <c r="P2971" s="128" t="s">
        <v>26918</v>
      </c>
      <c r="Q2971" s="130">
        <v>163688</v>
      </c>
      <c r="R2971" s="124" t="s">
        <v>16348</v>
      </c>
      <c r="S2971" s="130">
        <v>91491</v>
      </c>
      <c r="T2971" s="129">
        <f>S2971/Q2971</f>
        <v>0.55893529153022825</v>
      </c>
      <c r="V2971" s="125" t="s">
        <v>21971</v>
      </c>
    </row>
    <row r="2972" spans="1:22" customFormat="1" x14ac:dyDescent="0.45">
      <c r="A2972">
        <v>582149</v>
      </c>
      <c r="B2972" t="s">
        <v>21972</v>
      </c>
      <c r="C2972" t="s">
        <v>21973</v>
      </c>
      <c r="D2972">
        <v>1</v>
      </c>
      <c r="F2972" s="126"/>
      <c r="G2972" s="7">
        <v>0</v>
      </c>
      <c r="H2972" s="7">
        <v>0</v>
      </c>
      <c r="I2972" s="7">
        <v>0</v>
      </c>
      <c r="J2972" s="7">
        <v>0</v>
      </c>
      <c r="K2972" s="3">
        <f t="shared" si="108"/>
        <v>0</v>
      </c>
      <c r="L2972" s="3"/>
      <c r="M2972" s="3">
        <f t="shared" si="109"/>
        <v>0</v>
      </c>
      <c r="O2972" s="5"/>
      <c r="S2972" s="6"/>
    </row>
    <row r="2973" spans="1:22" customFormat="1" x14ac:dyDescent="0.45">
      <c r="A2973">
        <v>582336</v>
      </c>
      <c r="B2973" t="s">
        <v>21974</v>
      </c>
      <c r="C2973" t="s">
        <v>21975</v>
      </c>
      <c r="D2973">
        <v>0</v>
      </c>
      <c r="E2973" t="s">
        <v>16334</v>
      </c>
      <c r="F2973" s="126"/>
      <c r="G2973" s="7">
        <v>0</v>
      </c>
      <c r="H2973" s="7">
        <v>0</v>
      </c>
      <c r="I2973" s="7">
        <v>0</v>
      </c>
      <c r="J2973" s="7">
        <v>0</v>
      </c>
      <c r="K2973" s="3">
        <f t="shared" si="108"/>
        <v>0</v>
      </c>
      <c r="L2973" s="3"/>
      <c r="M2973" s="3">
        <f t="shared" si="109"/>
        <v>0</v>
      </c>
      <c r="O2973" s="5"/>
      <c r="S2973" s="6"/>
    </row>
    <row r="2974" spans="1:22" customFormat="1" x14ac:dyDescent="0.45">
      <c r="A2974">
        <v>582380</v>
      </c>
      <c r="B2974" t="s">
        <v>21976</v>
      </c>
      <c r="C2974" t="s">
        <v>16331</v>
      </c>
      <c r="D2974">
        <v>1</v>
      </c>
      <c r="E2974" t="s">
        <v>16331</v>
      </c>
      <c r="F2974" s="126"/>
      <c r="G2974" s="7">
        <v>0</v>
      </c>
      <c r="H2974" s="7">
        <v>0</v>
      </c>
      <c r="I2974" s="7">
        <v>0</v>
      </c>
      <c r="J2974" s="7">
        <v>0</v>
      </c>
      <c r="K2974" s="3">
        <f t="shared" si="108"/>
        <v>0</v>
      </c>
      <c r="L2974" s="3"/>
      <c r="M2974" s="3">
        <f t="shared" si="109"/>
        <v>0</v>
      </c>
      <c r="O2974" s="5"/>
      <c r="S2974" s="6"/>
    </row>
    <row r="2975" spans="1:22" x14ac:dyDescent="0.45">
      <c r="A2975" s="124">
        <v>196269</v>
      </c>
      <c r="B2975" s="124" t="s">
        <v>21977</v>
      </c>
      <c r="C2975" s="124" t="s">
        <v>21978</v>
      </c>
      <c r="D2975" s="124">
        <v>2</v>
      </c>
      <c r="E2975" s="124" t="s">
        <v>16334</v>
      </c>
      <c r="F2975" s="126">
        <v>1.6999999999999999E-3</v>
      </c>
      <c r="G2975" s="135">
        <v>0</v>
      </c>
      <c r="H2975" s="135">
        <v>0</v>
      </c>
      <c r="I2975" s="127">
        <v>0.03</v>
      </c>
      <c r="J2975" s="127">
        <v>7.4999999999999997E-3</v>
      </c>
      <c r="K2975" s="126">
        <f t="shared" si="108"/>
        <v>3.7499999999999999E-2</v>
      </c>
      <c r="L2975" s="3"/>
      <c r="M2975" s="126">
        <f t="shared" si="109"/>
        <v>3.9199999999999999E-2</v>
      </c>
      <c r="O2975" s="125" t="s">
        <v>21979</v>
      </c>
      <c r="P2975" s="128" t="s">
        <v>26918</v>
      </c>
      <c r="Q2975" s="130">
        <f>113374+102511</f>
        <v>215885</v>
      </c>
      <c r="R2975" s="124" t="s">
        <v>16348</v>
      </c>
      <c r="S2975" s="130">
        <v>100458</v>
      </c>
      <c r="T2975" s="129">
        <f>S2975/Q2975</f>
        <v>0.46533107904671467</v>
      </c>
      <c r="V2975" s="125" t="s">
        <v>21980</v>
      </c>
    </row>
    <row r="2976" spans="1:22" customFormat="1" x14ac:dyDescent="0.45">
      <c r="A2976">
        <v>582541</v>
      </c>
      <c r="B2976" t="s">
        <v>21981</v>
      </c>
      <c r="C2976" t="s">
        <v>16331</v>
      </c>
      <c r="D2976">
        <v>2</v>
      </c>
      <c r="E2976" t="s">
        <v>16331</v>
      </c>
      <c r="F2976" s="126"/>
      <c r="G2976" s="7">
        <v>0</v>
      </c>
      <c r="H2976" s="7">
        <v>0</v>
      </c>
      <c r="I2976" s="7">
        <v>0</v>
      </c>
      <c r="J2976" s="7">
        <v>0</v>
      </c>
      <c r="K2976" s="3">
        <f t="shared" si="108"/>
        <v>0</v>
      </c>
      <c r="L2976" s="3"/>
      <c r="M2976" s="3">
        <f t="shared" si="109"/>
        <v>0</v>
      </c>
      <c r="O2976" s="5"/>
      <c r="S2976" s="6"/>
    </row>
    <row r="2977" spans="1:23" customFormat="1" x14ac:dyDescent="0.45">
      <c r="A2977">
        <v>582903</v>
      </c>
      <c r="B2977" t="s">
        <v>21982</v>
      </c>
      <c r="C2977" t="s">
        <v>16331</v>
      </c>
      <c r="D2977">
        <v>0</v>
      </c>
      <c r="E2977" t="s">
        <v>16331</v>
      </c>
      <c r="F2977" s="126"/>
      <c r="G2977" s="7">
        <v>0</v>
      </c>
      <c r="H2977" s="7">
        <v>0</v>
      </c>
      <c r="I2977" s="7">
        <v>0</v>
      </c>
      <c r="J2977" s="7">
        <v>0</v>
      </c>
      <c r="K2977" s="3">
        <f t="shared" si="108"/>
        <v>0</v>
      </c>
      <c r="L2977" s="3"/>
      <c r="M2977" s="3">
        <f t="shared" si="109"/>
        <v>0</v>
      </c>
      <c r="N2977" s="7"/>
      <c r="O2977" s="5"/>
      <c r="S2977" s="6"/>
    </row>
    <row r="2978" spans="1:23" customFormat="1" x14ac:dyDescent="0.45">
      <c r="A2978">
        <v>582919</v>
      </c>
      <c r="B2978" t="s">
        <v>21983</v>
      </c>
      <c r="C2978" t="s">
        <v>21984</v>
      </c>
      <c r="D2978">
        <v>1</v>
      </c>
      <c r="F2978" s="126"/>
      <c r="G2978" s="7">
        <v>0</v>
      </c>
      <c r="H2978" s="7">
        <v>0</v>
      </c>
      <c r="I2978" s="7">
        <v>0</v>
      </c>
      <c r="J2978" s="7">
        <v>0</v>
      </c>
      <c r="K2978" s="3">
        <f t="shared" ref="K2978:K3041" si="110">SUM(G2978:J2978)</f>
        <v>0</v>
      </c>
      <c r="L2978" s="3"/>
      <c r="M2978" s="3">
        <f t="shared" ref="M2978:M3041" si="111">K2978+F2978</f>
        <v>0</v>
      </c>
      <c r="O2978" s="5"/>
      <c r="S2978" s="6"/>
    </row>
    <row r="2979" spans="1:23" customFormat="1" x14ac:dyDescent="0.45">
      <c r="A2979">
        <v>583019</v>
      </c>
      <c r="B2979" t="s">
        <v>21985</v>
      </c>
      <c r="C2979" t="s">
        <v>21986</v>
      </c>
      <c r="D2979">
        <v>1</v>
      </c>
      <c r="F2979" s="126"/>
      <c r="G2979" s="7">
        <v>0</v>
      </c>
      <c r="H2979" s="7">
        <v>0</v>
      </c>
      <c r="I2979" s="7">
        <v>0</v>
      </c>
      <c r="J2979" s="7">
        <v>0</v>
      </c>
      <c r="K2979" s="3">
        <f t="shared" si="110"/>
        <v>0</v>
      </c>
      <c r="L2979" s="3"/>
      <c r="M2979" s="3">
        <f t="shared" si="111"/>
        <v>0</v>
      </c>
      <c r="O2979" s="5"/>
      <c r="S2979" s="6"/>
    </row>
    <row r="2980" spans="1:23" customFormat="1" x14ac:dyDescent="0.45">
      <c r="A2980">
        <v>583021</v>
      </c>
      <c r="B2980" t="s">
        <v>21987</v>
      </c>
      <c r="C2980" t="s">
        <v>21988</v>
      </c>
      <c r="D2980">
        <v>2</v>
      </c>
      <c r="F2980" s="126"/>
      <c r="G2980" s="3">
        <v>0</v>
      </c>
      <c r="H2980" s="3">
        <v>0</v>
      </c>
      <c r="I2980" s="3">
        <v>0</v>
      </c>
      <c r="J2980" s="3">
        <v>0</v>
      </c>
      <c r="K2980" s="3">
        <f t="shared" si="110"/>
        <v>0</v>
      </c>
      <c r="L2980" s="3"/>
      <c r="M2980" s="3">
        <f t="shared" si="111"/>
        <v>0</v>
      </c>
      <c r="O2980" s="5"/>
      <c r="S2980" s="6"/>
    </row>
    <row r="2981" spans="1:23" customFormat="1" x14ac:dyDescent="0.45">
      <c r="A2981">
        <v>583082</v>
      </c>
      <c r="B2981" t="s">
        <v>21989</v>
      </c>
      <c r="C2981" t="s">
        <v>16331</v>
      </c>
      <c r="D2981">
        <v>1</v>
      </c>
      <c r="E2981" t="s">
        <v>16331</v>
      </c>
      <c r="F2981" s="126"/>
      <c r="K2981" s="3">
        <f t="shared" si="110"/>
        <v>0</v>
      </c>
      <c r="L2981" s="3"/>
      <c r="M2981" s="3">
        <f t="shared" si="111"/>
        <v>0</v>
      </c>
      <c r="O2981" s="5"/>
      <c r="S2981" s="6"/>
    </row>
    <row r="2982" spans="1:23" customFormat="1" x14ac:dyDescent="0.45">
      <c r="A2982">
        <v>583115</v>
      </c>
      <c r="B2982" t="s">
        <v>21990</v>
      </c>
      <c r="C2982" t="s">
        <v>16331</v>
      </c>
      <c r="D2982">
        <v>1</v>
      </c>
      <c r="E2982" t="s">
        <v>16331</v>
      </c>
      <c r="F2982" s="126"/>
      <c r="G2982" s="7">
        <v>0</v>
      </c>
      <c r="H2982" s="7">
        <v>0</v>
      </c>
      <c r="I2982" s="7">
        <v>0</v>
      </c>
      <c r="J2982" s="7">
        <v>0</v>
      </c>
      <c r="K2982" s="3">
        <f t="shared" si="110"/>
        <v>0</v>
      </c>
      <c r="L2982" s="3"/>
      <c r="M2982" s="3">
        <f t="shared" si="111"/>
        <v>0</v>
      </c>
      <c r="O2982" s="5"/>
      <c r="S2982" s="6"/>
    </row>
    <row r="2983" spans="1:23" customFormat="1" x14ac:dyDescent="0.45">
      <c r="A2983">
        <v>583142</v>
      </c>
      <c r="B2983" t="s">
        <v>21991</v>
      </c>
      <c r="C2983" t="s">
        <v>21992</v>
      </c>
      <c r="D2983">
        <v>3</v>
      </c>
      <c r="F2983" s="126"/>
      <c r="G2983" s="7">
        <v>0</v>
      </c>
      <c r="H2983" s="3">
        <v>0</v>
      </c>
      <c r="I2983" s="3">
        <v>0</v>
      </c>
      <c r="J2983">
        <v>0</v>
      </c>
      <c r="K2983" s="3">
        <f t="shared" si="110"/>
        <v>0</v>
      </c>
      <c r="L2983" s="3"/>
      <c r="M2983" s="3">
        <f t="shared" si="111"/>
        <v>0</v>
      </c>
      <c r="O2983" s="5"/>
      <c r="S2983" s="6"/>
    </row>
    <row r="2984" spans="1:23" customFormat="1" x14ac:dyDescent="0.45">
      <c r="A2984">
        <v>583147</v>
      </c>
      <c r="B2984" t="s">
        <v>21993</v>
      </c>
      <c r="C2984" t="s">
        <v>21994</v>
      </c>
      <c r="D2984">
        <v>6</v>
      </c>
      <c r="F2984" s="126"/>
      <c r="G2984" s="7">
        <v>0</v>
      </c>
      <c r="H2984" s="7">
        <v>0</v>
      </c>
      <c r="I2984" s="7">
        <v>0</v>
      </c>
      <c r="J2984" s="7">
        <v>0</v>
      </c>
      <c r="K2984" s="3">
        <f t="shared" si="110"/>
        <v>0</v>
      </c>
      <c r="L2984" s="3"/>
      <c r="M2984" s="3">
        <f t="shared" si="111"/>
        <v>0</v>
      </c>
      <c r="N2984" s="7"/>
      <c r="O2984" s="5"/>
      <c r="S2984" s="6"/>
    </row>
    <row r="2985" spans="1:23" x14ac:dyDescent="0.45">
      <c r="A2985" s="124">
        <v>116461</v>
      </c>
      <c r="B2985" s="124" t="s">
        <v>21995</v>
      </c>
      <c r="C2985" s="125" t="s">
        <v>21996</v>
      </c>
      <c r="D2985" s="124">
        <v>3</v>
      </c>
      <c r="E2985" s="124" t="s">
        <v>16334</v>
      </c>
      <c r="F2985" s="126">
        <v>1.6999999999999999E-3</v>
      </c>
      <c r="G2985" s="126">
        <f>3.172%+0.5%</f>
        <v>3.6719999999999996E-2</v>
      </c>
      <c r="H2985" s="126">
        <v>8.0000000000000002E-3</v>
      </c>
      <c r="I2985" s="127"/>
      <c r="J2985" s="127"/>
      <c r="K2985" s="126">
        <f t="shared" si="110"/>
        <v>4.4719999999999996E-2</v>
      </c>
      <c r="L2985" s="3"/>
      <c r="M2985" s="126">
        <f t="shared" si="111"/>
        <v>4.6419999999999996E-2</v>
      </c>
      <c r="N2985" s="124" t="s">
        <v>21997</v>
      </c>
      <c r="O2985" s="125" t="s">
        <v>21998</v>
      </c>
      <c r="P2985" s="128" t="s">
        <v>26918</v>
      </c>
      <c r="Q2985" s="130">
        <v>1409481</v>
      </c>
      <c r="R2985" s="124" t="s">
        <v>16348</v>
      </c>
      <c r="S2985" s="130">
        <v>1379522</v>
      </c>
      <c r="T2985" s="129">
        <f>S2985/Q2985</f>
        <v>0.97874465849486447</v>
      </c>
      <c r="V2985" s="125" t="s">
        <v>21999</v>
      </c>
      <c r="W2985" s="124" t="s">
        <v>17021</v>
      </c>
    </row>
    <row r="2986" spans="1:23" customFormat="1" x14ac:dyDescent="0.45">
      <c r="A2986">
        <v>583233</v>
      </c>
      <c r="B2986" t="s">
        <v>22000</v>
      </c>
      <c r="C2986" t="s">
        <v>22001</v>
      </c>
      <c r="D2986">
        <v>35</v>
      </c>
      <c r="F2986" s="126"/>
      <c r="G2986" s="7">
        <v>0</v>
      </c>
      <c r="H2986" s="7">
        <v>0</v>
      </c>
      <c r="I2986" s="7">
        <v>0</v>
      </c>
      <c r="J2986" s="7">
        <v>0</v>
      </c>
      <c r="K2986" s="3">
        <f t="shared" si="110"/>
        <v>0</v>
      </c>
      <c r="L2986" s="3"/>
      <c r="M2986" s="3">
        <f t="shared" si="111"/>
        <v>0</v>
      </c>
      <c r="O2986" s="5"/>
      <c r="S2986" s="6"/>
    </row>
    <row r="2987" spans="1:23" customFormat="1" x14ac:dyDescent="0.45">
      <c r="A2987">
        <v>583300</v>
      </c>
      <c r="B2987" t="s">
        <v>22002</v>
      </c>
      <c r="C2987" t="s">
        <v>22003</v>
      </c>
      <c r="D2987">
        <v>4</v>
      </c>
      <c r="F2987" s="126"/>
      <c r="G2987" s="7">
        <v>0</v>
      </c>
      <c r="H2987" s="7">
        <v>0</v>
      </c>
      <c r="I2987" s="7">
        <v>0</v>
      </c>
      <c r="J2987" s="7">
        <v>0</v>
      </c>
      <c r="K2987" s="3">
        <f t="shared" si="110"/>
        <v>0</v>
      </c>
      <c r="L2987" s="3"/>
      <c r="M2987" s="3">
        <f t="shared" si="111"/>
        <v>0</v>
      </c>
      <c r="O2987" s="5"/>
      <c r="S2987" s="6"/>
    </row>
    <row r="2988" spans="1:23" customFormat="1" x14ac:dyDescent="0.45">
      <c r="A2988">
        <v>583343</v>
      </c>
      <c r="B2988" t="s">
        <v>22004</v>
      </c>
      <c r="C2988" t="s">
        <v>22005</v>
      </c>
      <c r="D2988">
        <v>1</v>
      </c>
      <c r="F2988" s="126"/>
      <c r="G2988" s="19"/>
      <c r="H2988" s="19"/>
      <c r="I2988" s="19"/>
      <c r="J2988" s="19"/>
      <c r="K2988" s="3">
        <f t="shared" si="110"/>
        <v>0</v>
      </c>
      <c r="L2988" s="3"/>
      <c r="M2988" s="3">
        <f t="shared" si="111"/>
        <v>0</v>
      </c>
      <c r="O2988" s="5"/>
      <c r="S2988" s="6"/>
    </row>
    <row r="2989" spans="1:23" customFormat="1" x14ac:dyDescent="0.45">
      <c r="A2989">
        <v>583348</v>
      </c>
      <c r="B2989" t="s">
        <v>22006</v>
      </c>
      <c r="C2989" t="s">
        <v>16331</v>
      </c>
      <c r="D2989">
        <v>2</v>
      </c>
      <c r="E2989" t="s">
        <v>16331</v>
      </c>
      <c r="F2989" s="126"/>
      <c r="G2989" s="7">
        <v>0</v>
      </c>
      <c r="H2989" s="7">
        <v>0</v>
      </c>
      <c r="I2989" s="7">
        <v>0</v>
      </c>
      <c r="J2989" s="7">
        <v>0</v>
      </c>
      <c r="K2989" s="3">
        <f t="shared" si="110"/>
        <v>0</v>
      </c>
      <c r="L2989" s="3"/>
      <c r="M2989" s="3">
        <f t="shared" si="111"/>
        <v>0</v>
      </c>
      <c r="O2989" s="5"/>
      <c r="S2989" s="6"/>
    </row>
    <row r="2990" spans="1:23" x14ac:dyDescent="0.45">
      <c r="A2990" s="124">
        <v>106054</v>
      </c>
      <c r="B2990" s="124" t="s">
        <v>22007</v>
      </c>
      <c r="C2990" s="124" t="s">
        <v>22008</v>
      </c>
      <c r="D2990" s="124">
        <v>172</v>
      </c>
      <c r="E2990" s="124" t="s">
        <v>16417</v>
      </c>
      <c r="F2990" s="126">
        <v>4.4999999999999997E-3</v>
      </c>
      <c r="G2990" s="126">
        <v>2.5000000000000001E-2</v>
      </c>
      <c r="H2990" s="126">
        <v>2.7499999999999998E-3</v>
      </c>
      <c r="I2990" s="127">
        <v>0</v>
      </c>
      <c r="J2990" s="127">
        <v>0</v>
      </c>
      <c r="K2990" s="126">
        <f t="shared" si="110"/>
        <v>2.775E-2</v>
      </c>
      <c r="L2990" s="3"/>
      <c r="M2990" s="126">
        <f t="shared" si="111"/>
        <v>3.2250000000000001E-2</v>
      </c>
      <c r="N2990" s="135" t="s">
        <v>26925</v>
      </c>
      <c r="O2990" s="125" t="s">
        <v>22009</v>
      </c>
      <c r="P2990" s="125" t="s">
        <v>22010</v>
      </c>
      <c r="Q2990" s="130">
        <v>259944000000</v>
      </c>
      <c r="R2990" s="134" t="s">
        <v>16</v>
      </c>
      <c r="S2990" s="130">
        <v>13773000000</v>
      </c>
      <c r="T2990" s="129">
        <f>S2990/Q2990</f>
        <v>5.2984488966854398E-2</v>
      </c>
      <c r="U2990" s="134"/>
      <c r="V2990" s="125" t="s">
        <v>22011</v>
      </c>
    </row>
    <row r="2991" spans="1:23" customFormat="1" x14ac:dyDescent="0.45">
      <c r="A2991">
        <v>583354</v>
      </c>
      <c r="B2991" t="s">
        <v>22012</v>
      </c>
      <c r="C2991" t="s">
        <v>22013</v>
      </c>
      <c r="D2991">
        <v>7</v>
      </c>
      <c r="F2991" s="126"/>
      <c r="G2991" s="7">
        <v>0</v>
      </c>
      <c r="H2991" s="7">
        <v>0</v>
      </c>
      <c r="I2991" s="7">
        <v>0</v>
      </c>
      <c r="J2991" s="7">
        <v>0</v>
      </c>
      <c r="K2991" s="3">
        <f t="shared" si="110"/>
        <v>0</v>
      </c>
      <c r="L2991" s="3"/>
      <c r="M2991" s="3">
        <f t="shared" si="111"/>
        <v>0</v>
      </c>
      <c r="N2991" s="7"/>
      <c r="O2991" s="5"/>
      <c r="S2991" s="6"/>
    </row>
    <row r="2992" spans="1:23" customFormat="1" x14ac:dyDescent="0.45">
      <c r="A2992">
        <v>583361</v>
      </c>
      <c r="B2992" t="s">
        <v>22014</v>
      </c>
      <c r="C2992" t="s">
        <v>22015</v>
      </c>
      <c r="D2992">
        <v>0</v>
      </c>
      <c r="E2992" t="s">
        <v>16561</v>
      </c>
      <c r="F2992" s="126"/>
      <c r="G2992" s="7">
        <v>0</v>
      </c>
      <c r="H2992" s="7">
        <v>0</v>
      </c>
      <c r="I2992" s="7">
        <v>0</v>
      </c>
      <c r="J2992" s="7">
        <v>0</v>
      </c>
      <c r="K2992" s="3">
        <f t="shared" si="110"/>
        <v>0</v>
      </c>
      <c r="L2992" s="3"/>
      <c r="M2992" s="3">
        <f t="shared" si="111"/>
        <v>0</v>
      </c>
      <c r="O2992" s="5"/>
      <c r="S2992" s="6"/>
    </row>
    <row r="2993" spans="1:22" customFormat="1" x14ac:dyDescent="0.45">
      <c r="A2993">
        <v>583406</v>
      </c>
      <c r="B2993" t="s">
        <v>22016</v>
      </c>
      <c r="C2993" t="s">
        <v>22017</v>
      </c>
      <c r="D2993">
        <v>2</v>
      </c>
      <c r="F2993" s="126"/>
      <c r="G2993" s="3">
        <v>0</v>
      </c>
      <c r="H2993" s="3">
        <v>0</v>
      </c>
      <c r="I2993" s="3">
        <v>0</v>
      </c>
      <c r="J2993" s="3">
        <v>0</v>
      </c>
      <c r="K2993" s="3">
        <f t="shared" si="110"/>
        <v>0</v>
      </c>
      <c r="L2993" s="3"/>
      <c r="M2993" s="3">
        <f t="shared" si="111"/>
        <v>0</v>
      </c>
      <c r="O2993" s="5"/>
      <c r="S2993" s="6"/>
    </row>
    <row r="2994" spans="1:22" customFormat="1" x14ac:dyDescent="0.45">
      <c r="A2994">
        <v>583599</v>
      </c>
      <c r="B2994" t="s">
        <v>22018</v>
      </c>
      <c r="C2994" t="s">
        <v>22019</v>
      </c>
      <c r="D2994">
        <v>1</v>
      </c>
      <c r="F2994" s="126"/>
      <c r="G2994" s="7">
        <v>0</v>
      </c>
      <c r="H2994" s="7">
        <v>0</v>
      </c>
      <c r="I2994" s="7">
        <v>0</v>
      </c>
      <c r="J2994" s="7">
        <v>0</v>
      </c>
      <c r="K2994" s="3">
        <f t="shared" si="110"/>
        <v>0</v>
      </c>
      <c r="L2994" s="3"/>
      <c r="M2994" s="3">
        <f t="shared" si="111"/>
        <v>0</v>
      </c>
      <c r="O2994" s="5"/>
      <c r="S2994" s="6"/>
    </row>
    <row r="2995" spans="1:22" customFormat="1" x14ac:dyDescent="0.45">
      <c r="A2995">
        <v>584076</v>
      </c>
      <c r="B2995" t="s">
        <v>22020</v>
      </c>
      <c r="C2995" t="s">
        <v>16331</v>
      </c>
      <c r="D2995">
        <v>1</v>
      </c>
      <c r="E2995" t="s">
        <v>16331</v>
      </c>
      <c r="F2995" s="126"/>
      <c r="G2995" s="7">
        <v>0</v>
      </c>
      <c r="H2995" s="7">
        <v>0</v>
      </c>
      <c r="I2995" s="7">
        <v>0</v>
      </c>
      <c r="J2995" s="7">
        <v>0</v>
      </c>
      <c r="K2995" s="3">
        <f t="shared" si="110"/>
        <v>0</v>
      </c>
      <c r="L2995" s="3"/>
      <c r="M2995" s="3">
        <f t="shared" si="111"/>
        <v>0</v>
      </c>
      <c r="O2995" s="5"/>
      <c r="S2995" s="6"/>
    </row>
    <row r="2996" spans="1:22" customFormat="1" x14ac:dyDescent="0.45">
      <c r="A2996">
        <v>584106</v>
      </c>
      <c r="B2996" t="s">
        <v>22021</v>
      </c>
      <c r="C2996" t="s">
        <v>22022</v>
      </c>
      <c r="D2996">
        <v>1</v>
      </c>
      <c r="F2996" s="126"/>
      <c r="G2996" s="7">
        <v>0</v>
      </c>
      <c r="H2996" s="7">
        <v>0</v>
      </c>
      <c r="I2996" s="7">
        <v>0</v>
      </c>
      <c r="J2996" s="7">
        <v>0</v>
      </c>
      <c r="K2996" s="3">
        <f t="shared" si="110"/>
        <v>0</v>
      </c>
      <c r="L2996" s="3"/>
      <c r="M2996" s="3">
        <f t="shared" si="111"/>
        <v>0</v>
      </c>
      <c r="O2996" s="5"/>
      <c r="S2996" s="6"/>
    </row>
    <row r="2997" spans="1:22" customFormat="1" x14ac:dyDescent="0.45">
      <c r="A2997">
        <v>584237</v>
      </c>
      <c r="B2997" t="s">
        <v>22023</v>
      </c>
      <c r="C2997" t="s">
        <v>22024</v>
      </c>
      <c r="D2997">
        <v>7</v>
      </c>
      <c r="F2997" s="126"/>
      <c r="K2997" s="3">
        <f t="shared" si="110"/>
        <v>0</v>
      </c>
      <c r="L2997" s="3"/>
      <c r="M2997" s="3">
        <f t="shared" si="111"/>
        <v>0</v>
      </c>
      <c r="O2997" s="5"/>
      <c r="S2997" s="6"/>
    </row>
    <row r="2998" spans="1:22" x14ac:dyDescent="0.45">
      <c r="A2998" s="124">
        <v>916873</v>
      </c>
      <c r="B2998" s="124" t="s">
        <v>22025</v>
      </c>
      <c r="C2998" s="124" t="s">
        <v>22026</v>
      </c>
      <c r="D2998" s="124">
        <v>3</v>
      </c>
      <c r="E2998" s="124" t="s">
        <v>16334</v>
      </c>
      <c r="F2998" s="126">
        <v>1.6999999999999999E-3</v>
      </c>
      <c r="G2998" s="126">
        <v>0.01</v>
      </c>
      <c r="H2998" s="126">
        <v>0.01</v>
      </c>
      <c r="I2998" s="127"/>
      <c r="J2998" s="127"/>
      <c r="K2998" s="126">
        <f t="shared" si="110"/>
        <v>0.02</v>
      </c>
      <c r="L2998" s="3"/>
      <c r="M2998" s="126">
        <f t="shared" si="111"/>
        <v>2.1700000000000001E-2</v>
      </c>
      <c r="O2998" s="131" t="s">
        <v>22026</v>
      </c>
      <c r="P2998" s="128" t="s">
        <v>26918</v>
      </c>
      <c r="Q2998" s="124">
        <f>83027+27413</f>
        <v>110440</v>
      </c>
      <c r="R2998" s="124" t="s">
        <v>16348</v>
      </c>
      <c r="S2998" s="132">
        <v>53028</v>
      </c>
      <c r="T2998" s="129">
        <f>S2998/Q2998</f>
        <v>0.48015211879753711</v>
      </c>
      <c r="V2998" s="125" t="s">
        <v>22027</v>
      </c>
    </row>
    <row r="2999" spans="1:22" customFormat="1" x14ac:dyDescent="0.45">
      <c r="A2999">
        <v>584493</v>
      </c>
      <c r="B2999" t="s">
        <v>22028</v>
      </c>
      <c r="C2999" t="s">
        <v>16331</v>
      </c>
      <c r="D2999">
        <v>0</v>
      </c>
      <c r="E2999" t="s">
        <v>16331</v>
      </c>
      <c r="F2999" s="126"/>
      <c r="G2999" s="7">
        <v>0</v>
      </c>
      <c r="H2999" s="7">
        <v>0</v>
      </c>
      <c r="I2999" s="7">
        <v>0</v>
      </c>
      <c r="J2999" s="7">
        <v>0</v>
      </c>
      <c r="K2999" s="3">
        <f t="shared" si="110"/>
        <v>0</v>
      </c>
      <c r="L2999" s="3"/>
      <c r="M2999" s="3">
        <f t="shared" si="111"/>
        <v>0</v>
      </c>
      <c r="O2999" s="5"/>
      <c r="S2999" s="6"/>
    </row>
    <row r="3000" spans="1:22" customFormat="1" x14ac:dyDescent="0.45">
      <c r="A3000">
        <v>584606</v>
      </c>
      <c r="B3000" t="s">
        <v>22029</v>
      </c>
      <c r="C3000" t="s">
        <v>22030</v>
      </c>
      <c r="D3000">
        <v>1</v>
      </c>
      <c r="F3000" s="126"/>
      <c r="G3000" s="7">
        <v>0</v>
      </c>
      <c r="H3000" s="7">
        <v>0</v>
      </c>
      <c r="I3000" s="7">
        <v>0</v>
      </c>
      <c r="J3000" s="7">
        <v>0</v>
      </c>
      <c r="K3000" s="3">
        <f t="shared" si="110"/>
        <v>0</v>
      </c>
      <c r="L3000" s="3"/>
      <c r="M3000" s="3">
        <f t="shared" si="111"/>
        <v>0</v>
      </c>
      <c r="O3000" s="5"/>
      <c r="S3000" s="6"/>
    </row>
    <row r="3001" spans="1:22" customFormat="1" x14ac:dyDescent="0.45">
      <c r="A3001">
        <v>584985</v>
      </c>
      <c r="B3001" t="s">
        <v>22031</v>
      </c>
      <c r="C3001" t="s">
        <v>22032</v>
      </c>
      <c r="D3001">
        <v>1</v>
      </c>
      <c r="F3001" s="126"/>
      <c r="G3001" s="7">
        <v>0</v>
      </c>
      <c r="H3001" s="7">
        <v>0</v>
      </c>
      <c r="I3001" s="7">
        <v>0</v>
      </c>
      <c r="J3001" s="7">
        <v>0</v>
      </c>
      <c r="K3001" s="3">
        <f t="shared" si="110"/>
        <v>0</v>
      </c>
      <c r="L3001" s="3"/>
      <c r="M3001" s="3">
        <f t="shared" si="111"/>
        <v>0</v>
      </c>
      <c r="O3001" s="5"/>
      <c r="S3001" s="6"/>
    </row>
    <row r="3002" spans="1:22" customFormat="1" x14ac:dyDescent="0.45">
      <c r="A3002">
        <v>584991</v>
      </c>
      <c r="B3002" t="s">
        <v>22033</v>
      </c>
      <c r="C3002" t="s">
        <v>16331</v>
      </c>
      <c r="D3002">
        <v>1</v>
      </c>
      <c r="E3002" t="s">
        <v>16331</v>
      </c>
      <c r="F3002" s="126"/>
      <c r="K3002" s="3">
        <f t="shared" si="110"/>
        <v>0</v>
      </c>
      <c r="L3002" s="3"/>
      <c r="M3002" s="3">
        <f t="shared" si="111"/>
        <v>0</v>
      </c>
      <c r="O3002" s="5"/>
      <c r="S3002" s="6"/>
    </row>
    <row r="3003" spans="1:22" customFormat="1" x14ac:dyDescent="0.45">
      <c r="A3003">
        <v>585145</v>
      </c>
      <c r="B3003" t="s">
        <v>22034</v>
      </c>
      <c r="C3003" t="s">
        <v>22035</v>
      </c>
      <c r="D3003">
        <v>1</v>
      </c>
      <c r="F3003" s="126"/>
      <c r="K3003" s="3">
        <f t="shared" si="110"/>
        <v>0</v>
      </c>
      <c r="L3003" s="3"/>
      <c r="M3003" s="3">
        <f t="shared" si="111"/>
        <v>0</v>
      </c>
      <c r="O3003" s="5"/>
      <c r="S3003" s="6"/>
    </row>
    <row r="3004" spans="1:22" customFormat="1" x14ac:dyDescent="0.45">
      <c r="A3004">
        <v>585160</v>
      </c>
      <c r="B3004" t="s">
        <v>22036</v>
      </c>
      <c r="C3004" t="s">
        <v>22037</v>
      </c>
      <c r="D3004">
        <v>1</v>
      </c>
      <c r="F3004" s="126"/>
      <c r="G3004" s="7">
        <v>0</v>
      </c>
      <c r="H3004" s="3">
        <v>0</v>
      </c>
      <c r="I3004" s="3">
        <v>0</v>
      </c>
      <c r="J3004">
        <v>0</v>
      </c>
      <c r="K3004" s="3">
        <f t="shared" si="110"/>
        <v>0</v>
      </c>
      <c r="L3004" s="3"/>
      <c r="M3004" s="3">
        <f t="shared" si="111"/>
        <v>0</v>
      </c>
      <c r="O3004" s="5"/>
      <c r="S3004" s="6"/>
    </row>
    <row r="3005" spans="1:22" customFormat="1" x14ac:dyDescent="0.45">
      <c r="A3005">
        <v>585390</v>
      </c>
      <c r="B3005" t="s">
        <v>22038</v>
      </c>
      <c r="C3005" t="s">
        <v>22039</v>
      </c>
      <c r="D3005">
        <v>1</v>
      </c>
      <c r="F3005" s="126"/>
      <c r="G3005" s="7">
        <v>0</v>
      </c>
      <c r="H3005" s="7">
        <v>0</v>
      </c>
      <c r="I3005" s="7">
        <v>0</v>
      </c>
      <c r="J3005" s="7">
        <v>0</v>
      </c>
      <c r="K3005" s="3">
        <f t="shared" si="110"/>
        <v>0</v>
      </c>
      <c r="L3005" s="3"/>
      <c r="M3005" s="3">
        <f t="shared" si="111"/>
        <v>0</v>
      </c>
      <c r="O3005" s="5"/>
      <c r="S3005" s="6"/>
    </row>
    <row r="3006" spans="1:22" customFormat="1" x14ac:dyDescent="0.45">
      <c r="A3006">
        <v>585547</v>
      </c>
      <c r="B3006" t="s">
        <v>22040</v>
      </c>
      <c r="C3006" t="s">
        <v>22041</v>
      </c>
      <c r="D3006">
        <v>14</v>
      </c>
      <c r="F3006" s="126"/>
      <c r="G3006" s="7">
        <v>0</v>
      </c>
      <c r="H3006" s="7">
        <v>0</v>
      </c>
      <c r="I3006" s="7">
        <v>0</v>
      </c>
      <c r="J3006" s="7">
        <v>0</v>
      </c>
      <c r="K3006" s="3">
        <f t="shared" si="110"/>
        <v>0</v>
      </c>
      <c r="L3006" s="3"/>
      <c r="M3006" s="3">
        <f t="shared" si="111"/>
        <v>0</v>
      </c>
      <c r="N3006" s="7"/>
      <c r="O3006" s="5"/>
      <c r="S3006" s="6"/>
    </row>
    <row r="3007" spans="1:22" customFormat="1" x14ac:dyDescent="0.45">
      <c r="A3007">
        <v>585549</v>
      </c>
      <c r="B3007" t="s">
        <v>22042</v>
      </c>
      <c r="C3007" t="s">
        <v>22043</v>
      </c>
      <c r="D3007">
        <v>4</v>
      </c>
      <c r="F3007" s="126"/>
      <c r="G3007" s="7">
        <v>0</v>
      </c>
      <c r="H3007" s="7">
        <v>0</v>
      </c>
      <c r="I3007" s="7">
        <v>0</v>
      </c>
      <c r="J3007" s="7">
        <v>0</v>
      </c>
      <c r="K3007" s="3">
        <f t="shared" si="110"/>
        <v>0</v>
      </c>
      <c r="L3007" s="3"/>
      <c r="M3007" s="3">
        <f t="shared" si="111"/>
        <v>0</v>
      </c>
      <c r="O3007" s="5"/>
      <c r="S3007" s="6"/>
    </row>
    <row r="3008" spans="1:22" customFormat="1" x14ac:dyDescent="0.45">
      <c r="A3008">
        <v>585601</v>
      </c>
      <c r="B3008" t="s">
        <v>22044</v>
      </c>
      <c r="C3008" s="2" t="s">
        <v>22045</v>
      </c>
      <c r="D3008">
        <v>0</v>
      </c>
      <c r="E3008" t="s">
        <v>16561</v>
      </c>
      <c r="F3008" s="126"/>
      <c r="G3008" s="3">
        <v>0</v>
      </c>
      <c r="H3008" s="3">
        <v>0</v>
      </c>
      <c r="I3008" s="3">
        <v>0</v>
      </c>
      <c r="J3008" s="3">
        <v>0</v>
      </c>
      <c r="K3008" s="3">
        <f t="shared" si="110"/>
        <v>0</v>
      </c>
      <c r="L3008" s="3"/>
      <c r="M3008" s="3">
        <f t="shared" si="111"/>
        <v>0</v>
      </c>
      <c r="O3008" s="5"/>
      <c r="S3008" s="6"/>
    </row>
    <row r="3009" spans="1:20" customFormat="1" x14ac:dyDescent="0.45">
      <c r="A3009">
        <v>585700</v>
      </c>
      <c r="B3009" t="s">
        <v>22046</v>
      </c>
      <c r="C3009" t="s">
        <v>16331</v>
      </c>
      <c r="D3009">
        <v>2</v>
      </c>
      <c r="E3009" t="s">
        <v>16331</v>
      </c>
      <c r="F3009" s="126"/>
      <c r="G3009" s="7">
        <v>0</v>
      </c>
      <c r="H3009" s="7">
        <v>0</v>
      </c>
      <c r="I3009" s="7">
        <v>0</v>
      </c>
      <c r="J3009" s="7">
        <v>0</v>
      </c>
      <c r="K3009" s="3">
        <f t="shared" si="110"/>
        <v>0</v>
      </c>
      <c r="L3009" s="3"/>
      <c r="M3009" s="3">
        <f t="shared" si="111"/>
        <v>0</v>
      </c>
      <c r="O3009" s="5"/>
      <c r="S3009" s="6"/>
    </row>
    <row r="3010" spans="1:20" customFormat="1" x14ac:dyDescent="0.45">
      <c r="A3010">
        <v>585728</v>
      </c>
      <c r="B3010" t="s">
        <v>22047</v>
      </c>
      <c r="C3010" t="s">
        <v>22048</v>
      </c>
      <c r="D3010">
        <v>6</v>
      </c>
      <c r="F3010" s="126"/>
      <c r="G3010" s="7">
        <v>0</v>
      </c>
      <c r="H3010" s="7">
        <v>0</v>
      </c>
      <c r="I3010" s="7">
        <v>0</v>
      </c>
      <c r="J3010" s="7">
        <v>0</v>
      </c>
      <c r="K3010" s="3">
        <f t="shared" si="110"/>
        <v>0</v>
      </c>
      <c r="L3010" s="3"/>
      <c r="M3010" s="3">
        <f t="shared" si="111"/>
        <v>0</v>
      </c>
      <c r="O3010" s="5"/>
      <c r="S3010" s="6"/>
    </row>
    <row r="3011" spans="1:20" customFormat="1" x14ac:dyDescent="0.45">
      <c r="A3011">
        <v>586043</v>
      </c>
      <c r="B3011" t="s">
        <v>22049</v>
      </c>
      <c r="C3011" t="s">
        <v>16331</v>
      </c>
      <c r="D3011">
        <v>0</v>
      </c>
      <c r="E3011" t="s">
        <v>16331</v>
      </c>
      <c r="F3011" s="126"/>
      <c r="K3011" s="3">
        <f t="shared" si="110"/>
        <v>0</v>
      </c>
      <c r="L3011" s="3"/>
      <c r="M3011" s="3">
        <f t="shared" si="111"/>
        <v>0</v>
      </c>
      <c r="O3011" s="5"/>
      <c r="S3011" s="6"/>
    </row>
    <row r="3012" spans="1:20" customFormat="1" x14ac:dyDescent="0.45">
      <c r="A3012">
        <v>586056</v>
      </c>
      <c r="B3012" t="s">
        <v>22050</v>
      </c>
      <c r="C3012" t="s">
        <v>22051</v>
      </c>
      <c r="D3012">
        <v>4</v>
      </c>
      <c r="F3012" s="126"/>
      <c r="G3012" s="3">
        <v>0</v>
      </c>
      <c r="H3012" s="3">
        <v>0</v>
      </c>
      <c r="I3012" s="3">
        <v>0</v>
      </c>
      <c r="J3012" s="3">
        <v>0</v>
      </c>
      <c r="K3012" s="3">
        <f t="shared" si="110"/>
        <v>0</v>
      </c>
      <c r="L3012" s="3"/>
      <c r="M3012" s="3">
        <f t="shared" si="111"/>
        <v>0</v>
      </c>
      <c r="O3012" s="5"/>
      <c r="S3012" s="6"/>
    </row>
    <row r="3013" spans="1:20" customFormat="1" x14ac:dyDescent="0.45">
      <c r="A3013">
        <v>586071</v>
      </c>
      <c r="B3013" t="s">
        <v>22052</v>
      </c>
      <c r="C3013" t="s">
        <v>16331</v>
      </c>
      <c r="D3013">
        <v>6</v>
      </c>
      <c r="E3013" t="s">
        <v>16331</v>
      </c>
      <c r="F3013" s="126"/>
      <c r="G3013" s="7">
        <v>0</v>
      </c>
      <c r="H3013" s="7">
        <v>0</v>
      </c>
      <c r="I3013" s="7">
        <v>0</v>
      </c>
      <c r="J3013" s="7">
        <v>0</v>
      </c>
      <c r="K3013" s="3">
        <f t="shared" si="110"/>
        <v>0</v>
      </c>
      <c r="L3013" s="3"/>
      <c r="M3013" s="3">
        <f t="shared" si="111"/>
        <v>0</v>
      </c>
      <c r="O3013" s="5"/>
      <c r="S3013" s="6"/>
    </row>
    <row r="3014" spans="1:20" customFormat="1" x14ac:dyDescent="0.45">
      <c r="A3014">
        <v>586078</v>
      </c>
      <c r="B3014" t="s">
        <v>22053</v>
      </c>
      <c r="C3014" t="s">
        <v>22054</v>
      </c>
      <c r="D3014">
        <v>3</v>
      </c>
      <c r="F3014" s="126"/>
      <c r="K3014" s="3">
        <f t="shared" si="110"/>
        <v>0</v>
      </c>
      <c r="L3014" s="3"/>
      <c r="M3014" s="3">
        <f t="shared" si="111"/>
        <v>0</v>
      </c>
      <c r="O3014" s="5"/>
      <c r="S3014" s="6"/>
      <c r="T3014" s="10"/>
    </row>
    <row r="3015" spans="1:20" customFormat="1" x14ac:dyDescent="0.45">
      <c r="A3015">
        <v>586130</v>
      </c>
      <c r="B3015" t="s">
        <v>22055</v>
      </c>
      <c r="C3015" t="s">
        <v>16331</v>
      </c>
      <c r="D3015">
        <v>6</v>
      </c>
      <c r="E3015" t="s">
        <v>16331</v>
      </c>
      <c r="F3015" s="126"/>
      <c r="G3015" s="7">
        <v>0</v>
      </c>
      <c r="H3015" s="7">
        <v>0</v>
      </c>
      <c r="I3015" s="7">
        <v>0</v>
      </c>
      <c r="J3015" s="7">
        <v>0</v>
      </c>
      <c r="K3015" s="3">
        <f t="shared" si="110"/>
        <v>0</v>
      </c>
      <c r="L3015" s="3"/>
      <c r="M3015" s="3">
        <f t="shared" si="111"/>
        <v>0</v>
      </c>
      <c r="O3015" s="5"/>
      <c r="S3015" s="6"/>
    </row>
    <row r="3016" spans="1:20" customFormat="1" x14ac:dyDescent="0.45">
      <c r="A3016">
        <v>586271</v>
      </c>
      <c r="B3016" t="s">
        <v>22056</v>
      </c>
      <c r="C3016" t="s">
        <v>22057</v>
      </c>
      <c r="D3016">
        <v>1</v>
      </c>
      <c r="F3016" s="126"/>
      <c r="G3016" s="7">
        <v>0</v>
      </c>
      <c r="H3016" s="7">
        <v>0</v>
      </c>
      <c r="I3016" s="7">
        <v>0</v>
      </c>
      <c r="J3016" s="7">
        <v>0</v>
      </c>
      <c r="K3016" s="3">
        <f t="shared" si="110"/>
        <v>0</v>
      </c>
      <c r="L3016" s="3"/>
      <c r="M3016" s="3">
        <f t="shared" si="111"/>
        <v>0</v>
      </c>
      <c r="O3016" s="5"/>
      <c r="S3016" s="6"/>
    </row>
    <row r="3017" spans="1:20" customFormat="1" x14ac:dyDescent="0.45">
      <c r="A3017">
        <v>586375</v>
      </c>
      <c r="B3017" t="s">
        <v>22058</v>
      </c>
      <c r="C3017" t="s">
        <v>16331</v>
      </c>
      <c r="D3017">
        <v>2</v>
      </c>
      <c r="E3017" t="s">
        <v>16331</v>
      </c>
      <c r="F3017" s="126"/>
      <c r="G3017" s="7">
        <v>0</v>
      </c>
      <c r="H3017" s="7">
        <v>0</v>
      </c>
      <c r="I3017" s="7">
        <v>0</v>
      </c>
      <c r="J3017" s="7">
        <v>0</v>
      </c>
      <c r="K3017" s="3">
        <f t="shared" si="110"/>
        <v>0</v>
      </c>
      <c r="L3017" s="3"/>
      <c r="M3017" s="3">
        <f t="shared" si="111"/>
        <v>0</v>
      </c>
      <c r="O3017" s="5"/>
      <c r="S3017" s="6"/>
    </row>
    <row r="3018" spans="1:20" customFormat="1" x14ac:dyDescent="0.45">
      <c r="A3018">
        <v>586392</v>
      </c>
      <c r="B3018" t="s">
        <v>22059</v>
      </c>
      <c r="C3018" t="s">
        <v>22060</v>
      </c>
      <c r="D3018">
        <v>4</v>
      </c>
      <c r="F3018" s="126"/>
      <c r="G3018" s="7">
        <v>0</v>
      </c>
      <c r="H3018" s="7">
        <v>0</v>
      </c>
      <c r="I3018" s="7">
        <v>0</v>
      </c>
      <c r="J3018" s="7">
        <v>0</v>
      </c>
      <c r="K3018" s="3">
        <f t="shared" si="110"/>
        <v>0</v>
      </c>
      <c r="L3018" s="3"/>
      <c r="M3018" s="3">
        <f t="shared" si="111"/>
        <v>0</v>
      </c>
      <c r="O3018" s="5"/>
      <c r="S3018" s="6"/>
    </row>
    <row r="3019" spans="1:20" customFormat="1" x14ac:dyDescent="0.45">
      <c r="A3019">
        <v>586453</v>
      </c>
      <c r="B3019" t="s">
        <v>22061</v>
      </c>
      <c r="C3019" s="2" t="s">
        <v>22062</v>
      </c>
      <c r="D3019">
        <v>2</v>
      </c>
      <c r="F3019" s="126"/>
      <c r="G3019" s="3">
        <v>0</v>
      </c>
      <c r="H3019" s="3">
        <v>0</v>
      </c>
      <c r="I3019" s="3">
        <v>0</v>
      </c>
      <c r="J3019" s="3">
        <v>0</v>
      </c>
      <c r="K3019" s="3">
        <f t="shared" si="110"/>
        <v>0</v>
      </c>
      <c r="L3019" s="3"/>
      <c r="M3019" s="3">
        <f t="shared" si="111"/>
        <v>0</v>
      </c>
      <c r="O3019" s="5"/>
      <c r="S3019" s="6"/>
    </row>
    <row r="3020" spans="1:20" customFormat="1" x14ac:dyDescent="0.45">
      <c r="A3020">
        <v>586466</v>
      </c>
      <c r="B3020" t="s">
        <v>22063</v>
      </c>
      <c r="C3020" t="s">
        <v>22064</v>
      </c>
      <c r="D3020">
        <v>2</v>
      </c>
      <c r="F3020" s="126"/>
      <c r="G3020" s="7">
        <v>0</v>
      </c>
      <c r="H3020" s="7">
        <v>0</v>
      </c>
      <c r="I3020" s="7">
        <v>0</v>
      </c>
      <c r="J3020" s="7">
        <v>0</v>
      </c>
      <c r="K3020" s="3">
        <f t="shared" si="110"/>
        <v>0</v>
      </c>
      <c r="L3020" s="3"/>
      <c r="M3020" s="3">
        <f t="shared" si="111"/>
        <v>0</v>
      </c>
      <c r="N3020" s="7"/>
      <c r="O3020" s="5"/>
      <c r="S3020" s="6"/>
    </row>
    <row r="3021" spans="1:20" customFormat="1" x14ac:dyDescent="0.45">
      <c r="A3021">
        <v>586519</v>
      </c>
      <c r="B3021" t="s">
        <v>22065</v>
      </c>
      <c r="C3021" t="s">
        <v>22066</v>
      </c>
      <c r="D3021">
        <v>2</v>
      </c>
      <c r="F3021" s="126"/>
      <c r="G3021" s="7">
        <v>0</v>
      </c>
      <c r="H3021" s="7">
        <v>0</v>
      </c>
      <c r="I3021" s="7">
        <v>0</v>
      </c>
      <c r="J3021" s="7">
        <v>0</v>
      </c>
      <c r="K3021" s="3">
        <f t="shared" si="110"/>
        <v>0</v>
      </c>
      <c r="L3021" s="3"/>
      <c r="M3021" s="3">
        <f t="shared" si="111"/>
        <v>0</v>
      </c>
      <c r="O3021" s="5"/>
      <c r="S3021" s="6"/>
    </row>
    <row r="3022" spans="1:20" customFormat="1" x14ac:dyDescent="0.45">
      <c r="A3022">
        <v>586670</v>
      </c>
      <c r="B3022" t="s">
        <v>22067</v>
      </c>
      <c r="C3022" s="2" t="s">
        <v>22068</v>
      </c>
      <c r="D3022">
        <v>2</v>
      </c>
      <c r="F3022" s="126"/>
      <c r="G3022" s="3">
        <v>0</v>
      </c>
      <c r="H3022" s="3">
        <v>0</v>
      </c>
      <c r="I3022" s="3">
        <v>0</v>
      </c>
      <c r="J3022" s="3">
        <v>0</v>
      </c>
      <c r="K3022" s="3">
        <f t="shared" si="110"/>
        <v>0</v>
      </c>
      <c r="L3022" s="3"/>
      <c r="M3022" s="3">
        <f t="shared" si="111"/>
        <v>0</v>
      </c>
      <c r="O3022" s="5"/>
      <c r="S3022" s="6"/>
    </row>
    <row r="3023" spans="1:20" customFormat="1" x14ac:dyDescent="0.45">
      <c r="A3023">
        <v>586696</v>
      </c>
      <c r="B3023" t="s">
        <v>22069</v>
      </c>
      <c r="C3023" s="2" t="s">
        <v>22070</v>
      </c>
      <c r="D3023">
        <v>4</v>
      </c>
      <c r="F3023" s="126"/>
      <c r="G3023" s="3">
        <v>0</v>
      </c>
      <c r="H3023" s="3">
        <v>0</v>
      </c>
      <c r="I3023" s="3">
        <v>0</v>
      </c>
      <c r="J3023" s="3">
        <v>0</v>
      </c>
      <c r="K3023" s="3">
        <f t="shared" si="110"/>
        <v>0</v>
      </c>
      <c r="L3023" s="3"/>
      <c r="M3023" s="3">
        <f t="shared" si="111"/>
        <v>0</v>
      </c>
      <c r="O3023" s="5"/>
      <c r="S3023" s="6"/>
    </row>
    <row r="3024" spans="1:20" customFormat="1" x14ac:dyDescent="0.45">
      <c r="A3024">
        <v>586744</v>
      </c>
      <c r="B3024" t="s">
        <v>22071</v>
      </c>
      <c r="C3024" t="s">
        <v>17108</v>
      </c>
      <c r="D3024">
        <v>12</v>
      </c>
      <c r="F3024" s="126"/>
      <c r="G3024" s="7">
        <v>0</v>
      </c>
      <c r="H3024" s="7">
        <v>0</v>
      </c>
      <c r="I3024" s="7">
        <v>0</v>
      </c>
      <c r="J3024" s="7">
        <v>0</v>
      </c>
      <c r="K3024" s="3">
        <f t="shared" si="110"/>
        <v>0</v>
      </c>
      <c r="L3024" s="3"/>
      <c r="M3024" s="3">
        <f t="shared" si="111"/>
        <v>0</v>
      </c>
      <c r="O3024" s="5"/>
      <c r="S3024" s="6"/>
    </row>
    <row r="3025" spans="1:19" customFormat="1" x14ac:dyDescent="0.45">
      <c r="A3025">
        <v>586775</v>
      </c>
      <c r="B3025" t="s">
        <v>22072</v>
      </c>
      <c r="C3025" t="s">
        <v>22073</v>
      </c>
      <c r="D3025">
        <v>1</v>
      </c>
      <c r="F3025" s="126"/>
      <c r="G3025" s="7">
        <v>0</v>
      </c>
      <c r="H3025" s="7">
        <v>0</v>
      </c>
      <c r="I3025" s="7">
        <v>0</v>
      </c>
      <c r="J3025" s="7">
        <v>0</v>
      </c>
      <c r="K3025" s="3">
        <f t="shared" si="110"/>
        <v>0</v>
      </c>
      <c r="L3025" s="3"/>
      <c r="M3025" s="3">
        <f t="shared" si="111"/>
        <v>0</v>
      </c>
      <c r="O3025" s="5"/>
      <c r="S3025" s="6"/>
    </row>
    <row r="3026" spans="1:19" customFormat="1" x14ac:dyDescent="0.45">
      <c r="A3026">
        <v>586846</v>
      </c>
      <c r="B3026" t="s">
        <v>22074</v>
      </c>
      <c r="C3026" t="s">
        <v>22075</v>
      </c>
      <c r="D3026">
        <v>1</v>
      </c>
      <c r="F3026" s="126"/>
      <c r="G3026" s="7">
        <v>0</v>
      </c>
      <c r="H3026" s="7">
        <v>0</v>
      </c>
      <c r="I3026" s="7">
        <v>0</v>
      </c>
      <c r="J3026" s="7">
        <v>0</v>
      </c>
      <c r="K3026" s="3">
        <f t="shared" si="110"/>
        <v>0</v>
      </c>
      <c r="L3026" s="3"/>
      <c r="M3026" s="3">
        <f t="shared" si="111"/>
        <v>0</v>
      </c>
      <c r="O3026" s="5"/>
      <c r="S3026" s="6"/>
    </row>
    <row r="3027" spans="1:19" customFormat="1" x14ac:dyDescent="0.45">
      <c r="A3027">
        <v>586862</v>
      </c>
      <c r="B3027" t="s">
        <v>22076</v>
      </c>
      <c r="C3027" t="s">
        <v>22077</v>
      </c>
      <c r="D3027">
        <v>10</v>
      </c>
      <c r="F3027" s="126"/>
      <c r="G3027" s="3">
        <v>0</v>
      </c>
      <c r="H3027" s="3">
        <v>0</v>
      </c>
      <c r="I3027" s="3">
        <v>0</v>
      </c>
      <c r="J3027" s="3">
        <v>0</v>
      </c>
      <c r="K3027" s="3">
        <f t="shared" si="110"/>
        <v>0</v>
      </c>
      <c r="L3027" s="3"/>
      <c r="M3027" s="3">
        <f t="shared" si="111"/>
        <v>0</v>
      </c>
      <c r="O3027" s="5"/>
      <c r="S3027" s="6"/>
    </row>
    <row r="3028" spans="1:19" customFormat="1" x14ac:dyDescent="0.45">
      <c r="A3028">
        <v>587094</v>
      </c>
      <c r="B3028" t="s">
        <v>22078</v>
      </c>
      <c r="C3028" t="s">
        <v>22079</v>
      </c>
      <c r="D3028">
        <v>4</v>
      </c>
      <c r="F3028" s="126"/>
      <c r="G3028" s="7">
        <v>0</v>
      </c>
      <c r="H3028" s="7">
        <v>0</v>
      </c>
      <c r="I3028" s="7">
        <v>0</v>
      </c>
      <c r="J3028" s="7">
        <v>0</v>
      </c>
      <c r="K3028" s="3">
        <f t="shared" si="110"/>
        <v>0</v>
      </c>
      <c r="L3028" s="3"/>
      <c r="M3028" s="3">
        <f t="shared" si="111"/>
        <v>0</v>
      </c>
      <c r="O3028" s="5"/>
      <c r="S3028" s="6"/>
    </row>
    <row r="3029" spans="1:19" customFormat="1" x14ac:dyDescent="0.45">
      <c r="A3029">
        <v>587095</v>
      </c>
      <c r="B3029" t="s">
        <v>22080</v>
      </c>
      <c r="C3029" t="s">
        <v>22081</v>
      </c>
      <c r="D3029">
        <v>5</v>
      </c>
      <c r="F3029" s="126"/>
      <c r="G3029" s="7">
        <v>0</v>
      </c>
      <c r="H3029" s="7">
        <v>0</v>
      </c>
      <c r="I3029" s="7">
        <v>0</v>
      </c>
      <c r="J3029" s="7">
        <v>0</v>
      </c>
      <c r="K3029" s="3">
        <f t="shared" si="110"/>
        <v>0</v>
      </c>
      <c r="L3029" s="3"/>
      <c r="M3029" s="3">
        <f t="shared" si="111"/>
        <v>0</v>
      </c>
      <c r="O3029" s="5"/>
      <c r="S3029" s="6"/>
    </row>
    <row r="3030" spans="1:19" customFormat="1" x14ac:dyDescent="0.45">
      <c r="A3030">
        <v>587216</v>
      </c>
      <c r="B3030" t="s">
        <v>22082</v>
      </c>
      <c r="C3030" t="s">
        <v>22083</v>
      </c>
      <c r="D3030">
        <v>5</v>
      </c>
      <c r="F3030" s="126"/>
      <c r="G3030" s="3">
        <v>0</v>
      </c>
      <c r="H3030" s="3">
        <v>0</v>
      </c>
      <c r="I3030" s="3">
        <v>0</v>
      </c>
      <c r="J3030" s="3">
        <v>0</v>
      </c>
      <c r="K3030" s="3">
        <f t="shared" si="110"/>
        <v>0</v>
      </c>
      <c r="L3030" s="3"/>
      <c r="M3030" s="3">
        <f t="shared" si="111"/>
        <v>0</v>
      </c>
      <c r="O3030" s="5"/>
      <c r="S3030" s="6"/>
    </row>
    <row r="3031" spans="1:19" customFormat="1" x14ac:dyDescent="0.45">
      <c r="A3031">
        <v>587218</v>
      </c>
      <c r="B3031" t="s">
        <v>22084</v>
      </c>
      <c r="C3031" t="s">
        <v>22085</v>
      </c>
      <c r="D3031">
        <v>1</v>
      </c>
      <c r="F3031" s="126"/>
      <c r="G3031" s="3">
        <v>0</v>
      </c>
      <c r="H3031" s="3">
        <v>0</v>
      </c>
      <c r="I3031" s="3">
        <v>0</v>
      </c>
      <c r="J3031" s="3">
        <v>0</v>
      </c>
      <c r="K3031" s="3">
        <f t="shared" si="110"/>
        <v>0</v>
      </c>
      <c r="L3031" s="3"/>
      <c r="M3031" s="3">
        <f t="shared" si="111"/>
        <v>0</v>
      </c>
      <c r="O3031" s="5"/>
      <c r="S3031" s="6"/>
    </row>
    <row r="3032" spans="1:19" customFormat="1" x14ac:dyDescent="0.45">
      <c r="A3032">
        <v>587231</v>
      </c>
      <c r="B3032" t="s">
        <v>22086</v>
      </c>
      <c r="C3032" t="s">
        <v>16331</v>
      </c>
      <c r="D3032">
        <v>2</v>
      </c>
      <c r="E3032" t="s">
        <v>16331</v>
      </c>
      <c r="F3032" s="126"/>
      <c r="G3032" s="7">
        <v>0</v>
      </c>
      <c r="H3032" s="7">
        <v>0</v>
      </c>
      <c r="I3032" s="7">
        <v>0</v>
      </c>
      <c r="J3032" s="7">
        <v>0</v>
      </c>
      <c r="K3032" s="3">
        <f t="shared" si="110"/>
        <v>0</v>
      </c>
      <c r="L3032" s="3"/>
      <c r="M3032" s="3">
        <f t="shared" si="111"/>
        <v>0</v>
      </c>
      <c r="N3032" s="7"/>
      <c r="O3032" s="5"/>
      <c r="S3032" s="6"/>
    </row>
    <row r="3033" spans="1:19" customFormat="1" x14ac:dyDescent="0.45">
      <c r="A3033">
        <v>587233</v>
      </c>
      <c r="B3033" t="s">
        <v>22087</v>
      </c>
      <c r="C3033" t="s">
        <v>16331</v>
      </c>
      <c r="D3033">
        <v>1</v>
      </c>
      <c r="E3033" t="s">
        <v>16331</v>
      </c>
      <c r="F3033" s="126"/>
      <c r="G3033" s="7">
        <v>0</v>
      </c>
      <c r="H3033" s="7">
        <v>0</v>
      </c>
      <c r="I3033" s="7">
        <v>0</v>
      </c>
      <c r="J3033" s="7">
        <v>0</v>
      </c>
      <c r="K3033" s="3">
        <f t="shared" si="110"/>
        <v>0</v>
      </c>
      <c r="L3033" s="3"/>
      <c r="M3033" s="3">
        <f t="shared" si="111"/>
        <v>0</v>
      </c>
      <c r="O3033" s="5"/>
      <c r="S3033" s="6"/>
    </row>
    <row r="3034" spans="1:19" customFormat="1" x14ac:dyDescent="0.45">
      <c r="A3034">
        <v>587242</v>
      </c>
      <c r="B3034" t="s">
        <v>22088</v>
      </c>
      <c r="C3034" t="s">
        <v>22089</v>
      </c>
      <c r="D3034">
        <v>1</v>
      </c>
      <c r="F3034" s="126"/>
      <c r="G3034" s="7">
        <v>0</v>
      </c>
      <c r="H3034" s="7">
        <v>0</v>
      </c>
      <c r="I3034" s="7">
        <v>0</v>
      </c>
      <c r="J3034" s="7">
        <v>0</v>
      </c>
      <c r="K3034" s="3">
        <f t="shared" si="110"/>
        <v>0</v>
      </c>
      <c r="L3034" s="3"/>
      <c r="M3034" s="3">
        <f t="shared" si="111"/>
        <v>0</v>
      </c>
      <c r="O3034" s="5"/>
      <c r="S3034" s="6"/>
    </row>
    <row r="3035" spans="1:19" customFormat="1" x14ac:dyDescent="0.45">
      <c r="A3035">
        <v>587243</v>
      </c>
      <c r="B3035" t="s">
        <v>22090</v>
      </c>
      <c r="C3035" t="s">
        <v>22091</v>
      </c>
      <c r="D3035">
        <v>1</v>
      </c>
      <c r="F3035" s="126"/>
      <c r="G3035" s="7">
        <v>0</v>
      </c>
      <c r="H3035" s="7">
        <v>0</v>
      </c>
      <c r="I3035" s="7">
        <v>0</v>
      </c>
      <c r="J3035" s="7">
        <v>0</v>
      </c>
      <c r="K3035" s="3">
        <f t="shared" si="110"/>
        <v>0</v>
      </c>
      <c r="L3035" s="3"/>
      <c r="M3035" s="3">
        <f t="shared" si="111"/>
        <v>0</v>
      </c>
      <c r="O3035" s="5"/>
      <c r="S3035" s="6"/>
    </row>
    <row r="3036" spans="1:19" customFormat="1" x14ac:dyDescent="0.45">
      <c r="A3036">
        <v>587254</v>
      </c>
      <c r="B3036" t="s">
        <v>22092</v>
      </c>
      <c r="C3036" t="s">
        <v>22093</v>
      </c>
      <c r="D3036">
        <v>9</v>
      </c>
      <c r="F3036" s="126"/>
      <c r="K3036" s="3">
        <f t="shared" si="110"/>
        <v>0</v>
      </c>
      <c r="L3036" s="3"/>
      <c r="M3036" s="3">
        <f t="shared" si="111"/>
        <v>0</v>
      </c>
      <c r="O3036" s="5"/>
      <c r="S3036" s="6"/>
    </row>
    <row r="3037" spans="1:19" customFormat="1" x14ac:dyDescent="0.45">
      <c r="A3037">
        <v>587569</v>
      </c>
      <c r="B3037" t="s">
        <v>22094</v>
      </c>
      <c r="C3037" t="s">
        <v>22095</v>
      </c>
      <c r="D3037">
        <v>2</v>
      </c>
      <c r="F3037" s="126"/>
      <c r="G3037" s="7">
        <v>0</v>
      </c>
      <c r="H3037" s="7">
        <v>0</v>
      </c>
      <c r="I3037" s="7">
        <v>0</v>
      </c>
      <c r="J3037" s="7">
        <v>0</v>
      </c>
      <c r="K3037" s="3">
        <f t="shared" si="110"/>
        <v>0</v>
      </c>
      <c r="L3037" s="3"/>
      <c r="M3037" s="3">
        <f t="shared" si="111"/>
        <v>0</v>
      </c>
      <c r="O3037" s="5"/>
      <c r="S3037" s="6"/>
    </row>
    <row r="3038" spans="1:19" customFormat="1" x14ac:dyDescent="0.45">
      <c r="A3038">
        <v>587577</v>
      </c>
      <c r="B3038" t="s">
        <v>22096</v>
      </c>
      <c r="C3038" t="s">
        <v>16331</v>
      </c>
      <c r="D3038">
        <v>1</v>
      </c>
      <c r="E3038" t="s">
        <v>16331</v>
      </c>
      <c r="F3038" s="126"/>
      <c r="G3038" s="7">
        <v>0</v>
      </c>
      <c r="H3038" s="7">
        <v>0</v>
      </c>
      <c r="I3038" s="7">
        <v>0</v>
      </c>
      <c r="J3038" s="7">
        <v>0</v>
      </c>
      <c r="K3038" s="3">
        <f t="shared" si="110"/>
        <v>0</v>
      </c>
      <c r="L3038" s="3"/>
      <c r="M3038" s="3">
        <f t="shared" si="111"/>
        <v>0</v>
      </c>
      <c r="O3038" s="5"/>
      <c r="S3038" s="6"/>
    </row>
    <row r="3039" spans="1:19" customFormat="1" x14ac:dyDescent="0.45">
      <c r="A3039">
        <v>587613</v>
      </c>
      <c r="B3039" t="s">
        <v>22097</v>
      </c>
      <c r="C3039" t="s">
        <v>22098</v>
      </c>
      <c r="D3039">
        <v>2</v>
      </c>
      <c r="F3039" s="126"/>
      <c r="G3039" s="7">
        <v>0</v>
      </c>
      <c r="H3039" s="7">
        <v>0</v>
      </c>
      <c r="I3039" s="7">
        <v>0</v>
      </c>
      <c r="J3039" s="7">
        <v>0</v>
      </c>
      <c r="K3039" s="3">
        <f t="shared" si="110"/>
        <v>0</v>
      </c>
      <c r="L3039" s="3"/>
      <c r="M3039" s="3">
        <f t="shared" si="111"/>
        <v>0</v>
      </c>
      <c r="O3039" s="5"/>
      <c r="S3039" s="6"/>
    </row>
    <row r="3040" spans="1:19" customFormat="1" x14ac:dyDescent="0.45">
      <c r="A3040">
        <v>587620</v>
      </c>
      <c r="B3040" t="s">
        <v>22099</v>
      </c>
      <c r="C3040" t="s">
        <v>22100</v>
      </c>
      <c r="D3040">
        <v>11</v>
      </c>
      <c r="F3040" s="126"/>
      <c r="G3040" s="7">
        <v>0</v>
      </c>
      <c r="H3040" s="7">
        <v>0</v>
      </c>
      <c r="I3040" s="7">
        <v>0</v>
      </c>
      <c r="J3040" s="7">
        <v>0</v>
      </c>
      <c r="K3040" s="3">
        <f t="shared" si="110"/>
        <v>0</v>
      </c>
      <c r="L3040" s="3"/>
      <c r="M3040" s="3">
        <f t="shared" si="111"/>
        <v>0</v>
      </c>
      <c r="O3040" s="5"/>
      <c r="S3040" s="6"/>
    </row>
    <row r="3041" spans="1:22" customFormat="1" x14ac:dyDescent="0.45">
      <c r="A3041">
        <v>587640</v>
      </c>
      <c r="B3041" t="s">
        <v>22101</v>
      </c>
      <c r="C3041" t="s">
        <v>16331</v>
      </c>
      <c r="D3041">
        <v>1</v>
      </c>
      <c r="E3041" t="s">
        <v>16331</v>
      </c>
      <c r="F3041" s="126"/>
      <c r="G3041" s="7">
        <v>0</v>
      </c>
      <c r="H3041" s="7">
        <v>0</v>
      </c>
      <c r="I3041" s="7">
        <v>0</v>
      </c>
      <c r="J3041" s="7">
        <v>0</v>
      </c>
      <c r="K3041" s="3">
        <f t="shared" si="110"/>
        <v>0</v>
      </c>
      <c r="L3041" s="3"/>
      <c r="M3041" s="3">
        <f t="shared" si="111"/>
        <v>0</v>
      </c>
      <c r="O3041" s="5"/>
      <c r="S3041" s="6"/>
    </row>
    <row r="3042" spans="1:22" customFormat="1" x14ac:dyDescent="0.45">
      <c r="A3042">
        <v>587643</v>
      </c>
      <c r="B3042" t="s">
        <v>22102</v>
      </c>
      <c r="C3042" t="s">
        <v>22103</v>
      </c>
      <c r="D3042">
        <v>5</v>
      </c>
      <c r="F3042" s="126"/>
      <c r="G3042" s="7">
        <v>0</v>
      </c>
      <c r="H3042" s="7">
        <v>0</v>
      </c>
      <c r="I3042" s="7">
        <v>0</v>
      </c>
      <c r="J3042" s="7">
        <v>0</v>
      </c>
      <c r="K3042" s="3">
        <f t="shared" ref="K3042:K3105" si="112">SUM(G3042:J3042)</f>
        <v>0</v>
      </c>
      <c r="L3042" s="3"/>
      <c r="M3042" s="3">
        <f t="shared" ref="M3042:M3105" si="113">K3042+F3042</f>
        <v>0</v>
      </c>
      <c r="O3042" s="5"/>
      <c r="S3042" s="6"/>
    </row>
    <row r="3043" spans="1:22" customFormat="1" x14ac:dyDescent="0.45">
      <c r="A3043">
        <v>587645</v>
      </c>
      <c r="B3043" t="s">
        <v>22104</v>
      </c>
      <c r="C3043" t="s">
        <v>22105</v>
      </c>
      <c r="D3043">
        <v>1</v>
      </c>
      <c r="F3043" s="126"/>
      <c r="G3043" s="7">
        <v>0</v>
      </c>
      <c r="H3043" s="7">
        <v>0</v>
      </c>
      <c r="I3043" s="7">
        <v>0</v>
      </c>
      <c r="J3043" s="7">
        <v>0</v>
      </c>
      <c r="K3043" s="3">
        <f t="shared" si="112"/>
        <v>0</v>
      </c>
      <c r="L3043" s="3"/>
      <c r="M3043" s="3">
        <f t="shared" si="113"/>
        <v>0</v>
      </c>
      <c r="O3043" s="5"/>
      <c r="S3043" s="6"/>
    </row>
    <row r="3044" spans="1:22" customFormat="1" x14ac:dyDescent="0.45">
      <c r="A3044">
        <v>587646</v>
      </c>
      <c r="B3044" t="s">
        <v>22106</v>
      </c>
      <c r="C3044" t="s">
        <v>16331</v>
      </c>
      <c r="D3044">
        <v>1</v>
      </c>
      <c r="E3044" t="s">
        <v>16331</v>
      </c>
      <c r="F3044" s="126"/>
      <c r="K3044" s="3">
        <f t="shared" si="112"/>
        <v>0</v>
      </c>
      <c r="L3044" s="3"/>
      <c r="M3044" s="3">
        <f t="shared" si="113"/>
        <v>0</v>
      </c>
      <c r="O3044" s="5"/>
      <c r="S3044" s="6"/>
    </row>
    <row r="3045" spans="1:22" customFormat="1" x14ac:dyDescent="0.45">
      <c r="A3045">
        <v>587647</v>
      </c>
      <c r="B3045" t="s">
        <v>22107</v>
      </c>
      <c r="C3045" t="s">
        <v>22108</v>
      </c>
      <c r="D3045">
        <v>1</v>
      </c>
      <c r="F3045" s="126"/>
      <c r="G3045" s="7">
        <v>0</v>
      </c>
      <c r="H3045" s="7">
        <v>0</v>
      </c>
      <c r="I3045" s="7">
        <v>0</v>
      </c>
      <c r="J3045" s="7">
        <v>0</v>
      </c>
      <c r="K3045" s="3">
        <f t="shared" si="112"/>
        <v>0</v>
      </c>
      <c r="L3045" s="3"/>
      <c r="M3045" s="3">
        <f t="shared" si="113"/>
        <v>0</v>
      </c>
      <c r="O3045" s="5"/>
      <c r="S3045" s="6"/>
    </row>
    <row r="3046" spans="1:22" customFormat="1" x14ac:dyDescent="0.45">
      <c r="A3046">
        <v>587653</v>
      </c>
      <c r="B3046" t="s">
        <v>22109</v>
      </c>
      <c r="C3046" t="s">
        <v>22110</v>
      </c>
      <c r="D3046">
        <v>2</v>
      </c>
      <c r="F3046" s="126"/>
      <c r="G3046" s="7">
        <v>0</v>
      </c>
      <c r="H3046" s="7">
        <v>0</v>
      </c>
      <c r="I3046" s="7">
        <v>0</v>
      </c>
      <c r="J3046" s="7">
        <v>0</v>
      </c>
      <c r="K3046" s="3">
        <f t="shared" si="112"/>
        <v>0</v>
      </c>
      <c r="L3046" s="3"/>
      <c r="M3046" s="3">
        <f t="shared" si="113"/>
        <v>0</v>
      </c>
      <c r="O3046" s="5"/>
      <c r="S3046" s="6"/>
    </row>
    <row r="3047" spans="1:22" customFormat="1" x14ac:dyDescent="0.45">
      <c r="A3047">
        <v>587655</v>
      </c>
      <c r="B3047" t="s">
        <v>22111</v>
      </c>
      <c r="C3047" t="s">
        <v>16331</v>
      </c>
      <c r="D3047">
        <v>2</v>
      </c>
      <c r="E3047" t="s">
        <v>16331</v>
      </c>
      <c r="F3047" s="126"/>
      <c r="G3047" s="7">
        <v>0</v>
      </c>
      <c r="H3047" s="7">
        <v>0</v>
      </c>
      <c r="I3047" s="7">
        <v>0</v>
      </c>
      <c r="J3047" s="7">
        <v>0</v>
      </c>
      <c r="K3047" s="3">
        <f t="shared" si="112"/>
        <v>0</v>
      </c>
      <c r="L3047" s="3"/>
      <c r="M3047" s="3">
        <f t="shared" si="113"/>
        <v>0</v>
      </c>
      <c r="O3047" s="5"/>
      <c r="S3047" s="6"/>
    </row>
    <row r="3048" spans="1:22" customFormat="1" x14ac:dyDescent="0.45">
      <c r="A3048">
        <v>587699</v>
      </c>
      <c r="B3048" t="s">
        <v>22112</v>
      </c>
      <c r="C3048" t="s">
        <v>16935</v>
      </c>
      <c r="D3048">
        <v>2</v>
      </c>
      <c r="F3048" s="126"/>
      <c r="K3048" s="3">
        <f t="shared" si="112"/>
        <v>0</v>
      </c>
      <c r="L3048" s="3"/>
      <c r="M3048" s="3">
        <f t="shared" si="113"/>
        <v>0</v>
      </c>
      <c r="O3048" s="5"/>
      <c r="S3048" s="6"/>
    </row>
    <row r="3049" spans="1:22" x14ac:dyDescent="0.45">
      <c r="A3049" s="124">
        <v>153706</v>
      </c>
      <c r="B3049" s="124" t="s">
        <v>22113</v>
      </c>
      <c r="C3049" s="124" t="s">
        <v>22114</v>
      </c>
      <c r="D3049" s="124">
        <v>65</v>
      </c>
      <c r="E3049" s="124" t="s">
        <v>16334</v>
      </c>
      <c r="F3049" s="126">
        <v>1.6999999999999999E-3</v>
      </c>
      <c r="G3049" s="126">
        <v>0.02</v>
      </c>
      <c r="H3049" s="126">
        <v>0</v>
      </c>
      <c r="I3049" s="127">
        <v>0</v>
      </c>
      <c r="J3049" s="127">
        <v>0</v>
      </c>
      <c r="K3049" s="126">
        <f t="shared" si="112"/>
        <v>0.02</v>
      </c>
      <c r="L3049" s="3"/>
      <c r="M3049" s="126">
        <f t="shared" si="113"/>
        <v>2.1700000000000001E-2</v>
      </c>
      <c r="O3049" s="125" t="s">
        <v>22115</v>
      </c>
      <c r="P3049" s="128" t="s">
        <v>26918</v>
      </c>
      <c r="Q3049" s="143">
        <v>40744.199999999997</v>
      </c>
      <c r="R3049" s="124" t="s">
        <v>16</v>
      </c>
      <c r="S3049" s="130">
        <v>2864.6</v>
      </c>
      <c r="T3049" s="129">
        <f>S3049/Q3049</f>
        <v>7.0306939392600673E-2</v>
      </c>
      <c r="V3049" s="125" t="s">
        <v>22116</v>
      </c>
    </row>
    <row r="3050" spans="1:22" customFormat="1" x14ac:dyDescent="0.45">
      <c r="A3050">
        <v>587707</v>
      </c>
      <c r="B3050" t="s">
        <v>22117</v>
      </c>
      <c r="C3050" t="s">
        <v>22118</v>
      </c>
      <c r="D3050">
        <v>1</v>
      </c>
      <c r="F3050" s="126"/>
      <c r="G3050" s="7">
        <v>0</v>
      </c>
      <c r="H3050" s="7">
        <v>0</v>
      </c>
      <c r="I3050" s="7">
        <v>0</v>
      </c>
      <c r="J3050" s="7">
        <v>0</v>
      </c>
      <c r="K3050" s="3">
        <f t="shared" si="112"/>
        <v>0</v>
      </c>
      <c r="L3050" s="3"/>
      <c r="M3050" s="3">
        <f t="shared" si="113"/>
        <v>0</v>
      </c>
      <c r="O3050" s="5"/>
      <c r="S3050" s="6"/>
    </row>
    <row r="3051" spans="1:22" customFormat="1" x14ac:dyDescent="0.45">
      <c r="A3051">
        <v>587712</v>
      </c>
      <c r="B3051" t="s">
        <v>22119</v>
      </c>
      <c r="C3051" t="s">
        <v>22120</v>
      </c>
      <c r="D3051">
        <v>11</v>
      </c>
      <c r="F3051" s="126"/>
      <c r="G3051" s="7">
        <v>0</v>
      </c>
      <c r="H3051" s="7">
        <v>0</v>
      </c>
      <c r="I3051" s="7">
        <v>0</v>
      </c>
      <c r="J3051" s="7">
        <v>0</v>
      </c>
      <c r="K3051" s="3">
        <f t="shared" si="112"/>
        <v>0</v>
      </c>
      <c r="L3051" s="3"/>
      <c r="M3051" s="3">
        <f t="shared" si="113"/>
        <v>0</v>
      </c>
      <c r="O3051" s="5"/>
      <c r="S3051" s="6"/>
    </row>
    <row r="3052" spans="1:22" customFormat="1" x14ac:dyDescent="0.45">
      <c r="A3052">
        <v>587792</v>
      </c>
      <c r="B3052" t="s">
        <v>22121</v>
      </c>
      <c r="C3052" t="s">
        <v>16331</v>
      </c>
      <c r="D3052">
        <v>2</v>
      </c>
      <c r="E3052" t="s">
        <v>16331</v>
      </c>
      <c r="F3052" s="126"/>
      <c r="K3052" s="3">
        <f t="shared" si="112"/>
        <v>0</v>
      </c>
      <c r="L3052" s="3"/>
      <c r="M3052" s="3">
        <f t="shared" si="113"/>
        <v>0</v>
      </c>
      <c r="O3052" s="5"/>
      <c r="S3052" s="6"/>
    </row>
    <row r="3053" spans="1:22" customFormat="1" x14ac:dyDescent="0.45">
      <c r="A3053">
        <v>587827</v>
      </c>
      <c r="B3053" t="s">
        <v>22122</v>
      </c>
      <c r="C3053" t="s">
        <v>16331</v>
      </c>
      <c r="D3053">
        <v>1</v>
      </c>
      <c r="E3053" t="s">
        <v>16331</v>
      </c>
      <c r="F3053" s="126"/>
      <c r="G3053" s="7">
        <v>0</v>
      </c>
      <c r="H3053" s="7">
        <v>0</v>
      </c>
      <c r="I3053" s="7">
        <v>0</v>
      </c>
      <c r="J3053" s="7">
        <v>0</v>
      </c>
      <c r="K3053" s="3">
        <f t="shared" si="112"/>
        <v>0</v>
      </c>
      <c r="L3053" s="3"/>
      <c r="M3053" s="3">
        <f t="shared" si="113"/>
        <v>0</v>
      </c>
      <c r="O3053" s="5"/>
      <c r="S3053" s="6"/>
    </row>
    <row r="3054" spans="1:22" customFormat="1" x14ac:dyDescent="0.45">
      <c r="A3054">
        <v>588153</v>
      </c>
      <c r="B3054" t="s">
        <v>22123</v>
      </c>
      <c r="C3054" t="s">
        <v>22124</v>
      </c>
      <c r="D3054">
        <v>1</v>
      </c>
      <c r="F3054" s="126"/>
      <c r="G3054" s="7">
        <v>0</v>
      </c>
      <c r="H3054" s="7">
        <v>0</v>
      </c>
      <c r="I3054" s="7">
        <v>0</v>
      </c>
      <c r="J3054" s="7">
        <v>0</v>
      </c>
      <c r="K3054" s="3">
        <f t="shared" si="112"/>
        <v>0</v>
      </c>
      <c r="L3054" s="3"/>
      <c r="M3054" s="3">
        <f t="shared" si="113"/>
        <v>0</v>
      </c>
      <c r="O3054" s="5"/>
      <c r="S3054" s="6"/>
    </row>
    <row r="3055" spans="1:22" customFormat="1" x14ac:dyDescent="0.45">
      <c r="A3055">
        <v>588163</v>
      </c>
      <c r="B3055" t="s">
        <v>22125</v>
      </c>
      <c r="C3055" t="s">
        <v>22126</v>
      </c>
      <c r="D3055">
        <v>6</v>
      </c>
      <c r="F3055" s="126"/>
      <c r="G3055" s="7">
        <v>0</v>
      </c>
      <c r="H3055" s="7">
        <v>0</v>
      </c>
      <c r="I3055" s="7">
        <v>0</v>
      </c>
      <c r="J3055" s="7">
        <v>0</v>
      </c>
      <c r="K3055" s="3">
        <f t="shared" si="112"/>
        <v>0</v>
      </c>
      <c r="L3055" s="3"/>
      <c r="M3055" s="3">
        <f t="shared" si="113"/>
        <v>0</v>
      </c>
      <c r="O3055" s="5"/>
      <c r="S3055" s="6"/>
    </row>
    <row r="3056" spans="1:22" customFormat="1" x14ac:dyDescent="0.45">
      <c r="A3056">
        <v>588166</v>
      </c>
      <c r="B3056" t="s">
        <v>22127</v>
      </c>
      <c r="C3056" t="s">
        <v>22128</v>
      </c>
      <c r="D3056">
        <v>2</v>
      </c>
      <c r="F3056" s="126"/>
      <c r="G3056" s="3">
        <v>0</v>
      </c>
      <c r="H3056" s="3">
        <v>0</v>
      </c>
      <c r="I3056" s="3">
        <v>0</v>
      </c>
      <c r="J3056" s="3">
        <v>0</v>
      </c>
      <c r="K3056" s="3">
        <f t="shared" si="112"/>
        <v>0</v>
      </c>
      <c r="L3056" s="3"/>
      <c r="M3056" s="3">
        <f t="shared" si="113"/>
        <v>0</v>
      </c>
      <c r="O3056" s="5"/>
      <c r="S3056" s="6"/>
    </row>
    <row r="3057" spans="1:22" x14ac:dyDescent="0.45">
      <c r="A3057" s="124">
        <v>217994</v>
      </c>
      <c r="B3057" s="124" t="s">
        <v>22129</v>
      </c>
      <c r="C3057" s="124" t="s">
        <v>22130</v>
      </c>
      <c r="D3057" s="124">
        <v>7</v>
      </c>
      <c r="E3057" s="124" t="s">
        <v>16334</v>
      </c>
      <c r="F3057" s="126">
        <v>1.6999999999999999E-3</v>
      </c>
      <c r="G3057" s="126">
        <f>1030/100000</f>
        <v>1.03E-2</v>
      </c>
      <c r="H3057" s="126">
        <v>5.0000000000000001E-3</v>
      </c>
      <c r="I3057" s="127">
        <v>0</v>
      </c>
      <c r="J3057" s="127">
        <v>0</v>
      </c>
      <c r="K3057" s="126">
        <f t="shared" si="112"/>
        <v>1.5300000000000001E-2</v>
      </c>
      <c r="L3057" s="3"/>
      <c r="M3057" s="126">
        <f t="shared" si="113"/>
        <v>1.7000000000000001E-2</v>
      </c>
      <c r="O3057" s="125" t="s">
        <v>22131</v>
      </c>
      <c r="P3057" s="128" t="s">
        <v>26918</v>
      </c>
      <c r="Q3057" s="130">
        <f>1320491+3359</f>
        <v>1323850</v>
      </c>
      <c r="R3057" s="124" t="s">
        <v>16348</v>
      </c>
      <c r="S3057" s="130">
        <v>65037</v>
      </c>
      <c r="T3057" s="129">
        <f>S3057/Q3057</f>
        <v>4.9127166975110471E-2</v>
      </c>
      <c r="V3057" s="125" t="s">
        <v>22132</v>
      </c>
    </row>
    <row r="3058" spans="1:22" customFormat="1" x14ac:dyDescent="0.45">
      <c r="A3058">
        <v>588419</v>
      </c>
      <c r="B3058" t="s">
        <v>22133</v>
      </c>
      <c r="C3058" t="s">
        <v>16331</v>
      </c>
      <c r="D3058">
        <v>1</v>
      </c>
      <c r="E3058" t="s">
        <v>16331</v>
      </c>
      <c r="F3058" s="126"/>
      <c r="G3058" s="7">
        <v>0</v>
      </c>
      <c r="H3058" s="7">
        <v>0</v>
      </c>
      <c r="I3058" s="7">
        <v>0</v>
      </c>
      <c r="J3058" s="7">
        <v>0</v>
      </c>
      <c r="K3058" s="3">
        <f t="shared" si="112"/>
        <v>0</v>
      </c>
      <c r="L3058" s="3"/>
      <c r="M3058" s="3">
        <f t="shared" si="113"/>
        <v>0</v>
      </c>
      <c r="O3058" s="5"/>
      <c r="S3058" s="6"/>
    </row>
    <row r="3059" spans="1:22" customFormat="1" x14ac:dyDescent="0.45">
      <c r="A3059">
        <v>588420</v>
      </c>
      <c r="B3059" t="s">
        <v>22134</v>
      </c>
      <c r="C3059" t="s">
        <v>22135</v>
      </c>
      <c r="D3059">
        <v>2</v>
      </c>
      <c r="F3059" s="126"/>
      <c r="G3059" s="34" t="s">
        <v>22136</v>
      </c>
      <c r="H3059" s="34" t="s">
        <v>22137</v>
      </c>
      <c r="I3059" s="34"/>
      <c r="J3059" s="34"/>
      <c r="K3059" s="3">
        <f t="shared" si="112"/>
        <v>0</v>
      </c>
      <c r="L3059" s="3"/>
      <c r="M3059" s="3">
        <f t="shared" si="113"/>
        <v>0</v>
      </c>
      <c r="O3059" s="5"/>
      <c r="S3059" s="6"/>
    </row>
    <row r="3060" spans="1:22" customFormat="1" x14ac:dyDescent="0.45">
      <c r="A3060">
        <v>588428</v>
      </c>
      <c r="B3060" t="s">
        <v>22138</v>
      </c>
      <c r="C3060" t="s">
        <v>22139</v>
      </c>
      <c r="D3060">
        <v>2</v>
      </c>
      <c r="F3060" s="126"/>
      <c r="K3060" s="3">
        <f t="shared" si="112"/>
        <v>0</v>
      </c>
      <c r="L3060" s="3"/>
      <c r="M3060" s="3">
        <f t="shared" si="113"/>
        <v>0</v>
      </c>
      <c r="O3060" s="5"/>
      <c r="S3060" s="6"/>
    </row>
    <row r="3061" spans="1:22" customFormat="1" x14ac:dyDescent="0.45">
      <c r="A3061">
        <v>588431</v>
      </c>
      <c r="B3061" t="s">
        <v>22140</v>
      </c>
      <c r="C3061" t="s">
        <v>16331</v>
      </c>
      <c r="D3061">
        <v>2</v>
      </c>
      <c r="E3061" t="s">
        <v>16331</v>
      </c>
      <c r="F3061" s="126"/>
      <c r="G3061" s="7">
        <v>0</v>
      </c>
      <c r="H3061" s="7">
        <v>0</v>
      </c>
      <c r="I3061" s="7">
        <v>0</v>
      </c>
      <c r="J3061" s="7">
        <v>0</v>
      </c>
      <c r="K3061" s="3">
        <f t="shared" si="112"/>
        <v>0</v>
      </c>
      <c r="L3061" s="3"/>
      <c r="M3061" s="3">
        <f t="shared" si="113"/>
        <v>0</v>
      </c>
      <c r="O3061" s="5"/>
      <c r="S3061" s="6"/>
    </row>
    <row r="3062" spans="1:22" customFormat="1" x14ac:dyDescent="0.45">
      <c r="A3062">
        <v>588466</v>
      </c>
      <c r="B3062" t="s">
        <v>22141</v>
      </c>
      <c r="C3062" t="s">
        <v>22142</v>
      </c>
      <c r="D3062">
        <v>1</v>
      </c>
      <c r="F3062" s="126"/>
      <c r="G3062" s="7">
        <v>0</v>
      </c>
      <c r="H3062" s="7">
        <v>0</v>
      </c>
      <c r="I3062" s="7">
        <v>0</v>
      </c>
      <c r="J3062" s="7">
        <v>0</v>
      </c>
      <c r="K3062" s="3">
        <f t="shared" si="112"/>
        <v>0</v>
      </c>
      <c r="L3062" s="3"/>
      <c r="M3062" s="3">
        <f t="shared" si="113"/>
        <v>0</v>
      </c>
      <c r="O3062" s="5"/>
      <c r="S3062" s="6"/>
    </row>
    <row r="3063" spans="1:22" customFormat="1" x14ac:dyDescent="0.45">
      <c r="A3063">
        <v>588625</v>
      </c>
      <c r="B3063" t="s">
        <v>22143</v>
      </c>
      <c r="C3063" t="s">
        <v>16331</v>
      </c>
      <c r="D3063">
        <v>3</v>
      </c>
      <c r="E3063" t="s">
        <v>16331</v>
      </c>
      <c r="F3063" s="126"/>
      <c r="G3063" s="7">
        <v>0</v>
      </c>
      <c r="H3063" s="7">
        <v>0</v>
      </c>
      <c r="I3063" s="7">
        <v>0</v>
      </c>
      <c r="J3063" s="7">
        <v>0</v>
      </c>
      <c r="K3063" s="3">
        <f t="shared" si="112"/>
        <v>0</v>
      </c>
      <c r="L3063" s="3"/>
      <c r="M3063" s="3">
        <f t="shared" si="113"/>
        <v>0</v>
      </c>
      <c r="O3063" s="5"/>
      <c r="S3063" s="6"/>
    </row>
    <row r="3064" spans="1:22" customFormat="1" x14ac:dyDescent="0.45">
      <c r="A3064">
        <v>588626</v>
      </c>
      <c r="B3064" t="s">
        <v>22144</v>
      </c>
      <c r="C3064" t="s">
        <v>22145</v>
      </c>
      <c r="D3064">
        <v>2</v>
      </c>
      <c r="F3064" s="126"/>
      <c r="K3064" s="3">
        <f t="shared" si="112"/>
        <v>0</v>
      </c>
      <c r="L3064" s="3"/>
      <c r="M3064" s="3">
        <f t="shared" si="113"/>
        <v>0</v>
      </c>
      <c r="O3064" s="5"/>
      <c r="S3064" s="6"/>
    </row>
    <row r="3065" spans="1:22" customFormat="1" x14ac:dyDescent="0.45">
      <c r="A3065">
        <v>588633</v>
      </c>
      <c r="B3065" t="s">
        <v>22146</v>
      </c>
      <c r="C3065" t="s">
        <v>21988</v>
      </c>
      <c r="D3065">
        <v>4</v>
      </c>
      <c r="F3065" s="126"/>
      <c r="G3065" s="3">
        <v>0</v>
      </c>
      <c r="H3065" s="3">
        <v>0</v>
      </c>
      <c r="I3065" s="3">
        <v>0</v>
      </c>
      <c r="J3065" s="3">
        <v>0</v>
      </c>
      <c r="K3065" s="3">
        <f t="shared" si="112"/>
        <v>0</v>
      </c>
      <c r="L3065" s="3"/>
      <c r="M3065" s="3">
        <f t="shared" si="113"/>
        <v>0</v>
      </c>
      <c r="O3065" s="5"/>
      <c r="S3065" s="6"/>
    </row>
    <row r="3066" spans="1:22" customFormat="1" x14ac:dyDescent="0.45">
      <c r="A3066">
        <v>588666</v>
      </c>
      <c r="B3066" t="s">
        <v>22147</v>
      </c>
      <c r="C3066" t="s">
        <v>22148</v>
      </c>
      <c r="D3066">
        <v>2</v>
      </c>
      <c r="F3066" s="126"/>
      <c r="G3066" s="3">
        <v>0</v>
      </c>
      <c r="H3066" s="3">
        <v>0</v>
      </c>
      <c r="I3066" s="3">
        <v>0</v>
      </c>
      <c r="J3066" s="3">
        <v>0</v>
      </c>
      <c r="K3066" s="3">
        <f t="shared" si="112"/>
        <v>0</v>
      </c>
      <c r="L3066" s="3"/>
      <c r="M3066" s="3">
        <f t="shared" si="113"/>
        <v>0</v>
      </c>
      <c r="O3066" s="5"/>
      <c r="S3066" s="6"/>
    </row>
    <row r="3067" spans="1:22" customFormat="1" x14ac:dyDescent="0.45">
      <c r="A3067">
        <v>588673</v>
      </c>
      <c r="B3067" t="s">
        <v>22149</v>
      </c>
      <c r="C3067" t="s">
        <v>22150</v>
      </c>
      <c r="D3067">
        <v>0</v>
      </c>
      <c r="E3067" t="s">
        <v>16561</v>
      </c>
      <c r="F3067" s="126"/>
      <c r="G3067" s="7">
        <v>0</v>
      </c>
      <c r="H3067" s="7">
        <v>0</v>
      </c>
      <c r="I3067" s="7">
        <v>0</v>
      </c>
      <c r="J3067" s="7">
        <v>0</v>
      </c>
      <c r="K3067" s="3">
        <f t="shared" si="112"/>
        <v>0</v>
      </c>
      <c r="L3067" s="3"/>
      <c r="M3067" s="3">
        <f t="shared" si="113"/>
        <v>0</v>
      </c>
      <c r="N3067" s="7"/>
      <c r="O3067" s="5"/>
      <c r="S3067" s="6"/>
    </row>
    <row r="3068" spans="1:22" customFormat="1" x14ac:dyDescent="0.45">
      <c r="A3068">
        <v>588778</v>
      </c>
      <c r="B3068" t="s">
        <v>22151</v>
      </c>
      <c r="C3068" t="s">
        <v>22152</v>
      </c>
      <c r="D3068">
        <v>7</v>
      </c>
      <c r="F3068" s="126"/>
      <c r="G3068" s="3">
        <v>0</v>
      </c>
      <c r="H3068" s="3">
        <v>0</v>
      </c>
      <c r="I3068" s="3">
        <v>0</v>
      </c>
      <c r="J3068" s="3">
        <v>0</v>
      </c>
      <c r="K3068" s="3">
        <f t="shared" si="112"/>
        <v>0</v>
      </c>
      <c r="L3068" s="3"/>
      <c r="M3068" s="3">
        <f t="shared" si="113"/>
        <v>0</v>
      </c>
      <c r="O3068" s="5"/>
      <c r="S3068" s="6"/>
    </row>
    <row r="3069" spans="1:22" customFormat="1" x14ac:dyDescent="0.45">
      <c r="A3069">
        <v>589048</v>
      </c>
      <c r="B3069" t="s">
        <v>22153</v>
      </c>
      <c r="C3069" t="s">
        <v>16331</v>
      </c>
      <c r="D3069">
        <v>2</v>
      </c>
      <c r="E3069" t="s">
        <v>16331</v>
      </c>
      <c r="F3069" s="126"/>
      <c r="G3069" s="7">
        <v>0</v>
      </c>
      <c r="H3069" s="7">
        <v>0</v>
      </c>
      <c r="I3069" s="7">
        <v>0</v>
      </c>
      <c r="J3069" s="7">
        <v>0</v>
      </c>
      <c r="K3069" s="3">
        <f t="shared" si="112"/>
        <v>0</v>
      </c>
      <c r="L3069" s="3"/>
      <c r="M3069" s="3">
        <f t="shared" si="113"/>
        <v>0</v>
      </c>
      <c r="O3069" s="5"/>
      <c r="S3069" s="6"/>
    </row>
    <row r="3070" spans="1:22" customFormat="1" x14ac:dyDescent="0.45">
      <c r="A3070">
        <v>589099</v>
      </c>
      <c r="B3070" t="s">
        <v>22154</v>
      </c>
      <c r="C3070" t="s">
        <v>22155</v>
      </c>
      <c r="D3070">
        <v>1</v>
      </c>
      <c r="F3070" s="126"/>
      <c r="G3070" s="7">
        <v>0</v>
      </c>
      <c r="H3070" s="7">
        <v>0</v>
      </c>
      <c r="I3070" s="7">
        <v>0</v>
      </c>
      <c r="J3070" s="7">
        <v>0</v>
      </c>
      <c r="K3070" s="3">
        <f t="shared" si="112"/>
        <v>0</v>
      </c>
      <c r="L3070" s="3"/>
      <c r="M3070" s="3">
        <f t="shared" si="113"/>
        <v>0</v>
      </c>
      <c r="O3070" s="5"/>
      <c r="S3070" s="6"/>
    </row>
    <row r="3071" spans="1:22" x14ac:dyDescent="0.45">
      <c r="A3071" s="124">
        <v>767863</v>
      </c>
      <c r="B3071" s="124" t="s">
        <v>22156</v>
      </c>
      <c r="C3071" s="124" t="s">
        <v>22157</v>
      </c>
      <c r="D3071" s="124">
        <v>1</v>
      </c>
      <c r="E3071" s="124" t="s">
        <v>16334</v>
      </c>
      <c r="F3071" s="126">
        <v>1.6999999999999999E-3</v>
      </c>
      <c r="G3071" s="126">
        <v>2.6499999999999999E-2</v>
      </c>
      <c r="H3071" s="126">
        <v>0.01</v>
      </c>
      <c r="I3071" s="127"/>
      <c r="J3071" s="127"/>
      <c r="K3071" s="126">
        <f t="shared" si="112"/>
        <v>3.6499999999999998E-2</v>
      </c>
      <c r="L3071" s="3"/>
      <c r="M3071" s="126">
        <f t="shared" si="113"/>
        <v>3.8199999999999998E-2</v>
      </c>
      <c r="O3071" s="131" t="s">
        <v>22157</v>
      </c>
      <c r="P3071" s="128" t="s">
        <v>26918</v>
      </c>
      <c r="Q3071" s="124">
        <f>7078+5646</f>
        <v>12724</v>
      </c>
      <c r="R3071" s="124" t="s">
        <v>16348</v>
      </c>
      <c r="S3071" s="132">
        <v>-9091</v>
      </c>
      <c r="T3071" s="129">
        <f>S3071/Q3071</f>
        <v>-0.7144765796919208</v>
      </c>
      <c r="V3071" s="125" t="s">
        <v>22158</v>
      </c>
    </row>
    <row r="3072" spans="1:22" customFormat="1" x14ac:dyDescent="0.45">
      <c r="A3072">
        <v>589130</v>
      </c>
      <c r="B3072" t="s">
        <v>22159</v>
      </c>
      <c r="C3072" s="2" t="s">
        <v>22160</v>
      </c>
      <c r="D3072">
        <v>2</v>
      </c>
      <c r="F3072" s="126"/>
      <c r="G3072" s="3">
        <v>0</v>
      </c>
      <c r="H3072" s="3">
        <v>0</v>
      </c>
      <c r="I3072" s="3">
        <v>0</v>
      </c>
      <c r="J3072" s="3">
        <v>0</v>
      </c>
      <c r="K3072" s="3">
        <f t="shared" si="112"/>
        <v>0</v>
      </c>
      <c r="L3072" s="3"/>
      <c r="M3072" s="3">
        <f t="shared" si="113"/>
        <v>0</v>
      </c>
      <c r="O3072" s="5"/>
      <c r="S3072" s="6"/>
    </row>
    <row r="3073" spans="1:19" customFormat="1" x14ac:dyDescent="0.45">
      <c r="A3073">
        <v>589566</v>
      </c>
      <c r="B3073" t="s">
        <v>22161</v>
      </c>
      <c r="C3073" t="s">
        <v>22162</v>
      </c>
      <c r="D3073">
        <v>2</v>
      </c>
      <c r="F3073" s="126"/>
      <c r="G3073" s="7">
        <v>0</v>
      </c>
      <c r="H3073" s="7">
        <v>0</v>
      </c>
      <c r="I3073" s="7">
        <v>0</v>
      </c>
      <c r="J3073" s="7">
        <v>0</v>
      </c>
      <c r="K3073" s="3">
        <f t="shared" si="112"/>
        <v>0</v>
      </c>
      <c r="L3073" s="3"/>
      <c r="M3073" s="3">
        <f t="shared" si="113"/>
        <v>0</v>
      </c>
      <c r="O3073" s="5"/>
      <c r="S3073" s="6"/>
    </row>
    <row r="3074" spans="1:19" customFormat="1" x14ac:dyDescent="0.45">
      <c r="A3074">
        <v>589715</v>
      </c>
      <c r="B3074" t="s">
        <v>22163</v>
      </c>
      <c r="C3074" t="s">
        <v>22164</v>
      </c>
      <c r="D3074">
        <v>3</v>
      </c>
      <c r="F3074" s="126"/>
      <c r="G3074" s="3">
        <v>0</v>
      </c>
      <c r="H3074" s="3">
        <v>0</v>
      </c>
      <c r="I3074" s="3">
        <v>0</v>
      </c>
      <c r="J3074" s="3">
        <v>0</v>
      </c>
      <c r="K3074" s="3">
        <f t="shared" si="112"/>
        <v>0</v>
      </c>
      <c r="L3074" s="3"/>
      <c r="M3074" s="3">
        <f t="shared" si="113"/>
        <v>0</v>
      </c>
      <c r="O3074" s="5"/>
      <c r="S3074" s="6"/>
    </row>
    <row r="3075" spans="1:19" customFormat="1" x14ac:dyDescent="0.45">
      <c r="A3075">
        <v>589721</v>
      </c>
      <c r="B3075" t="s">
        <v>22165</v>
      </c>
      <c r="C3075" t="s">
        <v>22166</v>
      </c>
      <c r="D3075">
        <v>2</v>
      </c>
      <c r="F3075" s="126"/>
      <c r="G3075" s="7">
        <v>0</v>
      </c>
      <c r="H3075" s="7">
        <v>0</v>
      </c>
      <c r="I3075" s="7">
        <v>0</v>
      </c>
      <c r="J3075" s="7">
        <v>0</v>
      </c>
      <c r="K3075" s="3">
        <f t="shared" si="112"/>
        <v>0</v>
      </c>
      <c r="L3075" s="3"/>
      <c r="M3075" s="3">
        <f t="shared" si="113"/>
        <v>0</v>
      </c>
      <c r="O3075" s="5"/>
      <c r="S3075" s="6"/>
    </row>
    <row r="3076" spans="1:19" customFormat="1" x14ac:dyDescent="0.45">
      <c r="A3076">
        <v>590038</v>
      </c>
      <c r="B3076" t="s">
        <v>22167</v>
      </c>
      <c r="C3076" t="s">
        <v>22168</v>
      </c>
      <c r="D3076">
        <v>3</v>
      </c>
      <c r="F3076" s="126"/>
      <c r="G3076" s="7">
        <v>0</v>
      </c>
      <c r="H3076" s="7">
        <v>0</v>
      </c>
      <c r="I3076" s="7">
        <v>0</v>
      </c>
      <c r="J3076" s="7">
        <v>0</v>
      </c>
      <c r="K3076" s="3">
        <f t="shared" si="112"/>
        <v>0</v>
      </c>
      <c r="L3076" s="3"/>
      <c r="M3076" s="3">
        <f t="shared" si="113"/>
        <v>0</v>
      </c>
      <c r="O3076" s="5"/>
      <c r="S3076" s="6"/>
    </row>
    <row r="3077" spans="1:19" customFormat="1" x14ac:dyDescent="0.45">
      <c r="A3077">
        <v>590071</v>
      </c>
      <c r="B3077" t="s">
        <v>22169</v>
      </c>
      <c r="C3077" t="s">
        <v>22170</v>
      </c>
      <c r="D3077">
        <v>2</v>
      </c>
      <c r="F3077" s="126"/>
      <c r="G3077" s="7">
        <v>0</v>
      </c>
      <c r="H3077" s="7">
        <v>0</v>
      </c>
      <c r="I3077" s="7">
        <v>0</v>
      </c>
      <c r="J3077" s="7">
        <v>0</v>
      </c>
      <c r="K3077" s="3">
        <f t="shared" si="112"/>
        <v>0</v>
      </c>
      <c r="L3077" s="3"/>
      <c r="M3077" s="3">
        <f t="shared" si="113"/>
        <v>0</v>
      </c>
      <c r="O3077" s="5"/>
      <c r="S3077" s="6"/>
    </row>
    <row r="3078" spans="1:19" customFormat="1" x14ac:dyDescent="0.45">
      <c r="A3078">
        <v>590083</v>
      </c>
      <c r="B3078" t="s">
        <v>22171</v>
      </c>
      <c r="C3078" t="s">
        <v>16331</v>
      </c>
      <c r="D3078">
        <v>1</v>
      </c>
      <c r="E3078" t="s">
        <v>16331</v>
      </c>
      <c r="F3078" s="126"/>
      <c r="G3078" s="7">
        <v>0</v>
      </c>
      <c r="H3078" s="7">
        <v>0</v>
      </c>
      <c r="I3078" s="7">
        <v>0</v>
      </c>
      <c r="J3078" s="7">
        <v>0</v>
      </c>
      <c r="K3078" s="3">
        <f t="shared" si="112"/>
        <v>0</v>
      </c>
      <c r="L3078" s="3"/>
      <c r="M3078" s="3">
        <f t="shared" si="113"/>
        <v>0</v>
      </c>
      <c r="O3078" s="5"/>
      <c r="S3078" s="6"/>
    </row>
    <row r="3079" spans="1:19" customFormat="1" x14ac:dyDescent="0.45">
      <c r="A3079">
        <v>590144</v>
      </c>
      <c r="B3079" t="s">
        <v>22172</v>
      </c>
      <c r="C3079" t="s">
        <v>22173</v>
      </c>
      <c r="D3079">
        <v>4</v>
      </c>
      <c r="F3079" s="126"/>
      <c r="G3079" s="3">
        <v>0</v>
      </c>
      <c r="H3079" s="3">
        <v>0</v>
      </c>
      <c r="I3079" s="3">
        <v>0</v>
      </c>
      <c r="J3079" s="3">
        <v>0</v>
      </c>
      <c r="K3079" s="3">
        <f t="shared" si="112"/>
        <v>0</v>
      </c>
      <c r="L3079" s="3"/>
      <c r="M3079" s="3">
        <f t="shared" si="113"/>
        <v>0</v>
      </c>
      <c r="O3079" s="5"/>
      <c r="S3079" s="6"/>
    </row>
    <row r="3080" spans="1:19" customFormat="1" x14ac:dyDescent="0.45">
      <c r="A3080">
        <v>590157</v>
      </c>
      <c r="B3080" t="s">
        <v>22174</v>
      </c>
      <c r="C3080" t="s">
        <v>22175</v>
      </c>
      <c r="D3080">
        <v>1</v>
      </c>
      <c r="F3080" s="126"/>
      <c r="G3080" s="7">
        <v>0</v>
      </c>
      <c r="H3080" s="7">
        <v>0</v>
      </c>
      <c r="I3080" s="7">
        <v>0</v>
      </c>
      <c r="J3080" s="7">
        <v>0</v>
      </c>
      <c r="K3080" s="3">
        <f t="shared" si="112"/>
        <v>0</v>
      </c>
      <c r="L3080" s="3"/>
      <c r="M3080" s="3">
        <f t="shared" si="113"/>
        <v>0</v>
      </c>
      <c r="O3080" s="5"/>
      <c r="S3080" s="6"/>
    </row>
    <row r="3081" spans="1:19" customFormat="1" x14ac:dyDescent="0.45">
      <c r="A3081">
        <v>590162</v>
      </c>
      <c r="B3081" t="s">
        <v>22176</v>
      </c>
      <c r="C3081" t="s">
        <v>16331</v>
      </c>
      <c r="D3081">
        <v>1</v>
      </c>
      <c r="E3081" t="s">
        <v>16331</v>
      </c>
      <c r="F3081" s="126"/>
      <c r="G3081" s="7">
        <v>0</v>
      </c>
      <c r="H3081" s="7">
        <v>0</v>
      </c>
      <c r="I3081" s="7">
        <v>0</v>
      </c>
      <c r="J3081" s="7">
        <v>0</v>
      </c>
      <c r="K3081" s="3">
        <f t="shared" si="112"/>
        <v>0</v>
      </c>
      <c r="L3081" s="3"/>
      <c r="M3081" s="3">
        <f t="shared" si="113"/>
        <v>0</v>
      </c>
      <c r="O3081" s="5"/>
      <c r="S3081" s="6"/>
    </row>
    <row r="3082" spans="1:19" customFormat="1" x14ac:dyDescent="0.45">
      <c r="A3082">
        <v>590172</v>
      </c>
      <c r="B3082" t="s">
        <v>22177</v>
      </c>
      <c r="C3082" t="s">
        <v>16331</v>
      </c>
      <c r="D3082">
        <v>2</v>
      </c>
      <c r="E3082" t="s">
        <v>16331</v>
      </c>
      <c r="F3082" s="126"/>
      <c r="G3082" s="7">
        <v>0</v>
      </c>
      <c r="H3082" s="7">
        <v>0</v>
      </c>
      <c r="I3082" s="7">
        <v>0</v>
      </c>
      <c r="J3082" s="7">
        <v>0</v>
      </c>
      <c r="K3082" s="3">
        <f t="shared" si="112"/>
        <v>0</v>
      </c>
      <c r="L3082" s="3"/>
      <c r="M3082" s="3">
        <f t="shared" si="113"/>
        <v>0</v>
      </c>
      <c r="N3082" s="7"/>
      <c r="O3082" s="5"/>
      <c r="S3082" s="6"/>
    </row>
    <row r="3083" spans="1:19" customFormat="1" x14ac:dyDescent="0.45">
      <c r="A3083">
        <v>590250</v>
      </c>
      <c r="B3083" t="s">
        <v>22178</v>
      </c>
      <c r="C3083" t="s">
        <v>22179</v>
      </c>
      <c r="D3083">
        <v>1</v>
      </c>
      <c r="F3083" s="126"/>
      <c r="G3083" s="7">
        <v>0</v>
      </c>
      <c r="H3083" s="7">
        <v>0</v>
      </c>
      <c r="I3083" s="7">
        <v>0</v>
      </c>
      <c r="J3083" s="7">
        <v>0</v>
      </c>
      <c r="K3083" s="3">
        <f t="shared" si="112"/>
        <v>0</v>
      </c>
      <c r="L3083" s="3"/>
      <c r="M3083" s="3">
        <f t="shared" si="113"/>
        <v>0</v>
      </c>
      <c r="O3083" s="5"/>
      <c r="S3083" s="6"/>
    </row>
    <row r="3084" spans="1:19" customFormat="1" x14ac:dyDescent="0.45">
      <c r="A3084">
        <v>590261</v>
      </c>
      <c r="B3084" t="s">
        <v>22180</v>
      </c>
      <c r="C3084" t="s">
        <v>22181</v>
      </c>
      <c r="D3084">
        <v>2</v>
      </c>
      <c r="F3084" s="126"/>
      <c r="G3084" s="7">
        <v>0</v>
      </c>
      <c r="H3084" s="7">
        <v>0</v>
      </c>
      <c r="I3084" s="7">
        <v>0</v>
      </c>
      <c r="J3084" s="7">
        <v>0</v>
      </c>
      <c r="K3084" s="3">
        <f t="shared" si="112"/>
        <v>0</v>
      </c>
      <c r="L3084" s="3"/>
      <c r="M3084" s="3">
        <f t="shared" si="113"/>
        <v>0</v>
      </c>
      <c r="O3084" s="5"/>
      <c r="S3084" s="6"/>
    </row>
    <row r="3085" spans="1:19" customFormat="1" x14ac:dyDescent="0.45">
      <c r="A3085">
        <v>590290</v>
      </c>
      <c r="B3085" t="s">
        <v>22182</v>
      </c>
      <c r="C3085" t="s">
        <v>22183</v>
      </c>
      <c r="D3085">
        <v>1</v>
      </c>
      <c r="F3085" s="126"/>
      <c r="G3085" s="7">
        <v>0</v>
      </c>
      <c r="H3085" s="7">
        <v>0</v>
      </c>
      <c r="I3085" s="7">
        <v>0</v>
      </c>
      <c r="J3085" s="7">
        <v>0</v>
      </c>
      <c r="K3085" s="3">
        <f t="shared" si="112"/>
        <v>0</v>
      </c>
      <c r="L3085" s="3"/>
      <c r="M3085" s="3">
        <f t="shared" si="113"/>
        <v>0</v>
      </c>
      <c r="O3085" s="5"/>
      <c r="S3085" s="6"/>
    </row>
    <row r="3086" spans="1:19" customFormat="1" x14ac:dyDescent="0.45">
      <c r="A3086">
        <v>590335</v>
      </c>
      <c r="B3086" t="s">
        <v>22184</v>
      </c>
      <c r="C3086" t="s">
        <v>22185</v>
      </c>
      <c r="D3086">
        <v>2</v>
      </c>
      <c r="F3086" s="126"/>
      <c r="K3086" s="3">
        <f t="shared" si="112"/>
        <v>0</v>
      </c>
      <c r="L3086" s="3"/>
      <c r="M3086" s="3">
        <f t="shared" si="113"/>
        <v>0</v>
      </c>
      <c r="O3086" s="5"/>
      <c r="S3086" s="6"/>
    </row>
    <row r="3087" spans="1:19" customFormat="1" x14ac:dyDescent="0.45">
      <c r="A3087">
        <v>590340</v>
      </c>
      <c r="B3087" t="s">
        <v>22186</v>
      </c>
      <c r="C3087" t="s">
        <v>22187</v>
      </c>
      <c r="D3087">
        <v>2</v>
      </c>
      <c r="F3087" s="126"/>
      <c r="G3087" s="7">
        <v>0</v>
      </c>
      <c r="H3087" s="7">
        <v>0</v>
      </c>
      <c r="I3087" s="7">
        <v>0</v>
      </c>
      <c r="J3087" s="7">
        <v>0</v>
      </c>
      <c r="K3087" s="3">
        <f t="shared" si="112"/>
        <v>0</v>
      </c>
      <c r="L3087" s="3"/>
      <c r="M3087" s="3">
        <f t="shared" si="113"/>
        <v>0</v>
      </c>
      <c r="O3087" s="5"/>
      <c r="S3087" s="6"/>
    </row>
    <row r="3088" spans="1:19" customFormat="1" x14ac:dyDescent="0.45">
      <c r="A3088">
        <v>590386</v>
      </c>
      <c r="B3088" t="s">
        <v>22188</v>
      </c>
      <c r="C3088" t="s">
        <v>22189</v>
      </c>
      <c r="D3088">
        <v>3</v>
      </c>
      <c r="F3088" s="126"/>
      <c r="G3088" s="7">
        <v>0</v>
      </c>
      <c r="H3088" s="7">
        <v>0</v>
      </c>
      <c r="I3088" s="7">
        <v>0</v>
      </c>
      <c r="J3088" s="7">
        <v>0</v>
      </c>
      <c r="K3088" s="3">
        <f t="shared" si="112"/>
        <v>0</v>
      </c>
      <c r="L3088" s="3"/>
      <c r="M3088" s="3">
        <f t="shared" si="113"/>
        <v>0</v>
      </c>
      <c r="O3088" s="5"/>
      <c r="S3088" s="6"/>
    </row>
    <row r="3089" spans="1:22" x14ac:dyDescent="0.45">
      <c r="A3089" s="124">
        <v>144206</v>
      </c>
      <c r="B3089" s="124" t="s">
        <v>22190</v>
      </c>
      <c r="C3089" s="124" t="s">
        <v>22191</v>
      </c>
      <c r="D3089" s="124">
        <v>183</v>
      </c>
      <c r="E3089" s="124" t="s">
        <v>16417</v>
      </c>
      <c r="F3089" s="126">
        <v>1.0200000000000001E-2</v>
      </c>
      <c r="G3089" s="126">
        <v>1.7500000000000002E-2</v>
      </c>
      <c r="H3089" s="126">
        <v>6.4999999999999997E-3</v>
      </c>
      <c r="I3089" s="127"/>
      <c r="J3089" s="127"/>
      <c r="K3089" s="126">
        <f t="shared" si="112"/>
        <v>2.4E-2</v>
      </c>
      <c r="L3089" s="3"/>
      <c r="M3089" s="126">
        <f t="shared" si="113"/>
        <v>3.4200000000000001E-2</v>
      </c>
      <c r="N3089" s="144" t="s">
        <v>22192</v>
      </c>
      <c r="O3089" s="125" t="s">
        <v>22193</v>
      </c>
      <c r="P3089" s="125" t="s">
        <v>22194</v>
      </c>
      <c r="Q3089" s="130">
        <v>4115080000</v>
      </c>
      <c r="R3089" s="130" t="s">
        <v>16</v>
      </c>
      <c r="S3089" s="130">
        <v>367015000</v>
      </c>
      <c r="T3089" s="129">
        <f>S3089/Q3089</f>
        <v>8.9187816518755403E-2</v>
      </c>
      <c r="U3089" s="130"/>
      <c r="V3089" s="125" t="s">
        <v>22195</v>
      </c>
    </row>
    <row r="3090" spans="1:22" customFormat="1" x14ac:dyDescent="0.45">
      <c r="A3090">
        <v>590518</v>
      </c>
      <c r="B3090" t="s">
        <v>22196</v>
      </c>
      <c r="C3090" t="s">
        <v>22197</v>
      </c>
      <c r="D3090">
        <v>1</v>
      </c>
      <c r="F3090" s="126"/>
      <c r="G3090" s="7">
        <v>0</v>
      </c>
      <c r="H3090" s="7">
        <v>0</v>
      </c>
      <c r="I3090" s="7">
        <v>0</v>
      </c>
      <c r="J3090" s="7">
        <v>0</v>
      </c>
      <c r="K3090" s="3">
        <f t="shared" si="112"/>
        <v>0</v>
      </c>
      <c r="L3090" s="3"/>
      <c r="M3090" s="3">
        <f t="shared" si="113"/>
        <v>0</v>
      </c>
      <c r="O3090" s="5"/>
      <c r="S3090" s="6"/>
    </row>
    <row r="3091" spans="1:22" x14ac:dyDescent="0.45">
      <c r="A3091" s="124">
        <v>230690</v>
      </c>
      <c r="B3091" s="124" t="s">
        <v>22198</v>
      </c>
      <c r="C3091" s="124" t="s">
        <v>22199</v>
      </c>
      <c r="D3091" s="124">
        <v>8</v>
      </c>
      <c r="E3091" s="124" t="s">
        <v>16417</v>
      </c>
      <c r="F3091" s="126">
        <v>1.0200000000000001E-2</v>
      </c>
      <c r="G3091" s="126">
        <v>1.7500000000000002E-2</v>
      </c>
      <c r="H3091" s="127">
        <v>6.4999999999999997E-3</v>
      </c>
      <c r="I3091" s="127"/>
      <c r="J3091" s="127"/>
      <c r="K3091" s="126">
        <f t="shared" si="112"/>
        <v>2.4E-2</v>
      </c>
      <c r="L3091" s="3"/>
      <c r="M3091" s="126">
        <f t="shared" si="113"/>
        <v>3.4200000000000001E-2</v>
      </c>
      <c r="N3091" s="124" t="s">
        <v>26926</v>
      </c>
      <c r="O3091" s="125" t="s">
        <v>22193</v>
      </c>
      <c r="Q3091" s="130">
        <v>103002000</v>
      </c>
      <c r="R3091" s="124" t="s">
        <v>16</v>
      </c>
      <c r="S3091" s="130">
        <v>63667000</v>
      </c>
      <c r="T3091" s="129">
        <f>S3091/Q3091</f>
        <v>0.61811421137453637</v>
      </c>
      <c r="U3091" s="129"/>
      <c r="V3091" s="125" t="s">
        <v>22200</v>
      </c>
    </row>
    <row r="3092" spans="1:22" customFormat="1" x14ac:dyDescent="0.45">
      <c r="A3092">
        <v>590737</v>
      </c>
      <c r="B3092" t="s">
        <v>22201</v>
      </c>
      <c r="C3092" t="s">
        <v>16331</v>
      </c>
      <c r="D3092">
        <v>1</v>
      </c>
      <c r="E3092" t="s">
        <v>16331</v>
      </c>
      <c r="F3092" s="126"/>
      <c r="K3092" s="3">
        <f t="shared" si="112"/>
        <v>0</v>
      </c>
      <c r="L3092" s="3"/>
      <c r="M3092" s="3">
        <f t="shared" si="113"/>
        <v>0</v>
      </c>
      <c r="O3092" s="5"/>
      <c r="S3092" s="6"/>
    </row>
    <row r="3093" spans="1:22" customFormat="1" x14ac:dyDescent="0.45">
      <c r="A3093">
        <v>590752</v>
      </c>
      <c r="B3093" t="s">
        <v>22202</v>
      </c>
      <c r="C3093" t="s">
        <v>16331</v>
      </c>
      <c r="D3093">
        <v>1</v>
      </c>
      <c r="E3093" t="s">
        <v>16331</v>
      </c>
      <c r="F3093" s="126"/>
      <c r="G3093" s="7">
        <v>0</v>
      </c>
      <c r="H3093" s="7">
        <v>0</v>
      </c>
      <c r="I3093" s="7">
        <v>0</v>
      </c>
      <c r="J3093" s="7">
        <v>0</v>
      </c>
      <c r="K3093" s="3">
        <f t="shared" si="112"/>
        <v>0</v>
      </c>
      <c r="L3093" s="3"/>
      <c r="M3093" s="3">
        <f t="shared" si="113"/>
        <v>0</v>
      </c>
      <c r="O3093" s="5"/>
      <c r="S3093" s="6"/>
    </row>
    <row r="3094" spans="1:22" customFormat="1" x14ac:dyDescent="0.45">
      <c r="A3094">
        <v>590782</v>
      </c>
      <c r="B3094" t="s">
        <v>22203</v>
      </c>
      <c r="C3094" t="s">
        <v>16331</v>
      </c>
      <c r="D3094">
        <v>3</v>
      </c>
      <c r="E3094" t="s">
        <v>16331</v>
      </c>
      <c r="F3094" s="126"/>
      <c r="G3094" s="7">
        <v>0</v>
      </c>
      <c r="H3094" s="7">
        <v>0</v>
      </c>
      <c r="I3094" s="7">
        <v>0</v>
      </c>
      <c r="J3094" s="7">
        <v>0</v>
      </c>
      <c r="K3094" s="3">
        <f t="shared" si="112"/>
        <v>0</v>
      </c>
      <c r="L3094" s="3"/>
      <c r="M3094" s="3">
        <f t="shared" si="113"/>
        <v>0</v>
      </c>
      <c r="O3094" s="5"/>
      <c r="S3094" s="6"/>
    </row>
    <row r="3095" spans="1:22" customFormat="1" x14ac:dyDescent="0.45">
      <c r="A3095">
        <v>590919</v>
      </c>
      <c r="B3095" t="s">
        <v>22204</v>
      </c>
      <c r="C3095" t="s">
        <v>22205</v>
      </c>
      <c r="D3095">
        <v>0</v>
      </c>
      <c r="E3095" t="s">
        <v>16561</v>
      </c>
      <c r="F3095" s="126"/>
      <c r="K3095" s="3">
        <f t="shared" si="112"/>
        <v>0</v>
      </c>
      <c r="L3095" s="3"/>
      <c r="M3095" s="3">
        <f t="shared" si="113"/>
        <v>0</v>
      </c>
      <c r="O3095" s="5"/>
      <c r="S3095" s="6"/>
    </row>
    <row r="3096" spans="1:22" customFormat="1" x14ac:dyDescent="0.45">
      <c r="A3096">
        <v>590933</v>
      </c>
      <c r="B3096" t="s">
        <v>22206</v>
      </c>
      <c r="C3096" t="s">
        <v>16331</v>
      </c>
      <c r="D3096">
        <v>1</v>
      </c>
      <c r="E3096" t="s">
        <v>16331</v>
      </c>
      <c r="F3096" s="126"/>
      <c r="G3096" s="7">
        <v>0</v>
      </c>
      <c r="H3096" s="7">
        <v>0</v>
      </c>
      <c r="I3096" s="7">
        <v>0</v>
      </c>
      <c r="J3096" s="7">
        <v>0</v>
      </c>
      <c r="K3096" s="3">
        <f t="shared" si="112"/>
        <v>0</v>
      </c>
      <c r="L3096" s="3"/>
      <c r="M3096" s="3">
        <f t="shared" si="113"/>
        <v>0</v>
      </c>
      <c r="O3096" s="5"/>
      <c r="S3096" s="6"/>
    </row>
    <row r="3097" spans="1:22" customFormat="1" x14ac:dyDescent="0.45">
      <c r="A3097">
        <v>590965</v>
      </c>
      <c r="B3097" t="s">
        <v>22207</v>
      </c>
      <c r="C3097" t="s">
        <v>22208</v>
      </c>
      <c r="D3097">
        <v>1</v>
      </c>
      <c r="F3097" s="126"/>
      <c r="G3097" s="7">
        <v>0</v>
      </c>
      <c r="H3097" s="7">
        <v>0</v>
      </c>
      <c r="I3097" s="7">
        <v>0</v>
      </c>
      <c r="J3097" s="7">
        <v>0</v>
      </c>
      <c r="K3097" s="3">
        <f t="shared" si="112"/>
        <v>0</v>
      </c>
      <c r="L3097" s="3"/>
      <c r="M3097" s="3">
        <f t="shared" si="113"/>
        <v>0</v>
      </c>
      <c r="O3097" s="5"/>
      <c r="S3097" s="6"/>
    </row>
    <row r="3098" spans="1:22" customFormat="1" x14ac:dyDescent="0.45">
      <c r="A3098">
        <v>591030</v>
      </c>
      <c r="B3098" t="s">
        <v>22209</v>
      </c>
      <c r="C3098" t="s">
        <v>22210</v>
      </c>
      <c r="D3098">
        <v>1</v>
      </c>
      <c r="F3098" s="126"/>
      <c r="G3098" s="7">
        <v>0</v>
      </c>
      <c r="H3098" s="7">
        <v>0</v>
      </c>
      <c r="I3098" s="7">
        <v>0</v>
      </c>
      <c r="J3098" s="7">
        <v>0</v>
      </c>
      <c r="K3098" s="3">
        <f t="shared" si="112"/>
        <v>0</v>
      </c>
      <c r="L3098" s="3"/>
      <c r="M3098" s="3">
        <f t="shared" si="113"/>
        <v>0</v>
      </c>
      <c r="N3098" s="7"/>
      <c r="O3098" s="5" t="s">
        <v>18533</v>
      </c>
      <c r="S3098" s="6"/>
    </row>
    <row r="3099" spans="1:22" x14ac:dyDescent="0.45">
      <c r="A3099" s="124">
        <v>781869</v>
      </c>
      <c r="B3099" s="124" t="s">
        <v>22211</v>
      </c>
      <c r="C3099" s="125" t="s">
        <v>22212</v>
      </c>
      <c r="D3099" s="124">
        <v>4</v>
      </c>
      <c r="E3099" s="124" t="s">
        <v>16417</v>
      </c>
      <c r="F3099" s="126">
        <v>1.0200000000000001E-2</v>
      </c>
      <c r="G3099" s="126">
        <v>1.7500000000000002E-2</v>
      </c>
      <c r="H3099" s="126">
        <v>6.4999999999999997E-3</v>
      </c>
      <c r="I3099" s="127"/>
      <c r="J3099" s="127"/>
      <c r="K3099" s="126">
        <f t="shared" si="112"/>
        <v>2.4E-2</v>
      </c>
      <c r="L3099" s="3"/>
      <c r="M3099" s="126">
        <f t="shared" si="113"/>
        <v>3.4200000000000001E-2</v>
      </c>
      <c r="N3099" s="124" t="s">
        <v>22213</v>
      </c>
      <c r="O3099" s="125" t="s">
        <v>22193</v>
      </c>
      <c r="Q3099" s="130">
        <v>103002000</v>
      </c>
      <c r="R3099" s="124" t="s">
        <v>16</v>
      </c>
      <c r="S3099" s="130">
        <v>63667000</v>
      </c>
      <c r="T3099" s="129">
        <f>S3099/Q3099</f>
        <v>0.61811421137453637</v>
      </c>
      <c r="V3099" s="125" t="s">
        <v>22214</v>
      </c>
    </row>
    <row r="3100" spans="1:22" customFormat="1" x14ac:dyDescent="0.45">
      <c r="A3100">
        <v>591356</v>
      </c>
      <c r="B3100" t="s">
        <v>22215</v>
      </c>
      <c r="C3100" t="s">
        <v>16331</v>
      </c>
      <c r="D3100">
        <v>2</v>
      </c>
      <c r="E3100" t="s">
        <v>16331</v>
      </c>
      <c r="F3100" s="126"/>
      <c r="K3100" s="3">
        <f t="shared" si="112"/>
        <v>0</v>
      </c>
      <c r="L3100" s="3"/>
      <c r="M3100" s="3">
        <f t="shared" si="113"/>
        <v>0</v>
      </c>
      <c r="O3100" s="5"/>
      <c r="S3100" s="6"/>
    </row>
    <row r="3101" spans="1:22" customFormat="1" x14ac:dyDescent="0.45">
      <c r="A3101">
        <v>591449</v>
      </c>
      <c r="B3101" t="s">
        <v>22216</v>
      </c>
      <c r="C3101" t="s">
        <v>22217</v>
      </c>
      <c r="D3101">
        <v>2</v>
      </c>
      <c r="F3101" s="126"/>
      <c r="G3101" s="7">
        <v>0</v>
      </c>
      <c r="H3101" s="7">
        <v>0</v>
      </c>
      <c r="I3101" s="7">
        <v>0</v>
      </c>
      <c r="J3101" s="7">
        <v>0</v>
      </c>
      <c r="K3101" s="3">
        <f t="shared" si="112"/>
        <v>0</v>
      </c>
      <c r="L3101" s="3"/>
      <c r="M3101" s="3">
        <f t="shared" si="113"/>
        <v>0</v>
      </c>
      <c r="O3101" s="5"/>
      <c r="S3101" s="6"/>
    </row>
    <row r="3102" spans="1:22" customFormat="1" x14ac:dyDescent="0.45">
      <c r="A3102">
        <v>592052</v>
      </c>
      <c r="B3102" t="s">
        <v>22218</v>
      </c>
      <c r="C3102" t="s">
        <v>22219</v>
      </c>
      <c r="D3102">
        <v>3</v>
      </c>
      <c r="F3102" s="126"/>
      <c r="K3102" s="3">
        <f t="shared" si="112"/>
        <v>0</v>
      </c>
      <c r="L3102" s="3"/>
      <c r="M3102" s="3">
        <f t="shared" si="113"/>
        <v>0</v>
      </c>
      <c r="O3102" s="5"/>
      <c r="S3102" s="6"/>
    </row>
    <row r="3103" spans="1:22" customFormat="1" x14ac:dyDescent="0.45">
      <c r="A3103">
        <v>592094</v>
      </c>
      <c r="B3103" t="s">
        <v>22220</v>
      </c>
      <c r="C3103" t="s">
        <v>16331</v>
      </c>
      <c r="D3103">
        <v>2</v>
      </c>
      <c r="E3103" t="s">
        <v>16331</v>
      </c>
      <c r="F3103" s="126"/>
      <c r="G3103" s="7">
        <v>0</v>
      </c>
      <c r="H3103" s="7">
        <v>0</v>
      </c>
      <c r="I3103" s="7">
        <v>0</v>
      </c>
      <c r="J3103" s="7">
        <v>0</v>
      </c>
      <c r="K3103" s="3">
        <f t="shared" si="112"/>
        <v>0</v>
      </c>
      <c r="L3103" s="3"/>
      <c r="M3103" s="3">
        <f t="shared" si="113"/>
        <v>0</v>
      </c>
      <c r="O3103" s="5"/>
      <c r="S3103" s="6"/>
    </row>
    <row r="3104" spans="1:22" customFormat="1" x14ac:dyDescent="0.45">
      <c r="A3104">
        <v>592550</v>
      </c>
      <c r="B3104" t="s">
        <v>22221</v>
      </c>
      <c r="C3104" t="s">
        <v>16331</v>
      </c>
      <c r="D3104">
        <v>0</v>
      </c>
      <c r="E3104" t="s">
        <v>16331</v>
      </c>
      <c r="F3104" s="126"/>
      <c r="G3104" s="7">
        <v>0</v>
      </c>
      <c r="H3104" s="7">
        <v>0</v>
      </c>
      <c r="I3104" s="7">
        <v>0</v>
      </c>
      <c r="J3104" s="7">
        <v>0</v>
      </c>
      <c r="K3104" s="3">
        <f t="shared" si="112"/>
        <v>0</v>
      </c>
      <c r="L3104" s="3"/>
      <c r="M3104" s="3">
        <f t="shared" si="113"/>
        <v>0</v>
      </c>
      <c r="O3104" s="5"/>
      <c r="S3104" s="6"/>
    </row>
    <row r="3105" spans="1:19" customFormat="1" x14ac:dyDescent="0.45">
      <c r="A3105">
        <v>592631</v>
      </c>
      <c r="B3105" t="s">
        <v>22222</v>
      </c>
      <c r="C3105" t="s">
        <v>16331</v>
      </c>
      <c r="D3105">
        <v>1</v>
      </c>
      <c r="E3105" t="s">
        <v>16331</v>
      </c>
      <c r="F3105" s="126"/>
      <c r="G3105" s="7">
        <v>0</v>
      </c>
      <c r="H3105" s="7">
        <v>0</v>
      </c>
      <c r="I3105" s="7">
        <v>0</v>
      </c>
      <c r="J3105" s="7">
        <v>0</v>
      </c>
      <c r="K3105" s="3">
        <f t="shared" si="112"/>
        <v>0</v>
      </c>
      <c r="L3105" s="3"/>
      <c r="M3105" s="3">
        <f t="shared" si="113"/>
        <v>0</v>
      </c>
      <c r="O3105" s="5"/>
      <c r="S3105" s="6"/>
    </row>
    <row r="3106" spans="1:19" customFormat="1" x14ac:dyDescent="0.45">
      <c r="A3106">
        <v>592645</v>
      </c>
      <c r="B3106" t="s">
        <v>22223</v>
      </c>
      <c r="C3106" t="s">
        <v>22224</v>
      </c>
      <c r="D3106">
        <v>1</v>
      </c>
      <c r="F3106" s="126"/>
      <c r="G3106" s="3">
        <v>0</v>
      </c>
      <c r="H3106" s="3">
        <v>0</v>
      </c>
      <c r="I3106" s="3">
        <v>0</v>
      </c>
      <c r="J3106" s="3">
        <v>0</v>
      </c>
      <c r="K3106" s="3">
        <f t="shared" ref="K3106:K3169" si="114">SUM(G3106:J3106)</f>
        <v>0</v>
      </c>
      <c r="L3106" s="3"/>
      <c r="M3106" s="3">
        <f t="shared" ref="M3106:M3169" si="115">K3106+F3106</f>
        <v>0</v>
      </c>
      <c r="O3106" s="5"/>
      <c r="S3106" s="6"/>
    </row>
    <row r="3107" spans="1:19" customFormat="1" x14ac:dyDescent="0.45">
      <c r="A3107">
        <v>592690</v>
      </c>
      <c r="B3107" t="s">
        <v>22225</v>
      </c>
      <c r="C3107" t="s">
        <v>22226</v>
      </c>
      <c r="D3107">
        <v>1</v>
      </c>
      <c r="F3107" s="126"/>
      <c r="G3107" s="7">
        <v>0</v>
      </c>
      <c r="H3107" s="7">
        <v>0</v>
      </c>
      <c r="I3107" s="7">
        <v>0</v>
      </c>
      <c r="J3107" s="7">
        <v>0</v>
      </c>
      <c r="K3107" s="3">
        <f t="shared" si="114"/>
        <v>0</v>
      </c>
      <c r="L3107" s="3"/>
      <c r="M3107" s="3">
        <f t="shared" si="115"/>
        <v>0</v>
      </c>
      <c r="O3107" s="5"/>
      <c r="S3107" s="6"/>
    </row>
    <row r="3108" spans="1:19" customFormat="1" x14ac:dyDescent="0.45">
      <c r="A3108">
        <v>592756</v>
      </c>
      <c r="B3108" t="s">
        <v>22227</v>
      </c>
      <c r="C3108" t="s">
        <v>22228</v>
      </c>
      <c r="D3108">
        <v>3</v>
      </c>
      <c r="F3108" s="126"/>
      <c r="G3108" s="7">
        <v>0</v>
      </c>
      <c r="H3108" s="7">
        <v>0</v>
      </c>
      <c r="I3108" s="7">
        <v>0</v>
      </c>
      <c r="J3108" s="7">
        <v>0</v>
      </c>
      <c r="K3108" s="3">
        <f t="shared" si="114"/>
        <v>0</v>
      </c>
      <c r="L3108" s="3"/>
      <c r="M3108" s="3">
        <f t="shared" si="115"/>
        <v>0</v>
      </c>
      <c r="O3108" s="5"/>
      <c r="S3108" s="6"/>
    </row>
    <row r="3109" spans="1:19" customFormat="1" x14ac:dyDescent="0.45">
      <c r="A3109">
        <v>592783</v>
      </c>
      <c r="B3109" t="s">
        <v>22229</v>
      </c>
      <c r="C3109" t="s">
        <v>22230</v>
      </c>
      <c r="D3109">
        <v>0</v>
      </c>
      <c r="E3109" t="s">
        <v>16334</v>
      </c>
      <c r="F3109" s="126"/>
      <c r="K3109" s="3">
        <f t="shared" si="114"/>
        <v>0</v>
      </c>
      <c r="L3109" s="3"/>
      <c r="M3109" s="3">
        <f t="shared" si="115"/>
        <v>0</v>
      </c>
      <c r="O3109" s="5"/>
      <c r="S3109" s="6"/>
    </row>
    <row r="3110" spans="1:19" customFormat="1" x14ac:dyDescent="0.45">
      <c r="A3110">
        <v>592856</v>
      </c>
      <c r="B3110" t="s">
        <v>22231</v>
      </c>
      <c r="C3110" t="s">
        <v>16331</v>
      </c>
      <c r="D3110">
        <v>2</v>
      </c>
      <c r="E3110" t="s">
        <v>16331</v>
      </c>
      <c r="F3110" s="126"/>
      <c r="G3110" s="7">
        <v>0</v>
      </c>
      <c r="H3110" s="7">
        <v>0</v>
      </c>
      <c r="I3110" s="7">
        <v>0</v>
      </c>
      <c r="J3110" s="7">
        <v>0</v>
      </c>
      <c r="K3110" s="3">
        <f t="shared" si="114"/>
        <v>0</v>
      </c>
      <c r="L3110" s="3"/>
      <c r="M3110" s="3">
        <f t="shared" si="115"/>
        <v>0</v>
      </c>
      <c r="O3110" s="5"/>
      <c r="S3110" s="6"/>
    </row>
    <row r="3111" spans="1:19" customFormat="1" x14ac:dyDescent="0.45">
      <c r="A3111">
        <v>592931</v>
      </c>
      <c r="B3111" t="s">
        <v>22232</v>
      </c>
      <c r="C3111" t="s">
        <v>22233</v>
      </c>
      <c r="D3111">
        <v>2</v>
      </c>
      <c r="F3111" s="126"/>
      <c r="G3111" s="7">
        <v>0</v>
      </c>
      <c r="H3111" s="7">
        <v>0</v>
      </c>
      <c r="I3111" s="7">
        <v>0</v>
      </c>
      <c r="J3111" s="7">
        <v>0</v>
      </c>
      <c r="K3111" s="3">
        <f t="shared" si="114"/>
        <v>0</v>
      </c>
      <c r="L3111" s="3"/>
      <c r="M3111" s="3">
        <f t="shared" si="115"/>
        <v>0</v>
      </c>
      <c r="O3111" s="5"/>
      <c r="S3111" s="6"/>
    </row>
    <row r="3112" spans="1:19" customFormat="1" x14ac:dyDescent="0.45">
      <c r="A3112">
        <v>592993</v>
      </c>
      <c r="B3112" t="s">
        <v>22234</v>
      </c>
      <c r="C3112" t="s">
        <v>22235</v>
      </c>
      <c r="D3112">
        <v>2</v>
      </c>
      <c r="F3112" s="126"/>
      <c r="G3112" s="3">
        <v>0</v>
      </c>
      <c r="H3112" s="3">
        <v>0</v>
      </c>
      <c r="I3112" s="3">
        <v>0</v>
      </c>
      <c r="J3112" s="3">
        <v>0</v>
      </c>
      <c r="K3112" s="3">
        <f t="shared" si="114"/>
        <v>0</v>
      </c>
      <c r="L3112" s="3"/>
      <c r="M3112" s="3">
        <f t="shared" si="115"/>
        <v>0</v>
      </c>
      <c r="O3112" s="5"/>
      <c r="S3112" s="6"/>
    </row>
    <row r="3113" spans="1:19" customFormat="1" x14ac:dyDescent="0.45">
      <c r="A3113">
        <v>593186</v>
      </c>
      <c r="B3113" t="s">
        <v>22236</v>
      </c>
      <c r="C3113" t="s">
        <v>22237</v>
      </c>
      <c r="D3113">
        <v>5</v>
      </c>
      <c r="F3113" s="126"/>
      <c r="G3113" s="7">
        <v>0</v>
      </c>
      <c r="H3113" s="7">
        <v>0</v>
      </c>
      <c r="I3113" s="7">
        <v>0</v>
      </c>
      <c r="J3113" s="7">
        <v>0</v>
      </c>
      <c r="K3113" s="3">
        <f t="shared" si="114"/>
        <v>0</v>
      </c>
      <c r="L3113" s="3"/>
      <c r="M3113" s="3">
        <f t="shared" si="115"/>
        <v>0</v>
      </c>
      <c r="N3113" s="7"/>
      <c r="O3113" s="5"/>
      <c r="S3113" s="6"/>
    </row>
    <row r="3114" spans="1:19" customFormat="1" x14ac:dyDescent="0.45">
      <c r="A3114">
        <v>593265</v>
      </c>
      <c r="B3114" t="s">
        <v>22238</v>
      </c>
      <c r="C3114" t="s">
        <v>22239</v>
      </c>
      <c r="D3114">
        <v>11</v>
      </c>
      <c r="F3114" s="126"/>
      <c r="K3114" s="3">
        <f t="shared" si="114"/>
        <v>0</v>
      </c>
      <c r="L3114" s="3"/>
      <c r="M3114" s="3">
        <f t="shared" si="115"/>
        <v>0</v>
      </c>
      <c r="O3114" s="5"/>
      <c r="S3114" s="6"/>
    </row>
    <row r="3115" spans="1:19" customFormat="1" x14ac:dyDescent="0.45">
      <c r="A3115">
        <v>593291</v>
      </c>
      <c r="B3115" t="s">
        <v>22240</v>
      </c>
      <c r="C3115" t="s">
        <v>22241</v>
      </c>
      <c r="D3115">
        <v>1</v>
      </c>
      <c r="F3115" s="126"/>
      <c r="G3115" s="7">
        <v>0</v>
      </c>
      <c r="H3115" s="7">
        <v>0</v>
      </c>
      <c r="I3115" s="7">
        <v>0</v>
      </c>
      <c r="J3115" s="7">
        <v>0</v>
      </c>
      <c r="K3115" s="3">
        <f t="shared" si="114"/>
        <v>0</v>
      </c>
      <c r="L3115" s="3"/>
      <c r="M3115" s="3">
        <f t="shared" si="115"/>
        <v>0</v>
      </c>
      <c r="O3115" s="5"/>
      <c r="S3115" s="6"/>
    </row>
    <row r="3116" spans="1:19" customFormat="1" x14ac:dyDescent="0.45">
      <c r="A3116">
        <v>593299</v>
      </c>
      <c r="B3116" t="s">
        <v>22242</v>
      </c>
      <c r="C3116" t="s">
        <v>22243</v>
      </c>
      <c r="D3116">
        <v>3</v>
      </c>
      <c r="F3116" s="126"/>
      <c r="G3116" s="3"/>
      <c r="H3116" s="3"/>
      <c r="I3116" s="3"/>
      <c r="J3116" s="3"/>
      <c r="K3116" s="3">
        <f t="shared" si="114"/>
        <v>0</v>
      </c>
      <c r="L3116" s="3"/>
      <c r="M3116" s="3">
        <f t="shared" si="115"/>
        <v>0</v>
      </c>
      <c r="O3116" s="5"/>
      <c r="S3116" s="6"/>
    </row>
    <row r="3117" spans="1:19" customFormat="1" x14ac:dyDescent="0.45">
      <c r="A3117">
        <v>593301</v>
      </c>
      <c r="B3117" t="s">
        <v>22244</v>
      </c>
      <c r="C3117" t="s">
        <v>22245</v>
      </c>
      <c r="D3117">
        <v>3</v>
      </c>
      <c r="F3117" s="126"/>
      <c r="K3117" s="3">
        <f t="shared" si="114"/>
        <v>0</v>
      </c>
      <c r="L3117" s="3"/>
      <c r="M3117" s="3">
        <f t="shared" si="115"/>
        <v>0</v>
      </c>
      <c r="O3117" s="5"/>
      <c r="S3117" s="6"/>
    </row>
    <row r="3118" spans="1:19" customFormat="1" x14ac:dyDescent="0.45">
      <c r="A3118">
        <v>593380</v>
      </c>
      <c r="B3118" t="s">
        <v>22246</v>
      </c>
      <c r="C3118" t="s">
        <v>22247</v>
      </c>
      <c r="D3118">
        <v>26</v>
      </c>
      <c r="F3118" s="126"/>
      <c r="G3118" s="7">
        <v>0</v>
      </c>
      <c r="H3118" s="7">
        <v>0</v>
      </c>
      <c r="I3118" s="7">
        <v>0</v>
      </c>
      <c r="J3118" s="7">
        <v>0</v>
      </c>
      <c r="K3118" s="3">
        <f t="shared" si="114"/>
        <v>0</v>
      </c>
      <c r="L3118" s="3"/>
      <c r="M3118" s="3">
        <f t="shared" si="115"/>
        <v>0</v>
      </c>
      <c r="N3118" s="7"/>
      <c r="O3118" s="5"/>
      <c r="S3118" s="6"/>
    </row>
    <row r="3119" spans="1:19" customFormat="1" x14ac:dyDescent="0.45">
      <c r="A3119">
        <v>593401</v>
      </c>
      <c r="B3119" t="s">
        <v>22248</v>
      </c>
      <c r="C3119" t="s">
        <v>16331</v>
      </c>
      <c r="D3119">
        <v>1</v>
      </c>
      <c r="E3119" t="s">
        <v>16331</v>
      </c>
      <c r="F3119" s="126"/>
      <c r="K3119" s="3">
        <f t="shared" si="114"/>
        <v>0</v>
      </c>
      <c r="L3119" s="3"/>
      <c r="M3119" s="3">
        <f t="shared" si="115"/>
        <v>0</v>
      </c>
      <c r="O3119" s="5"/>
      <c r="S3119" s="6"/>
    </row>
    <row r="3120" spans="1:19" customFormat="1" x14ac:dyDescent="0.45">
      <c r="A3120">
        <v>593433</v>
      </c>
      <c r="B3120" t="s">
        <v>22249</v>
      </c>
      <c r="C3120" t="s">
        <v>22250</v>
      </c>
      <c r="D3120">
        <v>6</v>
      </c>
      <c r="F3120" s="126"/>
      <c r="G3120" s="7">
        <v>0</v>
      </c>
      <c r="H3120" s="7">
        <v>0</v>
      </c>
      <c r="I3120" s="7">
        <v>0</v>
      </c>
      <c r="J3120" s="7">
        <v>0</v>
      </c>
      <c r="K3120" s="3">
        <f t="shared" si="114"/>
        <v>0</v>
      </c>
      <c r="L3120" s="3"/>
      <c r="M3120" s="3">
        <f t="shared" si="115"/>
        <v>0</v>
      </c>
      <c r="O3120" s="5"/>
      <c r="S3120" s="6"/>
    </row>
    <row r="3121" spans="1:19" customFormat="1" x14ac:dyDescent="0.45">
      <c r="A3121">
        <v>593550</v>
      </c>
      <c r="B3121" t="s">
        <v>22251</v>
      </c>
      <c r="C3121" t="s">
        <v>22252</v>
      </c>
      <c r="D3121">
        <v>1</v>
      </c>
      <c r="F3121" s="126"/>
      <c r="G3121" s="7">
        <v>0</v>
      </c>
      <c r="H3121" s="7">
        <v>0</v>
      </c>
      <c r="I3121" s="7">
        <v>0</v>
      </c>
      <c r="J3121" s="7">
        <v>0</v>
      </c>
      <c r="K3121" s="3">
        <f t="shared" si="114"/>
        <v>0</v>
      </c>
      <c r="L3121" s="3"/>
      <c r="M3121" s="3">
        <f t="shared" si="115"/>
        <v>0</v>
      </c>
      <c r="O3121" s="5"/>
      <c r="S3121" s="6"/>
    </row>
    <row r="3122" spans="1:19" customFormat="1" x14ac:dyDescent="0.45">
      <c r="A3122">
        <v>593688</v>
      </c>
      <c r="B3122" t="s">
        <v>22253</v>
      </c>
      <c r="C3122" t="s">
        <v>22254</v>
      </c>
      <c r="D3122">
        <v>2</v>
      </c>
      <c r="F3122" s="126"/>
      <c r="K3122" s="3">
        <f t="shared" si="114"/>
        <v>0</v>
      </c>
      <c r="L3122" s="3"/>
      <c r="M3122" s="3">
        <f t="shared" si="115"/>
        <v>0</v>
      </c>
      <c r="O3122" s="5"/>
      <c r="S3122" s="6"/>
    </row>
    <row r="3123" spans="1:19" customFormat="1" x14ac:dyDescent="0.45">
      <c r="A3123">
        <v>593699</v>
      </c>
      <c r="B3123" t="s">
        <v>22255</v>
      </c>
      <c r="C3123" t="s">
        <v>22256</v>
      </c>
      <c r="D3123">
        <v>1</v>
      </c>
      <c r="F3123" s="126"/>
      <c r="G3123" s="7">
        <v>0</v>
      </c>
      <c r="H3123" s="7">
        <v>0</v>
      </c>
      <c r="I3123" s="7">
        <v>0</v>
      </c>
      <c r="J3123" s="7">
        <v>0</v>
      </c>
      <c r="K3123" s="3">
        <f t="shared" si="114"/>
        <v>0</v>
      </c>
      <c r="L3123" s="3"/>
      <c r="M3123" s="3">
        <f t="shared" si="115"/>
        <v>0</v>
      </c>
      <c r="O3123" s="5"/>
      <c r="S3123" s="6"/>
    </row>
    <row r="3124" spans="1:19" customFormat="1" x14ac:dyDescent="0.45">
      <c r="A3124">
        <v>593725</v>
      </c>
      <c r="B3124" t="s">
        <v>22257</v>
      </c>
      <c r="C3124" t="s">
        <v>22258</v>
      </c>
      <c r="D3124">
        <v>2</v>
      </c>
      <c r="F3124" s="126"/>
      <c r="G3124" s="3">
        <v>0</v>
      </c>
      <c r="H3124" s="3">
        <v>0</v>
      </c>
      <c r="I3124" s="3">
        <v>0</v>
      </c>
      <c r="J3124" s="3">
        <v>0</v>
      </c>
      <c r="K3124" s="3">
        <f t="shared" si="114"/>
        <v>0</v>
      </c>
      <c r="L3124" s="3"/>
      <c r="M3124" s="3">
        <f t="shared" si="115"/>
        <v>0</v>
      </c>
      <c r="O3124" s="5"/>
      <c r="S3124" s="6"/>
    </row>
    <row r="3125" spans="1:19" customFormat="1" x14ac:dyDescent="0.45">
      <c r="A3125">
        <v>593740</v>
      </c>
      <c r="B3125" t="s">
        <v>22259</v>
      </c>
      <c r="C3125" t="s">
        <v>22260</v>
      </c>
      <c r="D3125">
        <v>2</v>
      </c>
      <c r="F3125" s="126"/>
      <c r="G3125" s="7">
        <v>0</v>
      </c>
      <c r="H3125" s="7">
        <v>0</v>
      </c>
      <c r="I3125" s="7">
        <v>0</v>
      </c>
      <c r="J3125" s="7">
        <v>0</v>
      </c>
      <c r="K3125" s="3">
        <f t="shared" si="114"/>
        <v>0</v>
      </c>
      <c r="L3125" s="3"/>
      <c r="M3125" s="3">
        <f t="shared" si="115"/>
        <v>0</v>
      </c>
      <c r="O3125" s="5"/>
      <c r="S3125" s="6"/>
    </row>
    <row r="3126" spans="1:19" customFormat="1" x14ac:dyDescent="0.45">
      <c r="A3126">
        <v>593747</v>
      </c>
      <c r="B3126" t="s">
        <v>22261</v>
      </c>
      <c r="C3126" t="s">
        <v>16331</v>
      </c>
      <c r="D3126">
        <v>2</v>
      </c>
      <c r="E3126" t="s">
        <v>16331</v>
      </c>
      <c r="F3126" s="126"/>
      <c r="G3126" s="7">
        <v>0</v>
      </c>
      <c r="H3126" s="7">
        <v>0</v>
      </c>
      <c r="I3126" s="7">
        <v>0</v>
      </c>
      <c r="J3126" s="7">
        <v>0</v>
      </c>
      <c r="K3126" s="3">
        <f t="shared" si="114"/>
        <v>0</v>
      </c>
      <c r="L3126" s="3"/>
      <c r="M3126" s="3">
        <f t="shared" si="115"/>
        <v>0</v>
      </c>
      <c r="O3126" s="5"/>
      <c r="S3126" s="6"/>
    </row>
    <row r="3127" spans="1:19" customFormat="1" x14ac:dyDescent="0.45">
      <c r="A3127">
        <v>593766</v>
      </c>
      <c r="B3127" t="s">
        <v>22262</v>
      </c>
      <c r="C3127" t="s">
        <v>22263</v>
      </c>
      <c r="D3127">
        <v>1</v>
      </c>
      <c r="F3127" s="126"/>
      <c r="G3127" s="7">
        <v>0</v>
      </c>
      <c r="H3127" s="7">
        <v>0</v>
      </c>
      <c r="I3127" s="7">
        <v>0</v>
      </c>
      <c r="J3127" s="7">
        <v>0</v>
      </c>
      <c r="K3127" s="3">
        <f t="shared" si="114"/>
        <v>0</v>
      </c>
      <c r="L3127" s="3"/>
      <c r="M3127" s="3">
        <f t="shared" si="115"/>
        <v>0</v>
      </c>
      <c r="O3127" s="5"/>
      <c r="S3127" s="6"/>
    </row>
    <row r="3128" spans="1:19" customFormat="1" x14ac:dyDescent="0.45">
      <c r="A3128">
        <v>593803</v>
      </c>
      <c r="B3128" t="s">
        <v>22264</v>
      </c>
      <c r="C3128" t="s">
        <v>22265</v>
      </c>
      <c r="D3128">
        <v>3</v>
      </c>
      <c r="F3128" s="126"/>
      <c r="G3128" s="7">
        <v>0</v>
      </c>
      <c r="H3128" s="7">
        <v>0</v>
      </c>
      <c r="I3128" s="7">
        <v>0</v>
      </c>
      <c r="J3128" s="7">
        <v>0</v>
      </c>
      <c r="K3128" s="3">
        <f t="shared" si="114"/>
        <v>0</v>
      </c>
      <c r="L3128" s="3"/>
      <c r="M3128" s="3">
        <f t="shared" si="115"/>
        <v>0</v>
      </c>
      <c r="O3128" s="5"/>
      <c r="S3128" s="6"/>
    </row>
    <row r="3129" spans="1:19" customFormat="1" x14ac:dyDescent="0.45">
      <c r="A3129">
        <v>593858</v>
      </c>
      <c r="B3129" t="s">
        <v>22266</v>
      </c>
      <c r="C3129" t="s">
        <v>16331</v>
      </c>
      <c r="D3129">
        <v>3</v>
      </c>
      <c r="E3129" t="s">
        <v>16331</v>
      </c>
      <c r="F3129" s="126"/>
      <c r="G3129" s="7">
        <v>0</v>
      </c>
      <c r="H3129" s="7">
        <v>0</v>
      </c>
      <c r="I3129" s="7">
        <v>0</v>
      </c>
      <c r="J3129" s="7">
        <v>0</v>
      </c>
      <c r="K3129" s="3">
        <f t="shared" si="114"/>
        <v>0</v>
      </c>
      <c r="L3129" s="3"/>
      <c r="M3129" s="3">
        <f t="shared" si="115"/>
        <v>0</v>
      </c>
      <c r="O3129" s="5"/>
      <c r="S3129" s="6"/>
    </row>
    <row r="3130" spans="1:19" customFormat="1" x14ac:dyDescent="0.45">
      <c r="A3130">
        <v>594003</v>
      </c>
      <c r="B3130" t="s">
        <v>22267</v>
      </c>
      <c r="C3130" t="s">
        <v>22268</v>
      </c>
      <c r="D3130">
        <v>3</v>
      </c>
      <c r="F3130" s="126"/>
      <c r="K3130" s="3">
        <f t="shared" si="114"/>
        <v>0</v>
      </c>
      <c r="L3130" s="3"/>
      <c r="M3130" s="3">
        <f t="shared" si="115"/>
        <v>0</v>
      </c>
      <c r="O3130" s="5"/>
      <c r="S3130" s="6"/>
    </row>
    <row r="3131" spans="1:19" customFormat="1" x14ac:dyDescent="0.45">
      <c r="A3131">
        <v>594155</v>
      </c>
      <c r="B3131" t="s">
        <v>22269</v>
      </c>
      <c r="C3131" t="s">
        <v>17951</v>
      </c>
      <c r="D3131">
        <v>47</v>
      </c>
      <c r="F3131" s="126"/>
      <c r="G3131" s="7">
        <v>0</v>
      </c>
      <c r="H3131" s="7">
        <v>0</v>
      </c>
      <c r="I3131" s="7">
        <v>0</v>
      </c>
      <c r="J3131" s="7">
        <v>0</v>
      </c>
      <c r="K3131" s="3">
        <f t="shared" si="114"/>
        <v>0</v>
      </c>
      <c r="L3131" s="3"/>
      <c r="M3131" s="3">
        <f t="shared" si="115"/>
        <v>0</v>
      </c>
      <c r="N3131" s="7"/>
      <c r="O3131" s="5"/>
      <c r="S3131" s="6"/>
    </row>
    <row r="3132" spans="1:19" customFormat="1" x14ac:dyDescent="0.45">
      <c r="A3132">
        <v>594431</v>
      </c>
      <c r="B3132" t="s">
        <v>22270</v>
      </c>
      <c r="C3132" t="s">
        <v>16331</v>
      </c>
      <c r="D3132">
        <v>4</v>
      </c>
      <c r="E3132" t="s">
        <v>16331</v>
      </c>
      <c r="F3132" s="126"/>
      <c r="G3132" s="7">
        <v>0</v>
      </c>
      <c r="H3132" s="7">
        <v>0</v>
      </c>
      <c r="I3132" s="7">
        <v>0</v>
      </c>
      <c r="J3132" s="7">
        <v>0</v>
      </c>
      <c r="K3132" s="3">
        <f t="shared" si="114"/>
        <v>0</v>
      </c>
      <c r="L3132" s="3"/>
      <c r="M3132" s="3">
        <f t="shared" si="115"/>
        <v>0</v>
      </c>
      <c r="O3132" s="5"/>
      <c r="S3132" s="6"/>
    </row>
    <row r="3133" spans="1:19" customFormat="1" x14ac:dyDescent="0.45">
      <c r="A3133">
        <v>594440</v>
      </c>
      <c r="B3133" t="s">
        <v>22271</v>
      </c>
      <c r="C3133" t="s">
        <v>22272</v>
      </c>
      <c r="D3133">
        <v>2</v>
      </c>
      <c r="F3133" s="126"/>
      <c r="G3133" s="7">
        <v>0</v>
      </c>
      <c r="H3133" s="7">
        <v>0</v>
      </c>
      <c r="I3133" s="7">
        <v>0</v>
      </c>
      <c r="J3133" s="7">
        <v>0</v>
      </c>
      <c r="K3133" s="3">
        <f t="shared" si="114"/>
        <v>0</v>
      </c>
      <c r="L3133" s="3"/>
      <c r="M3133" s="3">
        <f t="shared" si="115"/>
        <v>0</v>
      </c>
      <c r="O3133" s="5"/>
      <c r="S3133" s="6"/>
    </row>
    <row r="3134" spans="1:19" customFormat="1" x14ac:dyDescent="0.45">
      <c r="A3134">
        <v>595005</v>
      </c>
      <c r="B3134" t="s">
        <v>22273</v>
      </c>
      <c r="C3134" t="s">
        <v>16331</v>
      </c>
      <c r="D3134">
        <v>2</v>
      </c>
      <c r="E3134" t="s">
        <v>16331</v>
      </c>
      <c r="F3134" s="126"/>
      <c r="G3134" s="7">
        <v>0</v>
      </c>
      <c r="H3134" s="7">
        <v>0</v>
      </c>
      <c r="I3134" s="7">
        <v>0</v>
      </c>
      <c r="J3134" s="7">
        <v>0</v>
      </c>
      <c r="K3134" s="3">
        <f t="shared" si="114"/>
        <v>0</v>
      </c>
      <c r="L3134" s="3"/>
      <c r="M3134" s="3">
        <f t="shared" si="115"/>
        <v>0</v>
      </c>
      <c r="O3134" s="5"/>
      <c r="S3134" s="6"/>
    </row>
    <row r="3135" spans="1:19" customFormat="1" x14ac:dyDescent="0.45">
      <c r="A3135">
        <v>595509</v>
      </c>
      <c r="B3135" t="s">
        <v>22274</v>
      </c>
      <c r="C3135" t="s">
        <v>16331</v>
      </c>
      <c r="D3135">
        <v>1</v>
      </c>
      <c r="E3135" t="s">
        <v>16331</v>
      </c>
      <c r="F3135" s="126"/>
      <c r="G3135" s="7">
        <v>0</v>
      </c>
      <c r="H3135" s="7">
        <v>0</v>
      </c>
      <c r="I3135" s="7">
        <v>0</v>
      </c>
      <c r="J3135" s="7">
        <v>0</v>
      </c>
      <c r="K3135" s="3">
        <f t="shared" si="114"/>
        <v>0</v>
      </c>
      <c r="L3135" s="3"/>
      <c r="M3135" s="3">
        <f t="shared" si="115"/>
        <v>0</v>
      </c>
      <c r="O3135" s="5"/>
      <c r="S3135" s="6"/>
    </row>
    <row r="3136" spans="1:19" customFormat="1" x14ac:dyDescent="0.45">
      <c r="A3136">
        <v>595861</v>
      </c>
      <c r="B3136" t="s">
        <v>22275</v>
      </c>
      <c r="C3136" t="s">
        <v>16331</v>
      </c>
      <c r="D3136">
        <v>0</v>
      </c>
      <c r="E3136" t="s">
        <v>16331</v>
      </c>
      <c r="F3136" s="126"/>
      <c r="G3136" s="7">
        <v>0</v>
      </c>
      <c r="H3136" s="7">
        <v>0</v>
      </c>
      <c r="I3136" s="7">
        <v>0</v>
      </c>
      <c r="J3136" s="7">
        <v>0</v>
      </c>
      <c r="K3136" s="3">
        <f t="shared" si="114"/>
        <v>0</v>
      </c>
      <c r="L3136" s="3"/>
      <c r="M3136" s="3">
        <f t="shared" si="115"/>
        <v>0</v>
      </c>
      <c r="N3136" s="7"/>
      <c r="O3136" s="5"/>
      <c r="S3136" s="6"/>
    </row>
    <row r="3137" spans="1:19" customFormat="1" x14ac:dyDescent="0.45">
      <c r="A3137">
        <v>596052</v>
      </c>
      <c r="B3137" t="s">
        <v>22276</v>
      </c>
      <c r="C3137" t="s">
        <v>22277</v>
      </c>
      <c r="D3137">
        <v>1</v>
      </c>
      <c r="F3137" s="126"/>
      <c r="G3137" s="3">
        <v>0</v>
      </c>
      <c r="H3137" s="3">
        <v>0</v>
      </c>
      <c r="I3137" s="3">
        <v>0</v>
      </c>
      <c r="J3137" s="3">
        <v>0</v>
      </c>
      <c r="K3137" s="3">
        <f t="shared" si="114"/>
        <v>0</v>
      </c>
      <c r="L3137" s="3"/>
      <c r="M3137" s="3">
        <f t="shared" si="115"/>
        <v>0</v>
      </c>
      <c r="O3137" s="5"/>
      <c r="S3137" s="6"/>
    </row>
    <row r="3138" spans="1:19" customFormat="1" x14ac:dyDescent="0.45">
      <c r="A3138">
        <v>596063</v>
      </c>
      <c r="B3138" t="s">
        <v>22278</v>
      </c>
      <c r="C3138" t="s">
        <v>22279</v>
      </c>
      <c r="D3138">
        <v>1</v>
      </c>
      <c r="F3138" s="126"/>
      <c r="G3138" s="7">
        <v>0</v>
      </c>
      <c r="H3138" s="7">
        <v>0</v>
      </c>
      <c r="I3138" s="7">
        <v>0</v>
      </c>
      <c r="J3138" s="7">
        <v>0</v>
      </c>
      <c r="K3138" s="3">
        <f t="shared" si="114"/>
        <v>0</v>
      </c>
      <c r="L3138" s="3"/>
      <c r="M3138" s="3">
        <f t="shared" si="115"/>
        <v>0</v>
      </c>
      <c r="O3138" s="5"/>
      <c r="S3138" s="6"/>
    </row>
    <row r="3139" spans="1:19" customFormat="1" x14ac:dyDescent="0.45">
      <c r="A3139">
        <v>596081</v>
      </c>
      <c r="B3139" t="s">
        <v>22280</v>
      </c>
      <c r="C3139" t="s">
        <v>22281</v>
      </c>
      <c r="D3139">
        <v>0</v>
      </c>
      <c r="E3139" t="s">
        <v>16561</v>
      </c>
      <c r="F3139" s="126"/>
      <c r="G3139" s="7">
        <v>0</v>
      </c>
      <c r="H3139" s="7">
        <v>0</v>
      </c>
      <c r="I3139" s="7">
        <v>0</v>
      </c>
      <c r="J3139" s="7">
        <v>0</v>
      </c>
      <c r="K3139" s="3">
        <f t="shared" si="114"/>
        <v>0</v>
      </c>
      <c r="L3139" s="3"/>
      <c r="M3139" s="3">
        <f t="shared" si="115"/>
        <v>0</v>
      </c>
      <c r="O3139" s="5"/>
      <c r="S3139" s="6"/>
    </row>
    <row r="3140" spans="1:19" customFormat="1" x14ac:dyDescent="0.45">
      <c r="A3140">
        <v>596084</v>
      </c>
      <c r="B3140" t="s">
        <v>22282</v>
      </c>
      <c r="C3140" t="s">
        <v>22283</v>
      </c>
      <c r="D3140">
        <v>4</v>
      </c>
      <c r="F3140" s="126"/>
      <c r="G3140" s="3">
        <v>0</v>
      </c>
      <c r="H3140" s="3">
        <v>0</v>
      </c>
      <c r="I3140" s="3">
        <v>0</v>
      </c>
      <c r="J3140" s="3">
        <v>0</v>
      </c>
      <c r="K3140" s="3">
        <f t="shared" si="114"/>
        <v>0</v>
      </c>
      <c r="L3140" s="3"/>
      <c r="M3140" s="3">
        <f t="shared" si="115"/>
        <v>0</v>
      </c>
      <c r="O3140" s="5"/>
      <c r="S3140" s="6"/>
    </row>
    <row r="3141" spans="1:19" customFormat="1" x14ac:dyDescent="0.45">
      <c r="A3141">
        <v>596090</v>
      </c>
      <c r="B3141" t="s">
        <v>22284</v>
      </c>
      <c r="C3141" t="s">
        <v>22285</v>
      </c>
      <c r="D3141">
        <v>3</v>
      </c>
      <c r="F3141" s="126"/>
      <c r="G3141" s="7">
        <v>0</v>
      </c>
      <c r="H3141" s="7">
        <v>0</v>
      </c>
      <c r="I3141" s="7">
        <v>0</v>
      </c>
      <c r="J3141" s="7">
        <v>0</v>
      </c>
      <c r="K3141" s="3">
        <f t="shared" si="114"/>
        <v>0</v>
      </c>
      <c r="L3141" s="3"/>
      <c r="M3141" s="3">
        <f t="shared" si="115"/>
        <v>0</v>
      </c>
      <c r="O3141" s="5"/>
      <c r="S3141" s="6"/>
    </row>
    <row r="3142" spans="1:19" customFormat="1" x14ac:dyDescent="0.45">
      <c r="A3142">
        <v>596100</v>
      </c>
      <c r="B3142" t="s">
        <v>22286</v>
      </c>
      <c r="C3142" t="s">
        <v>16331</v>
      </c>
      <c r="D3142">
        <v>1</v>
      </c>
      <c r="E3142" t="s">
        <v>16331</v>
      </c>
      <c r="F3142" s="126"/>
      <c r="G3142" s="7">
        <v>0</v>
      </c>
      <c r="H3142" s="7">
        <v>0</v>
      </c>
      <c r="I3142" s="7">
        <v>0</v>
      </c>
      <c r="J3142" s="7">
        <v>0</v>
      </c>
      <c r="K3142" s="3">
        <f t="shared" si="114"/>
        <v>0</v>
      </c>
      <c r="L3142" s="3"/>
      <c r="M3142" s="3">
        <f t="shared" si="115"/>
        <v>0</v>
      </c>
      <c r="O3142" s="5"/>
      <c r="S3142" s="6"/>
    </row>
    <row r="3143" spans="1:19" customFormat="1" x14ac:dyDescent="0.45">
      <c r="A3143">
        <v>596144</v>
      </c>
      <c r="B3143" t="s">
        <v>22287</v>
      </c>
      <c r="C3143" t="s">
        <v>22288</v>
      </c>
      <c r="D3143">
        <v>2</v>
      </c>
      <c r="F3143" s="126"/>
      <c r="G3143" s="7">
        <v>0</v>
      </c>
      <c r="H3143" s="7">
        <v>0</v>
      </c>
      <c r="I3143" s="7">
        <v>0</v>
      </c>
      <c r="J3143" s="7">
        <v>0</v>
      </c>
      <c r="K3143" s="3">
        <f t="shared" si="114"/>
        <v>0</v>
      </c>
      <c r="L3143" s="3"/>
      <c r="M3143" s="3">
        <f t="shared" si="115"/>
        <v>0</v>
      </c>
      <c r="O3143" s="5"/>
      <c r="S3143" s="6"/>
    </row>
    <row r="3144" spans="1:19" customFormat="1" x14ac:dyDescent="0.45">
      <c r="A3144">
        <v>596277</v>
      </c>
      <c r="B3144" t="s">
        <v>22289</v>
      </c>
      <c r="C3144" t="s">
        <v>16331</v>
      </c>
      <c r="D3144">
        <v>2</v>
      </c>
      <c r="E3144" t="s">
        <v>16331</v>
      </c>
      <c r="F3144" s="126"/>
      <c r="G3144" s="7">
        <v>0</v>
      </c>
      <c r="H3144" s="7">
        <v>0</v>
      </c>
      <c r="I3144" s="7">
        <v>0</v>
      </c>
      <c r="J3144" s="7">
        <v>0</v>
      </c>
      <c r="K3144" s="3">
        <f t="shared" si="114"/>
        <v>0</v>
      </c>
      <c r="L3144" s="3"/>
      <c r="M3144" s="3">
        <f t="shared" si="115"/>
        <v>0</v>
      </c>
      <c r="O3144" s="5"/>
      <c r="S3144" s="6"/>
    </row>
    <row r="3145" spans="1:19" customFormat="1" x14ac:dyDescent="0.45">
      <c r="A3145">
        <v>596398</v>
      </c>
      <c r="B3145" t="s">
        <v>22290</v>
      </c>
      <c r="C3145" s="2" t="s">
        <v>22291</v>
      </c>
      <c r="D3145">
        <v>6</v>
      </c>
      <c r="F3145" s="126"/>
      <c r="G3145" s="3">
        <v>0</v>
      </c>
      <c r="H3145" s="3">
        <v>0</v>
      </c>
      <c r="I3145" s="3">
        <v>0</v>
      </c>
      <c r="J3145" s="3">
        <v>0</v>
      </c>
      <c r="K3145" s="3">
        <f t="shared" si="114"/>
        <v>0</v>
      </c>
      <c r="L3145" s="3"/>
      <c r="M3145" s="3">
        <f t="shared" si="115"/>
        <v>0</v>
      </c>
      <c r="O3145" s="5"/>
      <c r="S3145" s="6"/>
    </row>
    <row r="3146" spans="1:19" customFormat="1" x14ac:dyDescent="0.45">
      <c r="A3146">
        <v>596463</v>
      </c>
      <c r="B3146" t="s">
        <v>22292</v>
      </c>
      <c r="C3146" t="s">
        <v>22293</v>
      </c>
      <c r="D3146">
        <v>1</v>
      </c>
      <c r="F3146" s="126"/>
      <c r="G3146" s="7">
        <v>0</v>
      </c>
      <c r="H3146" s="3">
        <v>0</v>
      </c>
      <c r="I3146" s="3">
        <v>0</v>
      </c>
      <c r="J3146">
        <v>0</v>
      </c>
      <c r="K3146" s="3">
        <f t="shared" si="114"/>
        <v>0</v>
      </c>
      <c r="L3146" s="3"/>
      <c r="M3146" s="3">
        <f t="shared" si="115"/>
        <v>0</v>
      </c>
      <c r="O3146" s="5"/>
      <c r="S3146" s="6"/>
    </row>
    <row r="3147" spans="1:19" customFormat="1" x14ac:dyDescent="0.45">
      <c r="A3147">
        <v>596493</v>
      </c>
      <c r="B3147" t="s">
        <v>22294</v>
      </c>
      <c r="C3147" t="s">
        <v>16331</v>
      </c>
      <c r="D3147">
        <v>1</v>
      </c>
      <c r="E3147" t="s">
        <v>16331</v>
      </c>
      <c r="F3147" s="126"/>
      <c r="G3147" s="7">
        <v>0</v>
      </c>
      <c r="H3147" s="7">
        <v>0</v>
      </c>
      <c r="I3147" s="7">
        <v>0</v>
      </c>
      <c r="J3147" s="7">
        <v>0</v>
      </c>
      <c r="K3147" s="3">
        <f t="shared" si="114"/>
        <v>0</v>
      </c>
      <c r="L3147" s="3"/>
      <c r="M3147" s="3">
        <f t="shared" si="115"/>
        <v>0</v>
      </c>
      <c r="N3147" s="7"/>
      <c r="O3147" s="5"/>
      <c r="S3147" s="6"/>
    </row>
    <row r="3148" spans="1:19" customFormat="1" x14ac:dyDescent="0.45">
      <c r="A3148">
        <v>596641</v>
      </c>
      <c r="B3148" t="s">
        <v>22295</v>
      </c>
      <c r="C3148" t="s">
        <v>22296</v>
      </c>
      <c r="D3148">
        <v>4</v>
      </c>
      <c r="F3148" s="126"/>
      <c r="G3148" s="7">
        <v>0</v>
      </c>
      <c r="H3148" s="7">
        <v>0</v>
      </c>
      <c r="I3148" s="7">
        <v>0</v>
      </c>
      <c r="J3148" s="7">
        <v>0</v>
      </c>
      <c r="K3148" s="3">
        <f t="shared" si="114"/>
        <v>0</v>
      </c>
      <c r="L3148" s="3"/>
      <c r="M3148" s="3">
        <f t="shared" si="115"/>
        <v>0</v>
      </c>
      <c r="O3148" s="5"/>
      <c r="S3148" s="6"/>
    </row>
    <row r="3149" spans="1:19" customFormat="1" x14ac:dyDescent="0.45">
      <c r="A3149">
        <v>596652</v>
      </c>
      <c r="B3149" t="s">
        <v>22297</v>
      </c>
      <c r="C3149" t="s">
        <v>22298</v>
      </c>
      <c r="D3149">
        <v>11</v>
      </c>
      <c r="F3149" s="126"/>
      <c r="G3149" s="3">
        <v>0</v>
      </c>
      <c r="H3149" s="3">
        <v>0</v>
      </c>
      <c r="I3149" s="3">
        <v>0</v>
      </c>
      <c r="J3149" s="3">
        <v>0</v>
      </c>
      <c r="K3149" s="3">
        <f t="shared" si="114"/>
        <v>0</v>
      </c>
      <c r="L3149" s="3"/>
      <c r="M3149" s="3">
        <f t="shared" si="115"/>
        <v>0</v>
      </c>
      <c r="O3149" s="5"/>
      <c r="S3149" s="6"/>
    </row>
    <row r="3150" spans="1:19" customFormat="1" x14ac:dyDescent="0.45">
      <c r="A3150">
        <v>596658</v>
      </c>
      <c r="B3150" t="s">
        <v>22299</v>
      </c>
      <c r="C3150" t="s">
        <v>22300</v>
      </c>
      <c r="D3150">
        <v>2</v>
      </c>
      <c r="F3150" s="126"/>
      <c r="G3150" s="3">
        <v>0</v>
      </c>
      <c r="H3150" s="3">
        <v>0</v>
      </c>
      <c r="I3150" s="3">
        <v>0</v>
      </c>
      <c r="J3150" s="3">
        <v>0</v>
      </c>
      <c r="K3150" s="3">
        <f t="shared" si="114"/>
        <v>0</v>
      </c>
      <c r="L3150" s="3"/>
      <c r="M3150" s="3">
        <f t="shared" si="115"/>
        <v>0</v>
      </c>
      <c r="O3150" s="5"/>
      <c r="S3150" s="6"/>
    </row>
    <row r="3151" spans="1:19" customFormat="1" x14ac:dyDescent="0.45">
      <c r="A3151">
        <v>596683</v>
      </c>
      <c r="B3151" t="s">
        <v>22301</v>
      </c>
      <c r="C3151" t="s">
        <v>16331</v>
      </c>
      <c r="D3151">
        <v>2</v>
      </c>
      <c r="E3151" t="s">
        <v>16331</v>
      </c>
      <c r="F3151" s="126"/>
      <c r="K3151" s="3">
        <f t="shared" si="114"/>
        <v>0</v>
      </c>
      <c r="L3151" s="3"/>
      <c r="M3151" s="3">
        <f t="shared" si="115"/>
        <v>0</v>
      </c>
      <c r="O3151" s="5"/>
      <c r="S3151" s="6"/>
    </row>
    <row r="3152" spans="1:19" customFormat="1" x14ac:dyDescent="0.45">
      <c r="A3152">
        <v>596827</v>
      </c>
      <c r="B3152" t="s">
        <v>22302</v>
      </c>
      <c r="C3152" t="s">
        <v>22303</v>
      </c>
      <c r="D3152">
        <v>2</v>
      </c>
      <c r="F3152" s="126"/>
      <c r="G3152" s="7">
        <v>0</v>
      </c>
      <c r="H3152" s="7">
        <v>0</v>
      </c>
      <c r="I3152" s="7">
        <v>0</v>
      </c>
      <c r="J3152" s="7">
        <v>0</v>
      </c>
      <c r="K3152" s="3">
        <f t="shared" si="114"/>
        <v>0</v>
      </c>
      <c r="L3152" s="3"/>
      <c r="M3152" s="3">
        <f t="shared" si="115"/>
        <v>0</v>
      </c>
      <c r="O3152" s="5"/>
      <c r="S3152" s="6"/>
    </row>
    <row r="3153" spans="1:19" customFormat="1" x14ac:dyDescent="0.45">
      <c r="A3153">
        <v>596914</v>
      </c>
      <c r="B3153" t="s">
        <v>22304</v>
      </c>
      <c r="C3153" t="s">
        <v>22305</v>
      </c>
      <c r="D3153">
        <v>1</v>
      </c>
      <c r="F3153" s="126"/>
      <c r="G3153" s="7">
        <v>0</v>
      </c>
      <c r="H3153" s="7">
        <v>0</v>
      </c>
      <c r="I3153" s="7">
        <v>0</v>
      </c>
      <c r="J3153" s="7">
        <v>0</v>
      </c>
      <c r="K3153" s="3">
        <f t="shared" si="114"/>
        <v>0</v>
      </c>
      <c r="L3153" s="3"/>
      <c r="M3153" s="3">
        <f t="shared" si="115"/>
        <v>0</v>
      </c>
      <c r="O3153" s="5"/>
      <c r="S3153" s="6"/>
    </row>
    <row r="3154" spans="1:19" customFormat="1" x14ac:dyDescent="0.45">
      <c r="A3154">
        <v>596952</v>
      </c>
      <c r="B3154" t="s">
        <v>22306</v>
      </c>
      <c r="C3154" t="s">
        <v>22307</v>
      </c>
      <c r="D3154">
        <v>0</v>
      </c>
      <c r="E3154" t="s">
        <v>16561</v>
      </c>
      <c r="F3154" s="126"/>
      <c r="G3154" s="7">
        <v>0</v>
      </c>
      <c r="H3154" s="7">
        <v>0</v>
      </c>
      <c r="I3154" s="7">
        <v>0</v>
      </c>
      <c r="J3154" s="7">
        <v>0</v>
      </c>
      <c r="K3154" s="3">
        <f t="shared" si="114"/>
        <v>0</v>
      </c>
      <c r="L3154" s="3"/>
      <c r="M3154" s="3">
        <f t="shared" si="115"/>
        <v>0</v>
      </c>
      <c r="N3154" s="7"/>
      <c r="O3154" s="5"/>
      <c r="S3154" s="6"/>
    </row>
    <row r="3155" spans="1:19" customFormat="1" x14ac:dyDescent="0.45">
      <c r="A3155">
        <v>597038</v>
      </c>
      <c r="B3155" t="s">
        <v>22308</v>
      </c>
      <c r="C3155" t="s">
        <v>16331</v>
      </c>
      <c r="D3155">
        <v>1</v>
      </c>
      <c r="E3155" t="s">
        <v>16331</v>
      </c>
      <c r="F3155" s="126"/>
      <c r="G3155" s="7">
        <v>0</v>
      </c>
      <c r="H3155" s="7">
        <v>0</v>
      </c>
      <c r="I3155" s="7">
        <v>0</v>
      </c>
      <c r="J3155" s="7">
        <v>0</v>
      </c>
      <c r="K3155" s="3">
        <f t="shared" si="114"/>
        <v>0</v>
      </c>
      <c r="L3155" s="3"/>
      <c r="M3155" s="3">
        <f t="shared" si="115"/>
        <v>0</v>
      </c>
      <c r="N3155" s="7"/>
      <c r="O3155" s="5"/>
      <c r="S3155" s="6"/>
    </row>
    <row r="3156" spans="1:19" customFormat="1" x14ac:dyDescent="0.45">
      <c r="A3156">
        <v>597048</v>
      </c>
      <c r="B3156" t="s">
        <v>22309</v>
      </c>
      <c r="C3156" t="s">
        <v>22310</v>
      </c>
      <c r="D3156">
        <v>2</v>
      </c>
      <c r="F3156" s="126"/>
      <c r="G3156" s="7">
        <v>0</v>
      </c>
      <c r="H3156" s="7">
        <v>0</v>
      </c>
      <c r="I3156" s="7">
        <v>0</v>
      </c>
      <c r="J3156" s="7">
        <v>0</v>
      </c>
      <c r="K3156" s="3">
        <f t="shared" si="114"/>
        <v>0</v>
      </c>
      <c r="L3156" s="3"/>
      <c r="M3156" s="3">
        <f t="shared" si="115"/>
        <v>0</v>
      </c>
      <c r="O3156" s="5"/>
      <c r="S3156" s="6"/>
    </row>
    <row r="3157" spans="1:19" customFormat="1" x14ac:dyDescent="0.45">
      <c r="A3157">
        <v>597049</v>
      </c>
      <c r="B3157" t="s">
        <v>22311</v>
      </c>
      <c r="C3157" t="s">
        <v>22312</v>
      </c>
      <c r="D3157">
        <v>0</v>
      </c>
      <c r="E3157" t="s">
        <v>16561</v>
      </c>
      <c r="F3157" s="126"/>
      <c r="G3157" s="7">
        <v>0</v>
      </c>
      <c r="H3157" s="3">
        <v>0</v>
      </c>
      <c r="I3157" s="3">
        <v>0</v>
      </c>
      <c r="J3157">
        <v>0</v>
      </c>
      <c r="K3157" s="3">
        <f t="shared" si="114"/>
        <v>0</v>
      </c>
      <c r="L3157" s="3"/>
      <c r="M3157" s="3">
        <f t="shared" si="115"/>
        <v>0</v>
      </c>
      <c r="O3157" s="5"/>
      <c r="S3157" s="6"/>
    </row>
    <row r="3158" spans="1:19" customFormat="1" x14ac:dyDescent="0.45">
      <c r="A3158">
        <v>597189</v>
      </c>
      <c r="B3158" t="s">
        <v>22313</v>
      </c>
      <c r="C3158" t="s">
        <v>22314</v>
      </c>
      <c r="D3158">
        <v>1</v>
      </c>
      <c r="F3158" s="126"/>
      <c r="G3158" s="7">
        <v>0</v>
      </c>
      <c r="H3158" s="7">
        <v>0</v>
      </c>
      <c r="I3158" s="7">
        <v>0</v>
      </c>
      <c r="J3158" s="7">
        <v>0</v>
      </c>
      <c r="K3158" s="3">
        <f t="shared" si="114"/>
        <v>0</v>
      </c>
      <c r="L3158" s="3"/>
      <c r="M3158" s="3">
        <f t="shared" si="115"/>
        <v>0</v>
      </c>
      <c r="O3158" s="5"/>
      <c r="S3158" s="6"/>
    </row>
    <row r="3159" spans="1:19" customFormat="1" x14ac:dyDescent="0.45">
      <c r="A3159">
        <v>597277</v>
      </c>
      <c r="B3159" t="s">
        <v>22315</v>
      </c>
      <c r="C3159" t="s">
        <v>22316</v>
      </c>
      <c r="D3159">
        <v>2</v>
      </c>
      <c r="F3159" s="126"/>
      <c r="G3159" s="7">
        <v>0</v>
      </c>
      <c r="H3159" s="7">
        <v>0</v>
      </c>
      <c r="I3159" s="7">
        <v>0</v>
      </c>
      <c r="J3159" s="7">
        <v>0</v>
      </c>
      <c r="K3159" s="3">
        <f t="shared" si="114"/>
        <v>0</v>
      </c>
      <c r="L3159" s="3"/>
      <c r="M3159" s="3">
        <f t="shared" si="115"/>
        <v>0</v>
      </c>
      <c r="N3159" s="7"/>
      <c r="O3159" s="5"/>
      <c r="S3159" s="6"/>
    </row>
    <row r="3160" spans="1:19" customFormat="1" x14ac:dyDescent="0.45">
      <c r="A3160">
        <v>597303</v>
      </c>
      <c r="B3160" t="s">
        <v>22317</v>
      </c>
      <c r="C3160" t="s">
        <v>22318</v>
      </c>
      <c r="D3160">
        <v>7</v>
      </c>
      <c r="F3160" s="126"/>
      <c r="G3160" s="7">
        <v>0</v>
      </c>
      <c r="H3160" s="7">
        <v>0</v>
      </c>
      <c r="I3160" s="7">
        <v>0</v>
      </c>
      <c r="J3160" s="7">
        <v>0</v>
      </c>
      <c r="K3160" s="3">
        <f t="shared" si="114"/>
        <v>0</v>
      </c>
      <c r="L3160" s="3"/>
      <c r="M3160" s="3">
        <f t="shared" si="115"/>
        <v>0</v>
      </c>
      <c r="N3160" s="7"/>
      <c r="O3160" s="5"/>
      <c r="S3160" s="6"/>
    </row>
    <row r="3161" spans="1:19" customFormat="1" x14ac:dyDescent="0.45">
      <c r="A3161">
        <v>597343</v>
      </c>
      <c r="B3161" t="s">
        <v>22319</v>
      </c>
      <c r="C3161" t="s">
        <v>22320</v>
      </c>
      <c r="D3161">
        <v>2</v>
      </c>
      <c r="F3161" s="126"/>
      <c r="G3161" s="7">
        <v>0</v>
      </c>
      <c r="H3161" s="7">
        <v>0</v>
      </c>
      <c r="I3161" s="7">
        <v>0</v>
      </c>
      <c r="J3161" s="7">
        <v>0</v>
      </c>
      <c r="K3161" s="3">
        <f t="shared" si="114"/>
        <v>0</v>
      </c>
      <c r="L3161" s="3"/>
      <c r="M3161" s="3">
        <f t="shared" si="115"/>
        <v>0</v>
      </c>
      <c r="O3161" s="5"/>
      <c r="S3161" s="6"/>
    </row>
    <row r="3162" spans="1:19" customFormat="1" x14ac:dyDescent="0.45">
      <c r="A3162">
        <v>597896</v>
      </c>
      <c r="B3162" t="s">
        <v>22321</v>
      </c>
      <c r="C3162" t="s">
        <v>22322</v>
      </c>
      <c r="D3162">
        <v>15</v>
      </c>
      <c r="F3162" s="126"/>
      <c r="G3162" s="7">
        <v>0</v>
      </c>
      <c r="H3162" s="7">
        <v>0</v>
      </c>
      <c r="I3162" s="7">
        <v>0</v>
      </c>
      <c r="J3162" s="7">
        <v>0</v>
      </c>
      <c r="K3162" s="3">
        <f t="shared" si="114"/>
        <v>0</v>
      </c>
      <c r="L3162" s="3"/>
      <c r="M3162" s="3">
        <f t="shared" si="115"/>
        <v>0</v>
      </c>
      <c r="N3162" s="7"/>
      <c r="O3162" s="5"/>
      <c r="S3162" s="6"/>
    </row>
    <row r="3163" spans="1:19" customFormat="1" x14ac:dyDescent="0.45">
      <c r="A3163">
        <v>598086</v>
      </c>
      <c r="B3163" t="s">
        <v>22323</v>
      </c>
      <c r="C3163" t="s">
        <v>22324</v>
      </c>
      <c r="D3163">
        <v>2</v>
      </c>
      <c r="F3163" s="126"/>
      <c r="G3163" s="7">
        <v>0</v>
      </c>
      <c r="H3163" s="7">
        <v>0</v>
      </c>
      <c r="I3163" s="7">
        <v>0</v>
      </c>
      <c r="J3163" s="7">
        <v>0</v>
      </c>
      <c r="K3163" s="3">
        <f t="shared" si="114"/>
        <v>0</v>
      </c>
      <c r="L3163" s="3"/>
      <c r="M3163" s="3">
        <f t="shared" si="115"/>
        <v>0</v>
      </c>
      <c r="O3163" s="5"/>
      <c r="S3163" s="6"/>
    </row>
    <row r="3164" spans="1:19" customFormat="1" x14ac:dyDescent="0.45">
      <c r="A3164">
        <v>598247</v>
      </c>
      <c r="B3164" t="s">
        <v>22325</v>
      </c>
      <c r="C3164" t="s">
        <v>22326</v>
      </c>
      <c r="D3164">
        <v>2</v>
      </c>
      <c r="F3164" s="126"/>
      <c r="G3164" s="7">
        <v>0</v>
      </c>
      <c r="H3164" s="7">
        <v>0</v>
      </c>
      <c r="I3164" s="7">
        <v>0</v>
      </c>
      <c r="J3164" s="7">
        <v>0</v>
      </c>
      <c r="K3164" s="3">
        <f t="shared" si="114"/>
        <v>0</v>
      </c>
      <c r="L3164" s="3"/>
      <c r="M3164" s="3">
        <f t="shared" si="115"/>
        <v>0</v>
      </c>
      <c r="O3164" s="5"/>
      <c r="S3164" s="6"/>
    </row>
    <row r="3165" spans="1:19" customFormat="1" x14ac:dyDescent="0.45">
      <c r="A3165">
        <v>598291</v>
      </c>
      <c r="B3165" t="s">
        <v>22327</v>
      </c>
      <c r="C3165" t="s">
        <v>16331</v>
      </c>
      <c r="D3165">
        <v>3</v>
      </c>
      <c r="E3165" t="s">
        <v>16331</v>
      </c>
      <c r="F3165" s="126"/>
      <c r="K3165" s="3">
        <f t="shared" si="114"/>
        <v>0</v>
      </c>
      <c r="L3165" s="3"/>
      <c r="M3165" s="3">
        <f t="shared" si="115"/>
        <v>0</v>
      </c>
      <c r="O3165" s="5"/>
      <c r="S3165" s="6"/>
    </row>
    <row r="3166" spans="1:19" customFormat="1" x14ac:dyDescent="0.45">
      <c r="A3166">
        <v>598311</v>
      </c>
      <c r="B3166" t="s">
        <v>22328</v>
      </c>
      <c r="C3166" t="s">
        <v>16331</v>
      </c>
      <c r="D3166">
        <v>1</v>
      </c>
      <c r="E3166" t="s">
        <v>16331</v>
      </c>
      <c r="F3166" s="126"/>
      <c r="G3166" s="7">
        <v>0</v>
      </c>
      <c r="H3166" s="7">
        <v>0</v>
      </c>
      <c r="I3166" s="7">
        <v>0</v>
      </c>
      <c r="J3166" s="7">
        <v>0</v>
      </c>
      <c r="K3166" s="3">
        <f t="shared" si="114"/>
        <v>0</v>
      </c>
      <c r="L3166" s="3"/>
      <c r="M3166" s="3">
        <f t="shared" si="115"/>
        <v>0</v>
      </c>
      <c r="O3166" s="5"/>
      <c r="S3166" s="6"/>
    </row>
    <row r="3167" spans="1:19" customFormat="1" x14ac:dyDescent="0.45">
      <c r="A3167">
        <v>598525</v>
      </c>
      <c r="B3167" t="s">
        <v>22329</v>
      </c>
      <c r="C3167" t="s">
        <v>22330</v>
      </c>
      <c r="D3167">
        <v>1</v>
      </c>
      <c r="F3167" s="126"/>
      <c r="G3167" s="7">
        <v>0</v>
      </c>
      <c r="H3167" s="7">
        <v>0</v>
      </c>
      <c r="I3167" s="7">
        <v>0</v>
      </c>
      <c r="J3167" s="7">
        <v>0</v>
      </c>
      <c r="K3167" s="3">
        <f t="shared" si="114"/>
        <v>0</v>
      </c>
      <c r="L3167" s="3"/>
      <c r="M3167" s="3">
        <f t="shared" si="115"/>
        <v>0</v>
      </c>
      <c r="O3167" s="5"/>
      <c r="S3167" s="6"/>
    </row>
    <row r="3168" spans="1:19" customFormat="1" x14ac:dyDescent="0.45">
      <c r="A3168">
        <v>598729</v>
      </c>
      <c r="B3168" t="s">
        <v>22331</v>
      </c>
      <c r="C3168" t="s">
        <v>16331</v>
      </c>
      <c r="D3168">
        <v>1</v>
      </c>
      <c r="E3168" t="s">
        <v>16331</v>
      </c>
      <c r="F3168" s="126"/>
      <c r="K3168" s="3">
        <f t="shared" si="114"/>
        <v>0</v>
      </c>
      <c r="L3168" s="3"/>
      <c r="M3168" s="3">
        <f t="shared" si="115"/>
        <v>0</v>
      </c>
      <c r="O3168" s="5"/>
      <c r="S3168" s="6"/>
    </row>
    <row r="3169" spans="1:22" customFormat="1" x14ac:dyDescent="0.45">
      <c r="A3169">
        <v>599172</v>
      </c>
      <c r="B3169" t="s">
        <v>22332</v>
      </c>
      <c r="C3169" t="s">
        <v>16331</v>
      </c>
      <c r="D3169">
        <v>2</v>
      </c>
      <c r="E3169" t="s">
        <v>16331</v>
      </c>
      <c r="F3169" s="126"/>
      <c r="K3169" s="3">
        <f t="shared" si="114"/>
        <v>0</v>
      </c>
      <c r="L3169" s="3"/>
      <c r="M3169" s="3">
        <f t="shared" si="115"/>
        <v>0</v>
      </c>
      <c r="O3169" s="5"/>
      <c r="S3169" s="6"/>
    </row>
    <row r="3170" spans="1:22" customFormat="1" x14ac:dyDescent="0.45">
      <c r="A3170">
        <v>599231</v>
      </c>
      <c r="B3170" t="s">
        <v>22333</v>
      </c>
      <c r="C3170" t="s">
        <v>16331</v>
      </c>
      <c r="D3170">
        <v>1</v>
      </c>
      <c r="E3170" t="s">
        <v>16331</v>
      </c>
      <c r="F3170" s="126"/>
      <c r="G3170" s="7">
        <v>0</v>
      </c>
      <c r="H3170" s="7">
        <v>0</v>
      </c>
      <c r="I3170" s="7">
        <v>0</v>
      </c>
      <c r="J3170" s="7">
        <v>0</v>
      </c>
      <c r="K3170" s="3">
        <f t="shared" ref="K3170:K3233" si="116">SUM(G3170:J3170)</f>
        <v>0</v>
      </c>
      <c r="L3170" s="3"/>
      <c r="M3170" s="3">
        <f t="shared" ref="M3170:M3233" si="117">K3170+F3170</f>
        <v>0</v>
      </c>
      <c r="O3170" s="5"/>
      <c r="S3170" s="6"/>
    </row>
    <row r="3171" spans="1:22" customFormat="1" x14ac:dyDescent="0.45">
      <c r="A3171">
        <v>599247</v>
      </c>
      <c r="B3171" t="s">
        <v>22334</v>
      </c>
      <c r="C3171" t="s">
        <v>16331</v>
      </c>
      <c r="D3171">
        <v>2</v>
      </c>
      <c r="E3171" t="s">
        <v>16331</v>
      </c>
      <c r="F3171" s="126"/>
      <c r="G3171" s="7">
        <v>0</v>
      </c>
      <c r="H3171" s="7">
        <v>0</v>
      </c>
      <c r="I3171" s="7">
        <v>0</v>
      </c>
      <c r="J3171" s="7">
        <v>0</v>
      </c>
      <c r="K3171" s="3">
        <f t="shared" si="116"/>
        <v>0</v>
      </c>
      <c r="L3171" s="3"/>
      <c r="M3171" s="3">
        <f t="shared" si="117"/>
        <v>0</v>
      </c>
      <c r="O3171" s="5"/>
      <c r="S3171" s="6"/>
    </row>
    <row r="3172" spans="1:22" x14ac:dyDescent="0.45">
      <c r="A3172" s="124">
        <v>830170</v>
      </c>
      <c r="B3172" s="124" t="s">
        <v>22335</v>
      </c>
      <c r="C3172" s="124" t="s">
        <v>22336</v>
      </c>
      <c r="D3172" s="124">
        <v>328</v>
      </c>
      <c r="E3172" s="124" t="s">
        <v>16417</v>
      </c>
      <c r="F3172" s="126">
        <v>1.0200000000000001E-2</v>
      </c>
      <c r="G3172" s="126">
        <v>1.7500000000000002E-2</v>
      </c>
      <c r="H3172" s="127">
        <v>6.4999999999999997E-3</v>
      </c>
      <c r="I3172" s="127"/>
      <c r="J3172" s="127"/>
      <c r="K3172" s="126">
        <f t="shared" si="116"/>
        <v>2.4E-2</v>
      </c>
      <c r="L3172" s="3"/>
      <c r="M3172" s="126">
        <f t="shared" si="117"/>
        <v>3.4200000000000001E-2</v>
      </c>
      <c r="N3172" s="124" t="s">
        <v>22337</v>
      </c>
      <c r="O3172" s="125" t="s">
        <v>22193</v>
      </c>
      <c r="Q3172" s="130">
        <v>103002000</v>
      </c>
      <c r="R3172" s="130" t="s">
        <v>16</v>
      </c>
      <c r="S3172" s="132">
        <v>63667000</v>
      </c>
      <c r="T3172" s="129">
        <f>S3172/Q3172</f>
        <v>0.61811421137453637</v>
      </c>
      <c r="U3172" s="130"/>
      <c r="V3172" s="125" t="s">
        <v>22200</v>
      </c>
    </row>
    <row r="3173" spans="1:22" customFormat="1" x14ac:dyDescent="0.45">
      <c r="A3173">
        <v>599257</v>
      </c>
      <c r="B3173" t="s">
        <v>22338</v>
      </c>
      <c r="C3173" s="2" t="s">
        <v>22339</v>
      </c>
      <c r="D3173">
        <v>10</v>
      </c>
      <c r="F3173" s="126"/>
      <c r="G3173" s="7">
        <v>0</v>
      </c>
      <c r="H3173" s="7">
        <v>0</v>
      </c>
      <c r="I3173" s="7">
        <v>0</v>
      </c>
      <c r="J3173" s="7">
        <v>0</v>
      </c>
      <c r="K3173" s="3">
        <f t="shared" si="116"/>
        <v>0</v>
      </c>
      <c r="L3173" s="3"/>
      <c r="M3173" s="3">
        <f t="shared" si="117"/>
        <v>0</v>
      </c>
      <c r="N3173" s="7"/>
      <c r="O3173" s="5"/>
      <c r="S3173" s="6"/>
    </row>
    <row r="3174" spans="1:22" customFormat="1" x14ac:dyDescent="0.45">
      <c r="A3174">
        <v>599259</v>
      </c>
      <c r="B3174" t="s">
        <v>22340</v>
      </c>
      <c r="C3174" t="s">
        <v>22341</v>
      </c>
      <c r="D3174">
        <v>3</v>
      </c>
      <c r="F3174" s="126"/>
      <c r="G3174" s="7">
        <v>0</v>
      </c>
      <c r="H3174" s="7">
        <v>0</v>
      </c>
      <c r="I3174" s="7">
        <v>0</v>
      </c>
      <c r="J3174" s="7">
        <v>0</v>
      </c>
      <c r="K3174" s="3">
        <f t="shared" si="116"/>
        <v>0</v>
      </c>
      <c r="L3174" s="3"/>
      <c r="M3174" s="3">
        <f t="shared" si="117"/>
        <v>0</v>
      </c>
      <c r="O3174" s="5"/>
      <c r="S3174" s="6"/>
    </row>
    <row r="3175" spans="1:22" customFormat="1" x14ac:dyDescent="0.45">
      <c r="A3175">
        <v>599264</v>
      </c>
      <c r="B3175" t="s">
        <v>22342</v>
      </c>
      <c r="C3175" t="s">
        <v>16331</v>
      </c>
      <c r="D3175">
        <v>1</v>
      </c>
      <c r="E3175" t="s">
        <v>16331</v>
      </c>
      <c r="F3175" s="126"/>
      <c r="G3175" s="7">
        <v>0</v>
      </c>
      <c r="H3175" s="7">
        <v>0</v>
      </c>
      <c r="I3175" s="7">
        <v>0</v>
      </c>
      <c r="J3175" s="7">
        <v>0</v>
      </c>
      <c r="K3175" s="3">
        <f t="shared" si="116"/>
        <v>0</v>
      </c>
      <c r="L3175" s="3"/>
      <c r="M3175" s="3">
        <f t="shared" si="117"/>
        <v>0</v>
      </c>
      <c r="O3175" s="5"/>
      <c r="S3175" s="6"/>
    </row>
    <row r="3176" spans="1:22" customFormat="1" x14ac:dyDescent="0.45">
      <c r="A3176">
        <v>599267</v>
      </c>
      <c r="B3176" t="s">
        <v>22343</v>
      </c>
      <c r="C3176" t="s">
        <v>22344</v>
      </c>
      <c r="D3176">
        <v>2</v>
      </c>
      <c r="F3176" s="126"/>
      <c r="G3176" s="3">
        <v>0</v>
      </c>
      <c r="H3176" s="3">
        <v>0</v>
      </c>
      <c r="I3176" s="3">
        <v>0</v>
      </c>
      <c r="J3176" s="3">
        <v>0</v>
      </c>
      <c r="K3176" s="3">
        <f t="shared" si="116"/>
        <v>0</v>
      </c>
      <c r="L3176" s="3"/>
      <c r="M3176" s="3">
        <f t="shared" si="117"/>
        <v>0</v>
      </c>
      <c r="O3176" s="5"/>
      <c r="S3176" s="6"/>
    </row>
    <row r="3177" spans="1:22" customFormat="1" x14ac:dyDescent="0.45">
      <c r="A3177">
        <v>599271</v>
      </c>
      <c r="B3177" t="s">
        <v>22345</v>
      </c>
      <c r="C3177" t="s">
        <v>22346</v>
      </c>
      <c r="D3177">
        <v>3</v>
      </c>
      <c r="F3177" s="126"/>
      <c r="G3177" s="3">
        <v>0</v>
      </c>
      <c r="H3177" s="3">
        <v>0</v>
      </c>
      <c r="I3177" s="3">
        <v>0</v>
      </c>
      <c r="J3177" s="3">
        <v>0</v>
      </c>
      <c r="K3177" s="3">
        <f t="shared" si="116"/>
        <v>0</v>
      </c>
      <c r="L3177" s="3"/>
      <c r="M3177" s="3">
        <f t="shared" si="117"/>
        <v>0</v>
      </c>
      <c r="O3177" s="5"/>
      <c r="S3177" s="6"/>
    </row>
    <row r="3178" spans="1:22" customFormat="1" x14ac:dyDescent="0.45">
      <c r="A3178">
        <v>599275</v>
      </c>
      <c r="B3178" t="s">
        <v>22347</v>
      </c>
      <c r="C3178" t="s">
        <v>16331</v>
      </c>
      <c r="D3178">
        <v>2</v>
      </c>
      <c r="E3178" t="s">
        <v>16331</v>
      </c>
      <c r="F3178" s="126"/>
      <c r="G3178" s="7">
        <v>0</v>
      </c>
      <c r="H3178" s="7">
        <v>0</v>
      </c>
      <c r="I3178" s="7">
        <v>0</v>
      </c>
      <c r="J3178" s="7">
        <v>0</v>
      </c>
      <c r="K3178" s="3">
        <f t="shared" si="116"/>
        <v>0</v>
      </c>
      <c r="L3178" s="3"/>
      <c r="M3178" s="3">
        <f t="shared" si="117"/>
        <v>0</v>
      </c>
      <c r="O3178" s="5"/>
      <c r="S3178" s="6"/>
    </row>
    <row r="3179" spans="1:22" customFormat="1" x14ac:dyDescent="0.45">
      <c r="A3179">
        <v>599277</v>
      </c>
      <c r="B3179" t="s">
        <v>22348</v>
      </c>
      <c r="C3179" t="s">
        <v>16331</v>
      </c>
      <c r="D3179">
        <v>2</v>
      </c>
      <c r="E3179" t="s">
        <v>16331</v>
      </c>
      <c r="F3179" s="126"/>
      <c r="G3179" s="7">
        <v>0</v>
      </c>
      <c r="H3179" s="7">
        <v>0</v>
      </c>
      <c r="I3179" s="7">
        <v>0</v>
      </c>
      <c r="J3179" s="7">
        <v>0</v>
      </c>
      <c r="K3179" s="3">
        <f t="shared" si="116"/>
        <v>0</v>
      </c>
      <c r="L3179" s="3"/>
      <c r="M3179" s="3">
        <f t="shared" si="117"/>
        <v>0</v>
      </c>
      <c r="O3179" s="5"/>
      <c r="S3179" s="6"/>
    </row>
    <row r="3180" spans="1:22" customFormat="1" x14ac:dyDescent="0.45">
      <c r="A3180">
        <v>599287</v>
      </c>
      <c r="B3180" t="s">
        <v>22349</v>
      </c>
      <c r="C3180" t="s">
        <v>16331</v>
      </c>
      <c r="D3180">
        <v>1</v>
      </c>
      <c r="E3180" t="s">
        <v>16331</v>
      </c>
      <c r="F3180" s="126"/>
      <c r="G3180" s="7">
        <v>0</v>
      </c>
      <c r="H3180" s="7">
        <v>0</v>
      </c>
      <c r="I3180" s="7">
        <v>0</v>
      </c>
      <c r="J3180" s="7">
        <v>0</v>
      </c>
      <c r="K3180" s="3">
        <f t="shared" si="116"/>
        <v>0</v>
      </c>
      <c r="L3180" s="3"/>
      <c r="M3180" s="3">
        <f t="shared" si="117"/>
        <v>0</v>
      </c>
      <c r="O3180" s="5"/>
      <c r="S3180" s="6"/>
    </row>
    <row r="3181" spans="1:22" customFormat="1" x14ac:dyDescent="0.45">
      <c r="A3181">
        <v>599292</v>
      </c>
      <c r="B3181" t="s">
        <v>22350</v>
      </c>
      <c r="C3181" t="s">
        <v>22351</v>
      </c>
      <c r="D3181">
        <v>7</v>
      </c>
      <c r="F3181" s="126"/>
      <c r="G3181" s="7">
        <v>0</v>
      </c>
      <c r="H3181" s="7">
        <v>0</v>
      </c>
      <c r="I3181" s="7">
        <v>0</v>
      </c>
      <c r="J3181" s="7">
        <v>0</v>
      </c>
      <c r="K3181" s="3">
        <f t="shared" si="116"/>
        <v>0</v>
      </c>
      <c r="L3181" s="3"/>
      <c r="M3181" s="3">
        <f t="shared" si="117"/>
        <v>0</v>
      </c>
      <c r="O3181" s="5"/>
      <c r="S3181" s="6"/>
    </row>
    <row r="3182" spans="1:22" customFormat="1" x14ac:dyDescent="0.45">
      <c r="A3182">
        <v>599393</v>
      </c>
      <c r="B3182" t="s">
        <v>22352</v>
      </c>
      <c r="C3182" t="s">
        <v>16331</v>
      </c>
      <c r="D3182">
        <v>1</v>
      </c>
      <c r="E3182" t="s">
        <v>16331</v>
      </c>
      <c r="F3182" s="126"/>
      <c r="G3182" s="7">
        <v>0</v>
      </c>
      <c r="H3182" s="7">
        <v>0</v>
      </c>
      <c r="I3182" s="7">
        <v>0</v>
      </c>
      <c r="J3182" s="7">
        <v>0</v>
      </c>
      <c r="K3182" s="3">
        <f t="shared" si="116"/>
        <v>0</v>
      </c>
      <c r="L3182" s="3"/>
      <c r="M3182" s="3">
        <f t="shared" si="117"/>
        <v>0</v>
      </c>
      <c r="N3182" s="7"/>
      <c r="O3182" s="5"/>
      <c r="S3182" s="6"/>
    </row>
    <row r="3183" spans="1:22" customFormat="1" x14ac:dyDescent="0.45">
      <c r="A3183">
        <v>599404</v>
      </c>
      <c r="B3183" t="s">
        <v>22353</v>
      </c>
      <c r="C3183" t="s">
        <v>16331</v>
      </c>
      <c r="D3183">
        <v>8</v>
      </c>
      <c r="E3183" t="s">
        <v>16331</v>
      </c>
      <c r="F3183" s="126"/>
      <c r="G3183" s="7">
        <v>0</v>
      </c>
      <c r="H3183" s="7">
        <v>0</v>
      </c>
      <c r="I3183" s="7">
        <v>0</v>
      </c>
      <c r="J3183" s="7">
        <v>0</v>
      </c>
      <c r="K3183" s="3">
        <f t="shared" si="116"/>
        <v>0</v>
      </c>
      <c r="L3183" s="3"/>
      <c r="M3183" s="3">
        <f t="shared" si="117"/>
        <v>0</v>
      </c>
      <c r="O3183" s="5"/>
      <c r="S3183" s="6"/>
    </row>
    <row r="3184" spans="1:22" customFormat="1" x14ac:dyDescent="0.45">
      <c r="A3184">
        <v>599433</v>
      </c>
      <c r="B3184" t="s">
        <v>22354</v>
      </c>
      <c r="C3184" t="s">
        <v>22355</v>
      </c>
      <c r="D3184">
        <v>1</v>
      </c>
      <c r="F3184" s="126"/>
      <c r="G3184" s="7">
        <v>0</v>
      </c>
      <c r="H3184" s="7">
        <v>0</v>
      </c>
      <c r="I3184" s="7">
        <v>0</v>
      </c>
      <c r="J3184" s="7">
        <v>0</v>
      </c>
      <c r="K3184" s="3">
        <f t="shared" si="116"/>
        <v>0</v>
      </c>
      <c r="L3184" s="3"/>
      <c r="M3184" s="3">
        <f t="shared" si="117"/>
        <v>0</v>
      </c>
      <c r="N3184" s="7"/>
      <c r="O3184" s="5"/>
      <c r="S3184" s="6"/>
    </row>
    <row r="3185" spans="1:20" customFormat="1" x14ac:dyDescent="0.45">
      <c r="A3185">
        <v>599639</v>
      </c>
      <c r="B3185" t="s">
        <v>22356</v>
      </c>
      <c r="C3185" t="s">
        <v>16331</v>
      </c>
      <c r="D3185">
        <v>1</v>
      </c>
      <c r="E3185" t="s">
        <v>16331</v>
      </c>
      <c r="F3185" s="126"/>
      <c r="K3185" s="3">
        <f t="shared" si="116"/>
        <v>0</v>
      </c>
      <c r="L3185" s="3"/>
      <c r="M3185" s="3">
        <f t="shared" si="117"/>
        <v>0</v>
      </c>
      <c r="O3185" s="5"/>
      <c r="S3185" s="6"/>
    </row>
    <row r="3186" spans="1:20" customFormat="1" x14ac:dyDescent="0.45">
      <c r="A3186">
        <v>599883</v>
      </c>
      <c r="B3186" t="s">
        <v>22357</v>
      </c>
      <c r="C3186" t="s">
        <v>16331</v>
      </c>
      <c r="D3186">
        <v>5</v>
      </c>
      <c r="E3186" t="s">
        <v>16331</v>
      </c>
      <c r="F3186" s="126"/>
      <c r="G3186" s="7">
        <v>0</v>
      </c>
      <c r="H3186" s="7">
        <v>0</v>
      </c>
      <c r="I3186" s="7">
        <v>0</v>
      </c>
      <c r="J3186" s="7">
        <v>0</v>
      </c>
      <c r="K3186" s="3">
        <f t="shared" si="116"/>
        <v>0</v>
      </c>
      <c r="L3186" s="3"/>
      <c r="M3186" s="3">
        <f t="shared" si="117"/>
        <v>0</v>
      </c>
      <c r="O3186" s="5"/>
      <c r="S3186" s="6"/>
    </row>
    <row r="3187" spans="1:20" customFormat="1" x14ac:dyDescent="0.45">
      <c r="A3187">
        <v>599891</v>
      </c>
      <c r="B3187" t="s">
        <v>22358</v>
      </c>
      <c r="C3187" t="s">
        <v>22359</v>
      </c>
      <c r="D3187">
        <v>1</v>
      </c>
      <c r="F3187" s="126"/>
      <c r="G3187" s="7">
        <v>0</v>
      </c>
      <c r="H3187" s="7">
        <v>0</v>
      </c>
      <c r="I3187" s="7">
        <v>0</v>
      </c>
      <c r="J3187" s="7">
        <v>0</v>
      </c>
      <c r="K3187" s="3">
        <f t="shared" si="116"/>
        <v>0</v>
      </c>
      <c r="L3187" s="3"/>
      <c r="M3187" s="3">
        <f t="shared" si="117"/>
        <v>0</v>
      </c>
      <c r="O3187" s="5"/>
      <c r="S3187" s="6"/>
    </row>
    <row r="3188" spans="1:20" customFormat="1" x14ac:dyDescent="0.45">
      <c r="A3188">
        <v>599958</v>
      </c>
      <c r="B3188" t="s">
        <v>22360</v>
      </c>
      <c r="C3188" t="s">
        <v>16331</v>
      </c>
      <c r="D3188">
        <v>1</v>
      </c>
      <c r="E3188" t="s">
        <v>16331</v>
      </c>
      <c r="F3188" s="126"/>
      <c r="K3188" s="3">
        <f t="shared" si="116"/>
        <v>0</v>
      </c>
      <c r="L3188" s="3"/>
      <c r="M3188" s="3">
        <f t="shared" si="117"/>
        <v>0</v>
      </c>
      <c r="O3188" s="5"/>
      <c r="S3188" s="6"/>
    </row>
    <row r="3189" spans="1:20" customFormat="1" x14ac:dyDescent="0.45">
      <c r="A3189">
        <v>600308</v>
      </c>
      <c r="B3189" t="s">
        <v>22361</v>
      </c>
      <c r="C3189" t="s">
        <v>22362</v>
      </c>
      <c r="D3189">
        <v>4</v>
      </c>
      <c r="F3189" s="126"/>
      <c r="I3189" s="3"/>
      <c r="K3189" s="3">
        <f t="shared" si="116"/>
        <v>0</v>
      </c>
      <c r="L3189" s="3"/>
      <c r="M3189" s="3">
        <f t="shared" si="117"/>
        <v>0</v>
      </c>
      <c r="N3189" s="7"/>
      <c r="O3189" s="5" t="str">
        <f>Q3189</f>
        <v>https://richmondwealth.co.uk/wp-content/uploads/2019/01/Adventurous-KIID.pdf</v>
      </c>
      <c r="Q3189" t="s">
        <v>21702</v>
      </c>
      <c r="S3189" s="6"/>
      <c r="T3189" s="10"/>
    </row>
    <row r="3190" spans="1:20" customFormat="1" x14ac:dyDescent="0.45">
      <c r="A3190">
        <v>600400</v>
      </c>
      <c r="B3190" t="s">
        <v>22363</v>
      </c>
      <c r="C3190" t="s">
        <v>16331</v>
      </c>
      <c r="D3190">
        <v>0</v>
      </c>
      <c r="E3190" t="s">
        <v>16331</v>
      </c>
      <c r="F3190" s="126"/>
      <c r="G3190" s="7">
        <v>0</v>
      </c>
      <c r="H3190" s="7">
        <v>0</v>
      </c>
      <c r="I3190" s="7">
        <v>0</v>
      </c>
      <c r="J3190" s="7">
        <v>0</v>
      </c>
      <c r="K3190" s="3">
        <f t="shared" si="116"/>
        <v>0</v>
      </c>
      <c r="L3190" s="3"/>
      <c r="M3190" s="3">
        <f t="shared" si="117"/>
        <v>0</v>
      </c>
      <c r="O3190" s="5"/>
      <c r="S3190" s="6"/>
    </row>
    <row r="3191" spans="1:20" customFormat="1" x14ac:dyDescent="0.45">
      <c r="A3191">
        <v>600504</v>
      </c>
      <c r="B3191" t="s">
        <v>22364</v>
      </c>
      <c r="C3191" t="s">
        <v>16331</v>
      </c>
      <c r="D3191">
        <v>1</v>
      </c>
      <c r="E3191" t="s">
        <v>16331</v>
      </c>
      <c r="F3191" s="126"/>
      <c r="G3191" s="7">
        <v>0</v>
      </c>
      <c r="H3191" s="7">
        <v>0</v>
      </c>
      <c r="I3191" s="7">
        <v>0</v>
      </c>
      <c r="J3191" s="7">
        <v>0</v>
      </c>
      <c r="K3191" s="3">
        <f t="shared" si="116"/>
        <v>0</v>
      </c>
      <c r="L3191" s="3"/>
      <c r="M3191" s="3">
        <f t="shared" si="117"/>
        <v>0</v>
      </c>
      <c r="O3191" s="5"/>
      <c r="S3191" s="6"/>
    </row>
    <row r="3192" spans="1:20" customFormat="1" x14ac:dyDescent="0.45">
      <c r="A3192">
        <v>600514</v>
      </c>
      <c r="B3192" t="s">
        <v>22365</v>
      </c>
      <c r="C3192" t="s">
        <v>16331</v>
      </c>
      <c r="D3192">
        <v>1</v>
      </c>
      <c r="E3192" t="s">
        <v>16331</v>
      </c>
      <c r="F3192" s="126"/>
      <c r="G3192" s="7">
        <v>0</v>
      </c>
      <c r="H3192" s="7">
        <v>0</v>
      </c>
      <c r="I3192" s="7">
        <v>0</v>
      </c>
      <c r="J3192" s="7">
        <v>0</v>
      </c>
      <c r="K3192" s="3">
        <f t="shared" si="116"/>
        <v>0</v>
      </c>
      <c r="L3192" s="3"/>
      <c r="M3192" s="3">
        <f t="shared" si="117"/>
        <v>0</v>
      </c>
      <c r="O3192" s="5"/>
      <c r="S3192" s="6"/>
    </row>
    <row r="3193" spans="1:20" customFormat="1" x14ac:dyDescent="0.45">
      <c r="A3193">
        <v>600539</v>
      </c>
      <c r="B3193" t="s">
        <v>22366</v>
      </c>
      <c r="C3193" t="s">
        <v>22367</v>
      </c>
      <c r="D3193">
        <v>1</v>
      </c>
      <c r="F3193" s="126"/>
      <c r="G3193" s="7">
        <v>0</v>
      </c>
      <c r="H3193" s="7">
        <v>0</v>
      </c>
      <c r="I3193" s="7">
        <v>0</v>
      </c>
      <c r="J3193" s="7">
        <v>0</v>
      </c>
      <c r="K3193" s="3">
        <f t="shared" si="116"/>
        <v>0</v>
      </c>
      <c r="L3193" s="3"/>
      <c r="M3193" s="3">
        <f t="shared" si="117"/>
        <v>0</v>
      </c>
      <c r="O3193" s="5"/>
      <c r="S3193" s="6"/>
    </row>
    <row r="3194" spans="1:20" customFormat="1" x14ac:dyDescent="0.45">
      <c r="A3194">
        <v>600827</v>
      </c>
      <c r="B3194" t="s">
        <v>22368</v>
      </c>
      <c r="C3194" t="s">
        <v>22369</v>
      </c>
      <c r="D3194">
        <v>1</v>
      </c>
      <c r="F3194" s="126"/>
      <c r="G3194" s="7">
        <v>0</v>
      </c>
      <c r="H3194" s="7">
        <v>0</v>
      </c>
      <c r="I3194" s="7">
        <v>0</v>
      </c>
      <c r="J3194" s="7">
        <v>0</v>
      </c>
      <c r="K3194" s="3">
        <f t="shared" si="116"/>
        <v>0</v>
      </c>
      <c r="L3194" s="3"/>
      <c r="M3194" s="3">
        <f t="shared" si="117"/>
        <v>0</v>
      </c>
      <c r="O3194" s="5"/>
      <c r="S3194" s="6"/>
    </row>
    <row r="3195" spans="1:20" customFormat="1" x14ac:dyDescent="0.45">
      <c r="A3195">
        <v>600895</v>
      </c>
      <c r="B3195" t="s">
        <v>22370</v>
      </c>
      <c r="C3195" t="s">
        <v>22371</v>
      </c>
      <c r="D3195">
        <v>3</v>
      </c>
      <c r="F3195" s="126"/>
      <c r="G3195" s="7">
        <v>0</v>
      </c>
      <c r="H3195" s="7">
        <v>0</v>
      </c>
      <c r="I3195" s="7">
        <v>0</v>
      </c>
      <c r="J3195" s="7">
        <v>0</v>
      </c>
      <c r="K3195" s="3">
        <f t="shared" si="116"/>
        <v>0</v>
      </c>
      <c r="L3195" s="3"/>
      <c r="M3195" s="3">
        <f t="shared" si="117"/>
        <v>0</v>
      </c>
      <c r="O3195" s="5"/>
      <c r="S3195" s="6"/>
    </row>
    <row r="3196" spans="1:20" customFormat="1" x14ac:dyDescent="0.45">
      <c r="A3196">
        <v>600896</v>
      </c>
      <c r="B3196" t="s">
        <v>22372</v>
      </c>
      <c r="C3196" t="s">
        <v>22373</v>
      </c>
      <c r="D3196">
        <v>1</v>
      </c>
      <c r="F3196" s="126"/>
      <c r="G3196" s="7">
        <v>0</v>
      </c>
      <c r="H3196" s="7">
        <v>0</v>
      </c>
      <c r="I3196" s="7">
        <v>0</v>
      </c>
      <c r="J3196" s="7">
        <v>0</v>
      </c>
      <c r="K3196" s="3">
        <f t="shared" si="116"/>
        <v>0</v>
      </c>
      <c r="L3196" s="3"/>
      <c r="M3196" s="3">
        <f t="shared" si="117"/>
        <v>0</v>
      </c>
      <c r="N3196" s="7"/>
      <c r="O3196" s="5"/>
      <c r="S3196" s="6"/>
    </row>
    <row r="3197" spans="1:20" customFormat="1" x14ac:dyDescent="0.45">
      <c r="A3197">
        <v>600931</v>
      </c>
      <c r="B3197" t="s">
        <v>22374</v>
      </c>
      <c r="C3197" t="s">
        <v>22375</v>
      </c>
      <c r="D3197">
        <v>2</v>
      </c>
      <c r="F3197" s="126"/>
      <c r="G3197" s="7">
        <v>0</v>
      </c>
      <c r="H3197" s="7">
        <v>0</v>
      </c>
      <c r="I3197" s="7">
        <v>0</v>
      </c>
      <c r="J3197" s="7">
        <v>0</v>
      </c>
      <c r="K3197" s="3">
        <f t="shared" si="116"/>
        <v>0</v>
      </c>
      <c r="L3197" s="3"/>
      <c r="M3197" s="3">
        <f t="shared" si="117"/>
        <v>0</v>
      </c>
      <c r="O3197" s="5"/>
      <c r="S3197" s="6"/>
    </row>
    <row r="3198" spans="1:20" customFormat="1" x14ac:dyDescent="0.45">
      <c r="A3198">
        <v>601039</v>
      </c>
      <c r="B3198" t="s">
        <v>22376</v>
      </c>
      <c r="C3198" t="s">
        <v>16331</v>
      </c>
      <c r="D3198">
        <v>2</v>
      </c>
      <c r="E3198" t="s">
        <v>16331</v>
      </c>
      <c r="F3198" s="126"/>
      <c r="G3198" s="7">
        <v>0</v>
      </c>
      <c r="H3198" s="7">
        <v>0</v>
      </c>
      <c r="I3198" s="7">
        <v>0</v>
      </c>
      <c r="J3198" s="7">
        <v>0</v>
      </c>
      <c r="K3198" s="3">
        <f t="shared" si="116"/>
        <v>0</v>
      </c>
      <c r="L3198" s="3"/>
      <c r="M3198" s="3">
        <f t="shared" si="117"/>
        <v>0</v>
      </c>
      <c r="O3198" s="5"/>
      <c r="S3198" s="6"/>
    </row>
    <row r="3199" spans="1:20" customFormat="1" x14ac:dyDescent="0.45">
      <c r="A3199">
        <v>601226</v>
      </c>
      <c r="B3199" t="s">
        <v>22377</v>
      </c>
      <c r="C3199" t="s">
        <v>16331</v>
      </c>
      <c r="D3199">
        <v>1</v>
      </c>
      <c r="E3199" t="s">
        <v>16331</v>
      </c>
      <c r="F3199" s="126"/>
      <c r="K3199" s="3">
        <f t="shared" si="116"/>
        <v>0</v>
      </c>
      <c r="L3199" s="3"/>
      <c r="M3199" s="3">
        <f t="shared" si="117"/>
        <v>0</v>
      </c>
      <c r="O3199" s="5"/>
      <c r="S3199" s="6"/>
    </row>
    <row r="3200" spans="1:20" customFormat="1" x14ac:dyDescent="0.45">
      <c r="A3200">
        <v>601284</v>
      </c>
      <c r="B3200" t="s">
        <v>22378</v>
      </c>
      <c r="C3200" t="s">
        <v>22379</v>
      </c>
      <c r="D3200">
        <v>1</v>
      </c>
      <c r="F3200" s="126"/>
      <c r="G3200" s="7">
        <v>0</v>
      </c>
      <c r="H3200" s="7">
        <v>0</v>
      </c>
      <c r="I3200" s="7">
        <v>0</v>
      </c>
      <c r="J3200" s="7">
        <v>0</v>
      </c>
      <c r="K3200" s="3">
        <f t="shared" si="116"/>
        <v>0</v>
      </c>
      <c r="L3200" s="3"/>
      <c r="M3200" s="3">
        <f t="shared" si="117"/>
        <v>0</v>
      </c>
      <c r="O3200" s="5"/>
      <c r="S3200" s="6"/>
    </row>
    <row r="3201" spans="1:19" customFormat="1" x14ac:dyDescent="0.45">
      <c r="A3201">
        <v>601394</v>
      </c>
      <c r="B3201" t="s">
        <v>22380</v>
      </c>
      <c r="C3201" t="s">
        <v>22381</v>
      </c>
      <c r="D3201">
        <v>4</v>
      </c>
      <c r="F3201" s="126"/>
      <c r="G3201" s="3">
        <v>0</v>
      </c>
      <c r="H3201" s="3">
        <v>0</v>
      </c>
      <c r="I3201" s="3">
        <v>0</v>
      </c>
      <c r="J3201" s="3">
        <v>0</v>
      </c>
      <c r="K3201" s="3">
        <f t="shared" si="116"/>
        <v>0</v>
      </c>
      <c r="L3201" s="3"/>
      <c r="M3201" s="3">
        <f t="shared" si="117"/>
        <v>0</v>
      </c>
      <c r="O3201" s="5"/>
      <c r="S3201" s="6"/>
    </row>
    <row r="3202" spans="1:19" customFormat="1" x14ac:dyDescent="0.45">
      <c r="A3202">
        <v>601396</v>
      </c>
      <c r="B3202" t="s">
        <v>22382</v>
      </c>
      <c r="C3202" t="s">
        <v>22383</v>
      </c>
      <c r="D3202">
        <v>8</v>
      </c>
      <c r="F3202" s="126"/>
      <c r="G3202" s="3">
        <v>0</v>
      </c>
      <c r="H3202" s="3">
        <v>0</v>
      </c>
      <c r="I3202" s="3">
        <v>0</v>
      </c>
      <c r="J3202" s="3">
        <v>0</v>
      </c>
      <c r="K3202" s="3">
        <f t="shared" si="116"/>
        <v>0</v>
      </c>
      <c r="L3202" s="3"/>
      <c r="M3202" s="3">
        <f t="shared" si="117"/>
        <v>0</v>
      </c>
      <c r="O3202" s="5"/>
      <c r="S3202" s="6"/>
    </row>
    <row r="3203" spans="1:19" customFormat="1" x14ac:dyDescent="0.45">
      <c r="A3203">
        <v>601481</v>
      </c>
      <c r="B3203" t="s">
        <v>22384</v>
      </c>
      <c r="C3203" t="s">
        <v>16331</v>
      </c>
      <c r="D3203">
        <v>1</v>
      </c>
      <c r="E3203" t="s">
        <v>16331</v>
      </c>
      <c r="F3203" s="126"/>
      <c r="G3203" s="7">
        <v>0</v>
      </c>
      <c r="H3203" s="7">
        <v>0</v>
      </c>
      <c r="I3203" s="7">
        <v>0</v>
      </c>
      <c r="J3203" s="7">
        <v>0</v>
      </c>
      <c r="K3203" s="3">
        <f t="shared" si="116"/>
        <v>0</v>
      </c>
      <c r="L3203" s="3"/>
      <c r="M3203" s="3">
        <f t="shared" si="117"/>
        <v>0</v>
      </c>
      <c r="O3203" s="5"/>
      <c r="S3203" s="6"/>
    </row>
    <row r="3204" spans="1:19" customFormat="1" x14ac:dyDescent="0.45">
      <c r="A3204">
        <v>601756</v>
      </c>
      <c r="B3204" t="s">
        <v>22385</v>
      </c>
      <c r="C3204" t="s">
        <v>22386</v>
      </c>
      <c r="D3204">
        <v>16</v>
      </c>
      <c r="F3204" s="126"/>
      <c r="G3204" s="3">
        <v>0</v>
      </c>
      <c r="H3204" s="3">
        <v>0</v>
      </c>
      <c r="I3204" s="3">
        <v>0</v>
      </c>
      <c r="J3204" s="3">
        <v>0</v>
      </c>
      <c r="K3204" s="3">
        <f t="shared" si="116"/>
        <v>0</v>
      </c>
      <c r="L3204" s="3"/>
      <c r="M3204" s="3">
        <f t="shared" si="117"/>
        <v>0</v>
      </c>
      <c r="O3204" s="5"/>
      <c r="S3204" s="6"/>
    </row>
    <row r="3205" spans="1:19" customFormat="1" x14ac:dyDescent="0.45">
      <c r="A3205">
        <v>602001</v>
      </c>
      <c r="B3205" t="s">
        <v>22387</v>
      </c>
      <c r="C3205" t="s">
        <v>22388</v>
      </c>
      <c r="D3205">
        <v>2</v>
      </c>
      <c r="F3205" s="126"/>
      <c r="G3205" s="7">
        <v>0</v>
      </c>
      <c r="H3205" s="7">
        <v>0</v>
      </c>
      <c r="I3205" s="7">
        <v>0</v>
      </c>
      <c r="J3205" s="7">
        <v>0</v>
      </c>
      <c r="K3205" s="3">
        <f t="shared" si="116"/>
        <v>0</v>
      </c>
      <c r="L3205" s="3"/>
      <c r="M3205" s="3">
        <f t="shared" si="117"/>
        <v>0</v>
      </c>
      <c r="O3205" s="5"/>
      <c r="S3205" s="6"/>
    </row>
    <row r="3206" spans="1:19" customFormat="1" x14ac:dyDescent="0.45">
      <c r="A3206">
        <v>602045</v>
      </c>
      <c r="B3206" t="s">
        <v>22389</v>
      </c>
      <c r="C3206" t="s">
        <v>22390</v>
      </c>
      <c r="D3206">
        <v>2</v>
      </c>
      <c r="F3206" s="126"/>
      <c r="G3206" s="7">
        <v>0</v>
      </c>
      <c r="H3206" s="7">
        <v>0</v>
      </c>
      <c r="I3206" s="7">
        <v>0</v>
      </c>
      <c r="J3206" s="7">
        <v>0</v>
      </c>
      <c r="K3206" s="3">
        <f t="shared" si="116"/>
        <v>0</v>
      </c>
      <c r="L3206" s="3"/>
      <c r="M3206" s="3">
        <f t="shared" si="117"/>
        <v>0</v>
      </c>
      <c r="O3206" s="5"/>
      <c r="S3206" s="6"/>
    </row>
    <row r="3207" spans="1:19" customFormat="1" x14ac:dyDescent="0.45">
      <c r="A3207">
        <v>602051</v>
      </c>
      <c r="B3207" t="s">
        <v>22391</v>
      </c>
      <c r="C3207" t="s">
        <v>22392</v>
      </c>
      <c r="D3207">
        <v>5</v>
      </c>
      <c r="F3207" s="126"/>
      <c r="G3207" s="3">
        <v>0</v>
      </c>
      <c r="H3207" s="3">
        <v>0</v>
      </c>
      <c r="I3207" s="3">
        <v>0</v>
      </c>
      <c r="J3207" s="3">
        <v>0</v>
      </c>
      <c r="K3207" s="3">
        <f t="shared" si="116"/>
        <v>0</v>
      </c>
      <c r="L3207" s="3"/>
      <c r="M3207" s="3">
        <f t="shared" si="117"/>
        <v>0</v>
      </c>
      <c r="O3207" s="5"/>
      <c r="S3207" s="6"/>
    </row>
    <row r="3208" spans="1:19" customFormat="1" x14ac:dyDescent="0.45">
      <c r="A3208">
        <v>602080</v>
      </c>
      <c r="B3208" t="s">
        <v>22393</v>
      </c>
      <c r="C3208" t="s">
        <v>22394</v>
      </c>
      <c r="D3208">
        <v>1</v>
      </c>
      <c r="F3208" s="126"/>
      <c r="G3208" s="7">
        <v>0</v>
      </c>
      <c r="H3208" s="7">
        <v>0</v>
      </c>
      <c r="I3208" s="7">
        <v>0</v>
      </c>
      <c r="J3208" s="7">
        <v>0</v>
      </c>
      <c r="K3208" s="3">
        <f t="shared" si="116"/>
        <v>0</v>
      </c>
      <c r="L3208" s="3"/>
      <c r="M3208" s="3">
        <f t="shared" si="117"/>
        <v>0</v>
      </c>
      <c r="O3208" s="5"/>
      <c r="S3208" s="6"/>
    </row>
    <row r="3209" spans="1:19" customFormat="1" x14ac:dyDescent="0.45">
      <c r="A3209">
        <v>602082</v>
      </c>
      <c r="B3209" t="s">
        <v>22395</v>
      </c>
      <c r="C3209" t="s">
        <v>22396</v>
      </c>
      <c r="D3209">
        <v>0</v>
      </c>
      <c r="E3209" t="s">
        <v>16561</v>
      </c>
      <c r="F3209" s="126"/>
      <c r="G3209" s="7">
        <v>0</v>
      </c>
      <c r="H3209" s="7">
        <v>0</v>
      </c>
      <c r="I3209" s="7">
        <v>0</v>
      </c>
      <c r="J3209" s="7">
        <v>0</v>
      </c>
      <c r="K3209" s="3">
        <f t="shared" si="116"/>
        <v>0</v>
      </c>
      <c r="L3209" s="3"/>
      <c r="M3209" s="3">
        <f t="shared" si="117"/>
        <v>0</v>
      </c>
      <c r="N3209" s="7"/>
      <c r="O3209" s="5"/>
      <c r="S3209" s="6"/>
    </row>
    <row r="3210" spans="1:19" customFormat="1" x14ac:dyDescent="0.45">
      <c r="A3210">
        <v>602199</v>
      </c>
      <c r="B3210" t="s">
        <v>22397</v>
      </c>
      <c r="C3210" t="s">
        <v>22398</v>
      </c>
      <c r="D3210">
        <v>1</v>
      </c>
      <c r="F3210" s="126"/>
      <c r="K3210" s="3">
        <f t="shared" si="116"/>
        <v>0</v>
      </c>
      <c r="L3210" s="3"/>
      <c r="M3210" s="3">
        <f t="shared" si="117"/>
        <v>0</v>
      </c>
      <c r="O3210" s="5"/>
      <c r="S3210" s="6"/>
    </row>
    <row r="3211" spans="1:19" customFormat="1" x14ac:dyDescent="0.45">
      <c r="A3211">
        <v>602237</v>
      </c>
      <c r="B3211" t="s">
        <v>22399</v>
      </c>
      <c r="C3211" t="s">
        <v>22400</v>
      </c>
      <c r="D3211">
        <v>4</v>
      </c>
      <c r="F3211" s="126"/>
      <c r="G3211" s="7">
        <v>0</v>
      </c>
      <c r="H3211" s="7">
        <v>0</v>
      </c>
      <c r="I3211" s="7">
        <v>0</v>
      </c>
      <c r="J3211" s="7">
        <v>0</v>
      </c>
      <c r="K3211" s="3">
        <f t="shared" si="116"/>
        <v>0</v>
      </c>
      <c r="L3211" s="3"/>
      <c r="M3211" s="3">
        <f t="shared" si="117"/>
        <v>0</v>
      </c>
      <c r="O3211" s="5"/>
      <c r="S3211" s="6"/>
    </row>
    <row r="3212" spans="1:19" customFormat="1" x14ac:dyDescent="0.45">
      <c r="A3212">
        <v>602295</v>
      </c>
      <c r="B3212" t="s">
        <v>22401</v>
      </c>
      <c r="C3212" t="s">
        <v>22402</v>
      </c>
      <c r="D3212">
        <v>1</v>
      </c>
      <c r="F3212" s="126"/>
      <c r="G3212" s="7">
        <v>0</v>
      </c>
      <c r="H3212" s="7">
        <v>0</v>
      </c>
      <c r="I3212" s="7">
        <v>0</v>
      </c>
      <c r="J3212" s="7">
        <v>0</v>
      </c>
      <c r="K3212" s="3">
        <f t="shared" si="116"/>
        <v>0</v>
      </c>
      <c r="L3212" s="3"/>
      <c r="M3212" s="3">
        <f t="shared" si="117"/>
        <v>0</v>
      </c>
      <c r="O3212" s="5"/>
      <c r="S3212" s="6"/>
    </row>
    <row r="3213" spans="1:19" customFormat="1" x14ac:dyDescent="0.45">
      <c r="A3213">
        <v>602496</v>
      </c>
      <c r="B3213" t="s">
        <v>22403</v>
      </c>
      <c r="C3213" t="s">
        <v>22404</v>
      </c>
      <c r="D3213">
        <v>3</v>
      </c>
      <c r="F3213" s="126"/>
      <c r="G3213" s="3">
        <v>0</v>
      </c>
      <c r="H3213" s="3">
        <v>0</v>
      </c>
      <c r="I3213" s="3">
        <v>0</v>
      </c>
      <c r="J3213" s="3">
        <v>0</v>
      </c>
      <c r="K3213" s="3">
        <f t="shared" si="116"/>
        <v>0</v>
      </c>
      <c r="L3213" s="3"/>
      <c r="M3213" s="3">
        <f t="shared" si="117"/>
        <v>0</v>
      </c>
      <c r="O3213" s="5"/>
      <c r="S3213" s="6"/>
    </row>
    <row r="3214" spans="1:19" customFormat="1" x14ac:dyDescent="0.45">
      <c r="A3214">
        <v>602550</v>
      </c>
      <c r="B3214" t="s">
        <v>22405</v>
      </c>
      <c r="C3214" t="s">
        <v>22406</v>
      </c>
      <c r="D3214">
        <v>1</v>
      </c>
      <c r="F3214" s="126"/>
      <c r="G3214" s="7">
        <v>0</v>
      </c>
      <c r="H3214" s="7">
        <v>0</v>
      </c>
      <c r="I3214" s="7">
        <v>0</v>
      </c>
      <c r="J3214" s="7">
        <v>0</v>
      </c>
      <c r="K3214" s="3">
        <f t="shared" si="116"/>
        <v>0</v>
      </c>
      <c r="L3214" s="3"/>
      <c r="M3214" s="3">
        <f t="shared" si="117"/>
        <v>0</v>
      </c>
      <c r="O3214" s="5"/>
      <c r="S3214" s="6"/>
    </row>
    <row r="3215" spans="1:19" customFormat="1" x14ac:dyDescent="0.45">
      <c r="A3215">
        <v>602622</v>
      </c>
      <c r="B3215" t="s">
        <v>22407</v>
      </c>
      <c r="C3215" t="s">
        <v>22408</v>
      </c>
      <c r="D3215">
        <v>1</v>
      </c>
      <c r="F3215" s="126"/>
      <c r="G3215" s="7">
        <v>0</v>
      </c>
      <c r="H3215" s="7">
        <v>0</v>
      </c>
      <c r="I3215" s="7">
        <v>0</v>
      </c>
      <c r="J3215" s="7">
        <v>0</v>
      </c>
      <c r="K3215" s="3">
        <f t="shared" si="116"/>
        <v>0</v>
      </c>
      <c r="L3215" s="3"/>
      <c r="M3215" s="3">
        <f t="shared" si="117"/>
        <v>0</v>
      </c>
      <c r="O3215" s="5"/>
      <c r="S3215" s="6"/>
    </row>
    <row r="3216" spans="1:19" customFormat="1" x14ac:dyDescent="0.45">
      <c r="A3216">
        <v>602814</v>
      </c>
      <c r="B3216" t="s">
        <v>22409</v>
      </c>
      <c r="C3216" t="s">
        <v>22410</v>
      </c>
      <c r="D3216">
        <v>1</v>
      </c>
      <c r="F3216" s="126"/>
      <c r="G3216" s="7">
        <v>0</v>
      </c>
      <c r="H3216" s="7">
        <v>0</v>
      </c>
      <c r="I3216" s="7">
        <v>0</v>
      </c>
      <c r="J3216" s="7">
        <v>0</v>
      </c>
      <c r="K3216" s="3">
        <f t="shared" si="116"/>
        <v>0</v>
      </c>
      <c r="L3216" s="3"/>
      <c r="M3216" s="3">
        <f t="shared" si="117"/>
        <v>0</v>
      </c>
      <c r="O3216" s="5"/>
      <c r="S3216" s="6"/>
    </row>
    <row r="3217" spans="1:19" customFormat="1" x14ac:dyDescent="0.45">
      <c r="A3217">
        <v>602846</v>
      </c>
      <c r="B3217" t="s">
        <v>22411</v>
      </c>
      <c r="C3217" t="s">
        <v>16331</v>
      </c>
      <c r="D3217">
        <v>1</v>
      </c>
      <c r="E3217" t="s">
        <v>16331</v>
      </c>
      <c r="F3217" s="126"/>
      <c r="G3217" s="7">
        <v>0</v>
      </c>
      <c r="H3217" s="7">
        <v>0</v>
      </c>
      <c r="I3217" s="7">
        <v>0</v>
      </c>
      <c r="J3217" s="7">
        <v>0</v>
      </c>
      <c r="K3217" s="3">
        <f t="shared" si="116"/>
        <v>0</v>
      </c>
      <c r="L3217" s="3"/>
      <c r="M3217" s="3">
        <f t="shared" si="117"/>
        <v>0</v>
      </c>
      <c r="O3217" s="5"/>
      <c r="S3217" s="6"/>
    </row>
    <row r="3218" spans="1:19" customFormat="1" x14ac:dyDescent="0.45">
      <c r="A3218">
        <v>602944</v>
      </c>
      <c r="B3218" t="s">
        <v>22412</v>
      </c>
      <c r="C3218" t="s">
        <v>16331</v>
      </c>
      <c r="D3218">
        <v>2</v>
      </c>
      <c r="E3218" t="s">
        <v>16331</v>
      </c>
      <c r="F3218" s="126"/>
      <c r="G3218" s="7">
        <v>0</v>
      </c>
      <c r="H3218" s="7">
        <v>0</v>
      </c>
      <c r="I3218" s="7">
        <v>0</v>
      </c>
      <c r="J3218" s="7">
        <v>0</v>
      </c>
      <c r="K3218" s="3">
        <f t="shared" si="116"/>
        <v>0</v>
      </c>
      <c r="L3218" s="3"/>
      <c r="M3218" s="3">
        <f t="shared" si="117"/>
        <v>0</v>
      </c>
      <c r="O3218" s="5"/>
      <c r="S3218" s="6"/>
    </row>
    <row r="3219" spans="1:19" customFormat="1" x14ac:dyDescent="0.45">
      <c r="A3219">
        <v>602954</v>
      </c>
      <c r="B3219" t="s">
        <v>22413</v>
      </c>
      <c r="C3219" t="s">
        <v>16331</v>
      </c>
      <c r="D3219">
        <v>1</v>
      </c>
      <c r="E3219" t="s">
        <v>16331</v>
      </c>
      <c r="F3219" s="126"/>
      <c r="G3219" s="7">
        <v>0</v>
      </c>
      <c r="H3219" s="7">
        <v>0</v>
      </c>
      <c r="I3219" s="7">
        <v>0</v>
      </c>
      <c r="J3219" s="7">
        <v>0</v>
      </c>
      <c r="K3219" s="3">
        <f t="shared" si="116"/>
        <v>0</v>
      </c>
      <c r="L3219" s="3"/>
      <c r="M3219" s="3">
        <f t="shared" si="117"/>
        <v>0</v>
      </c>
      <c r="O3219" s="5"/>
      <c r="S3219" s="6"/>
    </row>
    <row r="3220" spans="1:19" customFormat="1" x14ac:dyDescent="0.45">
      <c r="A3220">
        <v>602997</v>
      </c>
      <c r="B3220" t="s">
        <v>22414</v>
      </c>
      <c r="C3220" t="s">
        <v>16331</v>
      </c>
      <c r="D3220">
        <v>1</v>
      </c>
      <c r="E3220" t="s">
        <v>16331</v>
      </c>
      <c r="F3220" s="126"/>
      <c r="G3220" s="7">
        <v>0</v>
      </c>
      <c r="H3220" s="7">
        <v>0</v>
      </c>
      <c r="I3220" s="7">
        <v>0</v>
      </c>
      <c r="J3220" s="7">
        <v>0</v>
      </c>
      <c r="K3220" s="3">
        <f t="shared" si="116"/>
        <v>0</v>
      </c>
      <c r="L3220" s="3"/>
      <c r="M3220" s="3">
        <f t="shared" si="117"/>
        <v>0</v>
      </c>
      <c r="O3220" s="5"/>
      <c r="S3220" s="6"/>
    </row>
    <row r="3221" spans="1:19" customFormat="1" x14ac:dyDescent="0.45">
      <c r="A3221">
        <v>603065</v>
      </c>
      <c r="B3221" t="s">
        <v>22415</v>
      </c>
      <c r="C3221" t="s">
        <v>22416</v>
      </c>
      <c r="D3221">
        <v>7</v>
      </c>
      <c r="F3221" s="126"/>
      <c r="G3221" s="3">
        <v>0</v>
      </c>
      <c r="H3221" s="3">
        <v>0</v>
      </c>
      <c r="I3221" s="3">
        <v>0</v>
      </c>
      <c r="J3221" s="3">
        <v>0</v>
      </c>
      <c r="K3221" s="3">
        <f t="shared" si="116"/>
        <v>0</v>
      </c>
      <c r="L3221" s="3"/>
      <c r="M3221" s="3">
        <f t="shared" si="117"/>
        <v>0</v>
      </c>
      <c r="O3221" s="5"/>
      <c r="S3221" s="6"/>
    </row>
    <row r="3222" spans="1:19" customFormat="1" x14ac:dyDescent="0.45">
      <c r="A3222">
        <v>603072</v>
      </c>
      <c r="B3222" t="s">
        <v>22417</v>
      </c>
      <c r="C3222" t="s">
        <v>22418</v>
      </c>
      <c r="D3222">
        <v>0</v>
      </c>
      <c r="E3222" t="s">
        <v>16561</v>
      </c>
      <c r="F3222" s="126"/>
      <c r="G3222" s="7">
        <v>0</v>
      </c>
      <c r="H3222" s="7">
        <v>0</v>
      </c>
      <c r="I3222" s="7">
        <v>0</v>
      </c>
      <c r="J3222" s="7">
        <v>0</v>
      </c>
      <c r="K3222" s="3">
        <f t="shared" si="116"/>
        <v>0</v>
      </c>
      <c r="L3222" s="3"/>
      <c r="M3222" s="3">
        <f t="shared" si="117"/>
        <v>0</v>
      </c>
      <c r="N3222" s="7"/>
      <c r="O3222" s="5"/>
      <c r="S3222" s="6"/>
    </row>
    <row r="3223" spans="1:19" customFormat="1" x14ac:dyDescent="0.45">
      <c r="A3223">
        <v>603074</v>
      </c>
      <c r="B3223" t="s">
        <v>22419</v>
      </c>
      <c r="C3223" t="s">
        <v>22420</v>
      </c>
      <c r="D3223">
        <v>1</v>
      </c>
      <c r="F3223" s="126"/>
      <c r="G3223" s="3">
        <v>0</v>
      </c>
      <c r="H3223" s="3">
        <v>0</v>
      </c>
      <c r="I3223" s="3">
        <v>0</v>
      </c>
      <c r="J3223" s="3">
        <v>0</v>
      </c>
      <c r="K3223" s="3">
        <f t="shared" si="116"/>
        <v>0</v>
      </c>
      <c r="L3223" s="3"/>
      <c r="M3223" s="3">
        <f t="shared" si="117"/>
        <v>0</v>
      </c>
      <c r="O3223" s="5"/>
      <c r="S3223" s="6"/>
    </row>
    <row r="3224" spans="1:19" customFormat="1" x14ac:dyDescent="0.45">
      <c r="A3224">
        <v>603185</v>
      </c>
      <c r="B3224" t="s">
        <v>22421</v>
      </c>
      <c r="C3224" t="s">
        <v>16331</v>
      </c>
      <c r="D3224">
        <v>3</v>
      </c>
      <c r="E3224" t="s">
        <v>16331</v>
      </c>
      <c r="F3224" s="126"/>
      <c r="G3224" s="7">
        <v>0</v>
      </c>
      <c r="H3224" s="7">
        <v>0</v>
      </c>
      <c r="I3224" s="7">
        <v>0</v>
      </c>
      <c r="J3224" s="7">
        <v>0</v>
      </c>
      <c r="K3224" s="3">
        <f t="shared" si="116"/>
        <v>0</v>
      </c>
      <c r="L3224" s="3"/>
      <c r="M3224" s="3">
        <f t="shared" si="117"/>
        <v>0</v>
      </c>
      <c r="O3224" s="5"/>
      <c r="S3224" s="6"/>
    </row>
    <row r="3225" spans="1:19" customFormat="1" x14ac:dyDescent="0.45">
      <c r="A3225">
        <v>603187</v>
      </c>
      <c r="B3225" t="s">
        <v>22422</v>
      </c>
      <c r="C3225" t="s">
        <v>22423</v>
      </c>
      <c r="D3225">
        <v>1</v>
      </c>
      <c r="F3225" s="126"/>
      <c r="G3225" s="3">
        <v>0</v>
      </c>
      <c r="H3225" s="3">
        <v>0</v>
      </c>
      <c r="I3225" s="3">
        <v>0</v>
      </c>
      <c r="J3225" s="3">
        <v>0</v>
      </c>
      <c r="K3225" s="3">
        <f t="shared" si="116"/>
        <v>0</v>
      </c>
      <c r="L3225" s="3"/>
      <c r="M3225" s="3">
        <f t="shared" si="117"/>
        <v>0</v>
      </c>
      <c r="O3225" s="5"/>
      <c r="S3225" s="6"/>
    </row>
    <row r="3226" spans="1:19" customFormat="1" x14ac:dyDescent="0.45">
      <c r="A3226">
        <v>603290</v>
      </c>
      <c r="B3226" t="s">
        <v>22424</v>
      </c>
      <c r="C3226" t="s">
        <v>16331</v>
      </c>
      <c r="D3226">
        <v>1</v>
      </c>
      <c r="E3226" t="s">
        <v>16331</v>
      </c>
      <c r="F3226" s="126"/>
      <c r="K3226" s="3">
        <f t="shared" si="116"/>
        <v>0</v>
      </c>
      <c r="L3226" s="3"/>
      <c r="M3226" s="3">
        <f t="shared" si="117"/>
        <v>0</v>
      </c>
      <c r="O3226" s="5"/>
      <c r="S3226" s="6"/>
    </row>
    <row r="3227" spans="1:19" customFormat="1" x14ac:dyDescent="0.45">
      <c r="A3227">
        <v>603319</v>
      </c>
      <c r="B3227" t="s">
        <v>22425</v>
      </c>
      <c r="C3227" t="s">
        <v>16331</v>
      </c>
      <c r="D3227">
        <v>3</v>
      </c>
      <c r="E3227" t="s">
        <v>16331</v>
      </c>
      <c r="F3227" s="126"/>
      <c r="K3227" s="3">
        <f t="shared" si="116"/>
        <v>0</v>
      </c>
      <c r="L3227" s="3"/>
      <c r="M3227" s="3">
        <f t="shared" si="117"/>
        <v>0</v>
      </c>
      <c r="O3227" s="5"/>
      <c r="S3227" s="6"/>
    </row>
    <row r="3228" spans="1:19" customFormat="1" x14ac:dyDescent="0.45">
      <c r="A3228">
        <v>603538</v>
      </c>
      <c r="B3228" t="s">
        <v>22426</v>
      </c>
      <c r="C3228" t="s">
        <v>22427</v>
      </c>
      <c r="D3228">
        <v>2</v>
      </c>
      <c r="F3228" s="126"/>
      <c r="G3228" s="7">
        <v>0</v>
      </c>
      <c r="H3228" s="7">
        <v>0</v>
      </c>
      <c r="I3228" s="7">
        <v>0</v>
      </c>
      <c r="J3228" s="7">
        <v>0</v>
      </c>
      <c r="K3228" s="3">
        <f t="shared" si="116"/>
        <v>0</v>
      </c>
      <c r="L3228" s="3"/>
      <c r="M3228" s="3">
        <f t="shared" si="117"/>
        <v>0</v>
      </c>
      <c r="O3228" s="5"/>
      <c r="S3228" s="6"/>
    </row>
    <row r="3229" spans="1:19" customFormat="1" x14ac:dyDescent="0.45">
      <c r="A3229">
        <v>603598</v>
      </c>
      <c r="B3229" t="s">
        <v>22428</v>
      </c>
      <c r="C3229" t="s">
        <v>16331</v>
      </c>
      <c r="D3229">
        <v>3</v>
      </c>
      <c r="E3229" t="s">
        <v>16331</v>
      </c>
      <c r="F3229" s="126"/>
      <c r="G3229" s="7">
        <v>0</v>
      </c>
      <c r="H3229" s="7">
        <v>0</v>
      </c>
      <c r="I3229" s="7">
        <v>0</v>
      </c>
      <c r="J3229" s="7">
        <v>0</v>
      </c>
      <c r="K3229" s="3">
        <f t="shared" si="116"/>
        <v>0</v>
      </c>
      <c r="L3229" s="3"/>
      <c r="M3229" s="3">
        <f t="shared" si="117"/>
        <v>0</v>
      </c>
      <c r="O3229" s="5"/>
      <c r="S3229" s="6"/>
    </row>
    <row r="3230" spans="1:19" customFormat="1" x14ac:dyDescent="0.45">
      <c r="A3230">
        <v>603651</v>
      </c>
      <c r="B3230" t="s">
        <v>22429</v>
      </c>
      <c r="C3230" t="s">
        <v>22430</v>
      </c>
      <c r="D3230">
        <v>1</v>
      </c>
      <c r="F3230" s="126"/>
      <c r="G3230" s="7">
        <v>0</v>
      </c>
      <c r="H3230" s="7">
        <v>0</v>
      </c>
      <c r="I3230" s="7">
        <v>0</v>
      </c>
      <c r="J3230" s="7">
        <v>0</v>
      </c>
      <c r="K3230" s="3">
        <f t="shared" si="116"/>
        <v>0</v>
      </c>
      <c r="L3230" s="3"/>
      <c r="M3230" s="3">
        <f t="shared" si="117"/>
        <v>0</v>
      </c>
      <c r="O3230" s="5"/>
      <c r="S3230" s="6"/>
    </row>
    <row r="3231" spans="1:19" customFormat="1" x14ac:dyDescent="0.45">
      <c r="A3231">
        <v>603653</v>
      </c>
      <c r="B3231" t="s">
        <v>22431</v>
      </c>
      <c r="C3231" t="s">
        <v>22432</v>
      </c>
      <c r="D3231">
        <v>2</v>
      </c>
      <c r="F3231" s="126"/>
      <c r="G3231" s="19"/>
      <c r="H3231" s="19"/>
      <c r="I3231" s="19"/>
      <c r="J3231" s="19"/>
      <c r="K3231" s="3">
        <f t="shared" si="116"/>
        <v>0</v>
      </c>
      <c r="L3231" s="3"/>
      <c r="M3231" s="3">
        <f t="shared" si="117"/>
        <v>0</v>
      </c>
      <c r="O3231" s="5"/>
      <c r="S3231" s="6"/>
    </row>
    <row r="3232" spans="1:19" customFormat="1" x14ac:dyDescent="0.45">
      <c r="A3232">
        <v>603928</v>
      </c>
      <c r="B3232" t="s">
        <v>22433</v>
      </c>
      <c r="C3232" t="s">
        <v>22434</v>
      </c>
      <c r="D3232">
        <v>2</v>
      </c>
      <c r="F3232" s="126"/>
      <c r="G3232" s="3">
        <v>0</v>
      </c>
      <c r="H3232" s="3">
        <v>0</v>
      </c>
      <c r="I3232" s="3">
        <v>0</v>
      </c>
      <c r="J3232" s="3">
        <v>0</v>
      </c>
      <c r="K3232" s="3">
        <f t="shared" si="116"/>
        <v>0</v>
      </c>
      <c r="L3232" s="3"/>
      <c r="M3232" s="3">
        <f t="shared" si="117"/>
        <v>0</v>
      </c>
      <c r="O3232" s="5"/>
      <c r="S3232" s="6"/>
    </row>
    <row r="3233" spans="1:19" customFormat="1" x14ac:dyDescent="0.45">
      <c r="A3233">
        <v>604178</v>
      </c>
      <c r="B3233" t="s">
        <v>22435</v>
      </c>
      <c r="C3233" t="s">
        <v>22436</v>
      </c>
      <c r="D3233">
        <v>2</v>
      </c>
      <c r="F3233" s="126"/>
      <c r="G3233" s="7">
        <v>0</v>
      </c>
      <c r="H3233" s="7">
        <v>0</v>
      </c>
      <c r="I3233" s="7">
        <v>0</v>
      </c>
      <c r="J3233" s="7">
        <v>0</v>
      </c>
      <c r="K3233" s="3">
        <f t="shared" si="116"/>
        <v>0</v>
      </c>
      <c r="L3233" s="3"/>
      <c r="M3233" s="3">
        <f t="shared" si="117"/>
        <v>0</v>
      </c>
      <c r="O3233" s="5"/>
      <c r="S3233" s="6"/>
    </row>
    <row r="3234" spans="1:19" customFormat="1" x14ac:dyDescent="0.45">
      <c r="A3234">
        <v>604181</v>
      </c>
      <c r="B3234" t="s">
        <v>22437</v>
      </c>
      <c r="C3234" t="s">
        <v>22438</v>
      </c>
      <c r="D3234">
        <v>1</v>
      </c>
      <c r="F3234" s="126"/>
      <c r="G3234" s="7">
        <v>0</v>
      </c>
      <c r="H3234" s="7">
        <v>0</v>
      </c>
      <c r="I3234" s="7">
        <v>0</v>
      </c>
      <c r="J3234" s="7">
        <v>0</v>
      </c>
      <c r="K3234" s="3">
        <f t="shared" ref="K3234:K3297" si="118">SUM(G3234:J3234)</f>
        <v>0</v>
      </c>
      <c r="L3234" s="3"/>
      <c r="M3234" s="3">
        <f t="shared" ref="M3234:M3297" si="119">K3234+F3234</f>
        <v>0</v>
      </c>
      <c r="O3234" s="5"/>
      <c r="S3234" s="6"/>
    </row>
    <row r="3235" spans="1:19" customFormat="1" x14ac:dyDescent="0.45">
      <c r="A3235">
        <v>604182</v>
      </c>
      <c r="B3235" t="s">
        <v>22439</v>
      </c>
      <c r="C3235" s="2" t="s">
        <v>22440</v>
      </c>
      <c r="D3235">
        <v>1</v>
      </c>
      <c r="F3235" s="126"/>
      <c r="G3235" s="3">
        <v>0</v>
      </c>
      <c r="H3235" s="3">
        <v>0</v>
      </c>
      <c r="I3235" s="3">
        <v>0</v>
      </c>
      <c r="J3235" s="3">
        <v>0</v>
      </c>
      <c r="K3235" s="3">
        <f t="shared" si="118"/>
        <v>0</v>
      </c>
      <c r="L3235" s="3"/>
      <c r="M3235" s="3">
        <f t="shared" si="119"/>
        <v>0</v>
      </c>
      <c r="O3235" s="5"/>
      <c r="S3235" s="6"/>
    </row>
    <row r="3236" spans="1:19" customFormat="1" x14ac:dyDescent="0.45">
      <c r="A3236">
        <v>604487</v>
      </c>
      <c r="B3236" t="s">
        <v>22441</v>
      </c>
      <c r="C3236" t="s">
        <v>22442</v>
      </c>
      <c r="D3236">
        <v>4</v>
      </c>
      <c r="F3236" s="126"/>
      <c r="G3236" s="3">
        <v>0</v>
      </c>
      <c r="H3236" s="3">
        <v>0</v>
      </c>
      <c r="I3236" s="3">
        <v>0</v>
      </c>
      <c r="J3236" s="3">
        <v>0</v>
      </c>
      <c r="K3236" s="3">
        <f t="shared" si="118"/>
        <v>0</v>
      </c>
      <c r="L3236" s="3"/>
      <c r="M3236" s="3">
        <f t="shared" si="119"/>
        <v>0</v>
      </c>
      <c r="O3236" s="5"/>
      <c r="S3236" s="6"/>
    </row>
    <row r="3237" spans="1:19" customFormat="1" x14ac:dyDescent="0.45">
      <c r="A3237">
        <v>604523</v>
      </c>
      <c r="B3237" t="s">
        <v>22443</v>
      </c>
      <c r="C3237" t="s">
        <v>16331</v>
      </c>
      <c r="D3237">
        <v>1</v>
      </c>
      <c r="E3237" t="s">
        <v>16331</v>
      </c>
      <c r="F3237" s="126"/>
      <c r="G3237" s="7">
        <v>0</v>
      </c>
      <c r="H3237" s="7">
        <v>0</v>
      </c>
      <c r="I3237" s="7">
        <v>0</v>
      </c>
      <c r="J3237" s="7">
        <v>0</v>
      </c>
      <c r="K3237" s="3">
        <f t="shared" si="118"/>
        <v>0</v>
      </c>
      <c r="L3237" s="3"/>
      <c r="M3237" s="3">
        <f t="shared" si="119"/>
        <v>0</v>
      </c>
      <c r="O3237" s="5"/>
      <c r="S3237" s="6"/>
    </row>
    <row r="3238" spans="1:19" customFormat="1" x14ac:dyDescent="0.45">
      <c r="A3238">
        <v>604534</v>
      </c>
      <c r="B3238" t="s">
        <v>22444</v>
      </c>
      <c r="C3238" t="s">
        <v>22445</v>
      </c>
      <c r="D3238">
        <v>1</v>
      </c>
      <c r="F3238" s="126"/>
      <c r="G3238" s="7">
        <v>0</v>
      </c>
      <c r="H3238" s="7">
        <v>0</v>
      </c>
      <c r="I3238" s="7">
        <v>0</v>
      </c>
      <c r="J3238" s="7">
        <v>0</v>
      </c>
      <c r="K3238" s="3">
        <f t="shared" si="118"/>
        <v>0</v>
      </c>
      <c r="L3238" s="3"/>
      <c r="M3238" s="3">
        <f t="shared" si="119"/>
        <v>0</v>
      </c>
      <c r="O3238" s="5"/>
      <c r="S3238" s="6"/>
    </row>
    <row r="3239" spans="1:19" customFormat="1" x14ac:dyDescent="0.45">
      <c r="A3239">
        <v>604584</v>
      </c>
      <c r="B3239" t="s">
        <v>22446</v>
      </c>
      <c r="C3239" t="s">
        <v>16331</v>
      </c>
      <c r="D3239">
        <v>0</v>
      </c>
      <c r="E3239" t="s">
        <v>16331</v>
      </c>
      <c r="F3239" s="126"/>
      <c r="G3239" s="7">
        <v>0</v>
      </c>
      <c r="H3239" s="7">
        <v>0</v>
      </c>
      <c r="I3239" s="7">
        <v>0</v>
      </c>
      <c r="J3239" s="7">
        <v>0</v>
      </c>
      <c r="K3239" s="3">
        <f t="shared" si="118"/>
        <v>0</v>
      </c>
      <c r="L3239" s="3"/>
      <c r="M3239" s="3">
        <f t="shared" si="119"/>
        <v>0</v>
      </c>
      <c r="O3239" s="5"/>
      <c r="S3239" s="6"/>
    </row>
    <row r="3240" spans="1:19" customFormat="1" x14ac:dyDescent="0.45">
      <c r="A3240">
        <v>604634</v>
      </c>
      <c r="B3240" t="s">
        <v>22447</v>
      </c>
      <c r="C3240" t="s">
        <v>22448</v>
      </c>
      <c r="D3240">
        <v>11</v>
      </c>
      <c r="F3240" s="126"/>
      <c r="K3240" s="3">
        <f t="shared" si="118"/>
        <v>0</v>
      </c>
      <c r="L3240" s="3"/>
      <c r="M3240" s="3">
        <f t="shared" si="119"/>
        <v>0</v>
      </c>
      <c r="O3240" s="5"/>
      <c r="S3240" s="6"/>
    </row>
    <row r="3241" spans="1:19" customFormat="1" x14ac:dyDescent="0.45">
      <c r="A3241">
        <v>604675</v>
      </c>
      <c r="B3241" t="s">
        <v>22449</v>
      </c>
      <c r="C3241" t="s">
        <v>22450</v>
      </c>
      <c r="D3241">
        <v>0</v>
      </c>
      <c r="E3241" t="s">
        <v>16561</v>
      </c>
      <c r="F3241" s="126"/>
      <c r="G3241" s="7">
        <v>0</v>
      </c>
      <c r="H3241" s="7">
        <v>0</v>
      </c>
      <c r="I3241" s="7">
        <v>0</v>
      </c>
      <c r="J3241" s="7">
        <v>0</v>
      </c>
      <c r="K3241" s="3">
        <f t="shared" si="118"/>
        <v>0</v>
      </c>
      <c r="L3241" s="3"/>
      <c r="M3241" s="3">
        <f t="shared" si="119"/>
        <v>0</v>
      </c>
      <c r="N3241" s="7"/>
      <c r="O3241" s="5"/>
      <c r="S3241" s="6"/>
    </row>
    <row r="3242" spans="1:19" customFormat="1" x14ac:dyDescent="0.45">
      <c r="A3242">
        <v>604923</v>
      </c>
      <c r="B3242" t="s">
        <v>22451</v>
      </c>
      <c r="C3242" t="s">
        <v>22452</v>
      </c>
      <c r="D3242">
        <v>3</v>
      </c>
      <c r="F3242" s="126"/>
      <c r="G3242" s="3">
        <v>0</v>
      </c>
      <c r="H3242" s="3">
        <v>0</v>
      </c>
      <c r="I3242" s="3">
        <v>0</v>
      </c>
      <c r="J3242" s="3">
        <v>0</v>
      </c>
      <c r="K3242" s="3">
        <f t="shared" si="118"/>
        <v>0</v>
      </c>
      <c r="L3242" s="3"/>
      <c r="M3242" s="3">
        <f t="shared" si="119"/>
        <v>0</v>
      </c>
      <c r="O3242" s="5"/>
      <c r="S3242" s="6"/>
    </row>
    <row r="3243" spans="1:19" customFormat="1" x14ac:dyDescent="0.45">
      <c r="A3243">
        <v>604928</v>
      </c>
      <c r="B3243" t="s">
        <v>22453</v>
      </c>
      <c r="C3243" t="s">
        <v>22454</v>
      </c>
      <c r="D3243">
        <v>1</v>
      </c>
      <c r="F3243" s="126"/>
      <c r="G3243" s="3">
        <v>0</v>
      </c>
      <c r="H3243" s="3">
        <v>0</v>
      </c>
      <c r="I3243" s="3">
        <v>0</v>
      </c>
      <c r="J3243" s="3">
        <v>0</v>
      </c>
      <c r="K3243" s="3">
        <f t="shared" si="118"/>
        <v>0</v>
      </c>
      <c r="L3243" s="3"/>
      <c r="M3243" s="3">
        <f t="shared" si="119"/>
        <v>0</v>
      </c>
      <c r="O3243" s="5"/>
      <c r="S3243" s="6"/>
    </row>
    <row r="3244" spans="1:19" customFormat="1" x14ac:dyDescent="0.45">
      <c r="A3244">
        <v>604931</v>
      </c>
      <c r="B3244" t="s">
        <v>22455</v>
      </c>
      <c r="C3244" t="s">
        <v>16331</v>
      </c>
      <c r="D3244">
        <v>3</v>
      </c>
      <c r="E3244" t="s">
        <v>16331</v>
      </c>
      <c r="F3244" s="126"/>
      <c r="G3244" s="7">
        <v>0</v>
      </c>
      <c r="H3244" s="7">
        <v>0</v>
      </c>
      <c r="I3244" s="7">
        <v>0</v>
      </c>
      <c r="J3244" s="7">
        <v>0</v>
      </c>
      <c r="K3244" s="3">
        <f t="shared" si="118"/>
        <v>0</v>
      </c>
      <c r="L3244" s="3"/>
      <c r="M3244" s="3">
        <f t="shared" si="119"/>
        <v>0</v>
      </c>
      <c r="O3244" s="5"/>
      <c r="S3244" s="6"/>
    </row>
    <row r="3245" spans="1:19" customFormat="1" x14ac:dyDescent="0.45">
      <c r="A3245">
        <v>604979</v>
      </c>
      <c r="B3245" t="s">
        <v>22456</v>
      </c>
      <c r="C3245" t="s">
        <v>16331</v>
      </c>
      <c r="D3245">
        <v>3</v>
      </c>
      <c r="E3245" t="s">
        <v>16331</v>
      </c>
      <c r="F3245" s="126"/>
      <c r="G3245" s="7">
        <v>0</v>
      </c>
      <c r="H3245" s="7">
        <v>0</v>
      </c>
      <c r="I3245" s="7">
        <v>0</v>
      </c>
      <c r="J3245" s="7">
        <v>0</v>
      </c>
      <c r="K3245" s="3">
        <f t="shared" si="118"/>
        <v>0</v>
      </c>
      <c r="L3245" s="3"/>
      <c r="M3245" s="3">
        <f t="shared" si="119"/>
        <v>0</v>
      </c>
      <c r="O3245" s="5"/>
      <c r="S3245" s="6"/>
    </row>
    <row r="3246" spans="1:19" customFormat="1" x14ac:dyDescent="0.45">
      <c r="A3246">
        <v>604988</v>
      </c>
      <c r="B3246" t="s">
        <v>22457</v>
      </c>
      <c r="C3246" t="s">
        <v>16331</v>
      </c>
      <c r="D3246">
        <v>4</v>
      </c>
      <c r="E3246" t="s">
        <v>16331</v>
      </c>
      <c r="F3246" s="126"/>
      <c r="G3246" s="7">
        <v>0</v>
      </c>
      <c r="H3246" s="7">
        <v>0</v>
      </c>
      <c r="I3246" s="7">
        <v>0</v>
      </c>
      <c r="J3246" s="7">
        <v>0</v>
      </c>
      <c r="K3246" s="3">
        <f t="shared" si="118"/>
        <v>0</v>
      </c>
      <c r="L3246" s="3"/>
      <c r="M3246" s="3">
        <f t="shared" si="119"/>
        <v>0</v>
      </c>
      <c r="O3246" s="5"/>
      <c r="S3246" s="6"/>
    </row>
    <row r="3247" spans="1:19" customFormat="1" x14ac:dyDescent="0.45">
      <c r="A3247">
        <v>605083</v>
      </c>
      <c r="B3247" t="s">
        <v>22458</v>
      </c>
      <c r="C3247" t="s">
        <v>22459</v>
      </c>
      <c r="D3247">
        <v>3</v>
      </c>
      <c r="F3247" s="126"/>
      <c r="G3247" s="7">
        <v>0</v>
      </c>
      <c r="H3247" s="7">
        <v>0</v>
      </c>
      <c r="I3247" s="7">
        <v>0</v>
      </c>
      <c r="J3247" s="7">
        <v>0</v>
      </c>
      <c r="K3247" s="3">
        <f t="shared" si="118"/>
        <v>0</v>
      </c>
      <c r="L3247" s="3"/>
      <c r="M3247" s="3">
        <f t="shared" si="119"/>
        <v>0</v>
      </c>
      <c r="O3247" s="5"/>
      <c r="S3247" s="6"/>
    </row>
    <row r="3248" spans="1:19" customFormat="1" x14ac:dyDescent="0.45">
      <c r="A3248">
        <v>605085</v>
      </c>
      <c r="B3248" t="s">
        <v>22460</v>
      </c>
      <c r="C3248" t="s">
        <v>16331</v>
      </c>
      <c r="D3248">
        <v>1</v>
      </c>
      <c r="E3248" t="s">
        <v>16331</v>
      </c>
      <c r="F3248" s="126"/>
      <c r="G3248" s="7">
        <v>0</v>
      </c>
      <c r="H3248" s="7">
        <v>0</v>
      </c>
      <c r="I3248" s="7">
        <v>0</v>
      </c>
      <c r="J3248" s="7">
        <v>0</v>
      </c>
      <c r="K3248" s="3">
        <f t="shared" si="118"/>
        <v>0</v>
      </c>
      <c r="L3248" s="3"/>
      <c r="M3248" s="3">
        <f t="shared" si="119"/>
        <v>0</v>
      </c>
      <c r="O3248" s="5"/>
      <c r="S3248" s="6"/>
    </row>
    <row r="3249" spans="1:22" x14ac:dyDescent="0.45">
      <c r="A3249" s="124">
        <v>216784</v>
      </c>
      <c r="B3249" s="124" t="s">
        <v>22461</v>
      </c>
      <c r="C3249" s="124" t="s">
        <v>22462</v>
      </c>
      <c r="D3249" s="124">
        <v>22</v>
      </c>
      <c r="E3249" s="124" t="s">
        <v>16334</v>
      </c>
      <c r="F3249" s="126">
        <v>1.6999999999999999E-3</v>
      </c>
      <c r="G3249" s="126">
        <v>0.02</v>
      </c>
      <c r="H3249" s="126">
        <v>7.4999999999999997E-3</v>
      </c>
      <c r="I3249" s="127">
        <v>0</v>
      </c>
      <c r="J3249" s="127">
        <v>0</v>
      </c>
      <c r="K3249" s="126">
        <f t="shared" si="118"/>
        <v>2.75E-2</v>
      </c>
      <c r="L3249" s="3"/>
      <c r="M3249" s="126">
        <f t="shared" si="119"/>
        <v>2.92E-2</v>
      </c>
      <c r="O3249" s="125" t="s">
        <v>22463</v>
      </c>
      <c r="P3249" s="128" t="s">
        <v>26918</v>
      </c>
      <c r="Q3249" s="130">
        <f>1262+1311008</f>
        <v>1312270</v>
      </c>
      <c r="R3249" s="124" t="s">
        <v>16348</v>
      </c>
      <c r="S3249" s="130">
        <v>1195009</v>
      </c>
      <c r="T3249" s="129">
        <f>S3249/Q3249</f>
        <v>0.9106426268984279</v>
      </c>
      <c r="V3249" s="125" t="s">
        <v>22464</v>
      </c>
    </row>
    <row r="3250" spans="1:22" customFormat="1" x14ac:dyDescent="0.45">
      <c r="A3250">
        <v>605096</v>
      </c>
      <c r="B3250" t="s">
        <v>22465</v>
      </c>
      <c r="C3250" t="s">
        <v>22466</v>
      </c>
      <c r="D3250">
        <v>5</v>
      </c>
      <c r="F3250" s="126"/>
      <c r="G3250" s="3">
        <v>0</v>
      </c>
      <c r="H3250" s="3">
        <v>0</v>
      </c>
      <c r="I3250" s="3">
        <v>0</v>
      </c>
      <c r="J3250" s="3">
        <v>0</v>
      </c>
      <c r="K3250" s="3">
        <f t="shared" si="118"/>
        <v>0</v>
      </c>
      <c r="L3250" s="3"/>
      <c r="M3250" s="3">
        <f t="shared" si="119"/>
        <v>0</v>
      </c>
      <c r="O3250" s="5"/>
      <c r="S3250" s="6"/>
    </row>
    <row r="3251" spans="1:22" customFormat="1" x14ac:dyDescent="0.45">
      <c r="A3251">
        <v>605154</v>
      </c>
      <c r="B3251" t="s">
        <v>22467</v>
      </c>
      <c r="C3251" t="s">
        <v>16331</v>
      </c>
      <c r="D3251">
        <v>1</v>
      </c>
      <c r="E3251" t="s">
        <v>16331</v>
      </c>
      <c r="F3251" s="126"/>
      <c r="G3251" s="7">
        <v>0</v>
      </c>
      <c r="H3251" s="7">
        <v>0</v>
      </c>
      <c r="I3251" s="7">
        <v>0</v>
      </c>
      <c r="J3251" s="7">
        <v>0</v>
      </c>
      <c r="K3251" s="3">
        <f t="shared" si="118"/>
        <v>0</v>
      </c>
      <c r="L3251" s="3"/>
      <c r="M3251" s="3">
        <f t="shared" si="119"/>
        <v>0</v>
      </c>
      <c r="O3251" s="5"/>
      <c r="S3251" s="6"/>
    </row>
    <row r="3252" spans="1:22" customFormat="1" x14ac:dyDescent="0.45">
      <c r="A3252">
        <v>605195</v>
      </c>
      <c r="B3252" t="s">
        <v>22468</v>
      </c>
      <c r="C3252" t="s">
        <v>22469</v>
      </c>
      <c r="D3252">
        <v>1</v>
      </c>
      <c r="F3252" s="126"/>
      <c r="J3252">
        <v>0</v>
      </c>
      <c r="K3252" s="3">
        <f t="shared" si="118"/>
        <v>0</v>
      </c>
      <c r="L3252" s="3"/>
      <c r="M3252" s="3">
        <f t="shared" si="119"/>
        <v>0</v>
      </c>
      <c r="O3252" s="5"/>
      <c r="S3252" s="6"/>
    </row>
    <row r="3253" spans="1:22" customFormat="1" x14ac:dyDescent="0.45">
      <c r="A3253">
        <v>605325</v>
      </c>
      <c r="B3253" t="s">
        <v>22470</v>
      </c>
      <c r="C3253" t="s">
        <v>22471</v>
      </c>
      <c r="D3253">
        <v>2</v>
      </c>
      <c r="F3253" s="126"/>
      <c r="G3253" s="7">
        <v>0</v>
      </c>
      <c r="H3253" s="7">
        <v>0</v>
      </c>
      <c r="I3253" s="7">
        <v>0</v>
      </c>
      <c r="J3253" s="7">
        <v>0</v>
      </c>
      <c r="K3253" s="3">
        <f t="shared" si="118"/>
        <v>0</v>
      </c>
      <c r="L3253" s="3"/>
      <c r="M3253" s="3">
        <f t="shared" si="119"/>
        <v>0</v>
      </c>
      <c r="O3253" s="5"/>
      <c r="S3253" s="6"/>
    </row>
    <row r="3254" spans="1:22" customFormat="1" x14ac:dyDescent="0.45">
      <c r="A3254">
        <v>605530</v>
      </c>
      <c r="B3254" t="s">
        <v>22472</v>
      </c>
      <c r="C3254" t="s">
        <v>22473</v>
      </c>
      <c r="D3254">
        <v>0</v>
      </c>
      <c r="E3254" t="s">
        <v>16334</v>
      </c>
      <c r="F3254" s="126"/>
      <c r="G3254" s="3">
        <v>0</v>
      </c>
      <c r="H3254" s="3">
        <v>0</v>
      </c>
      <c r="I3254" s="3">
        <v>0</v>
      </c>
      <c r="J3254" s="3">
        <v>0</v>
      </c>
      <c r="K3254" s="3">
        <f t="shared" si="118"/>
        <v>0</v>
      </c>
      <c r="L3254" s="3"/>
      <c r="M3254" s="3">
        <f t="shared" si="119"/>
        <v>0</v>
      </c>
      <c r="O3254" s="5"/>
      <c r="S3254" s="6"/>
    </row>
    <row r="3255" spans="1:22" customFormat="1" x14ac:dyDescent="0.45">
      <c r="A3255">
        <v>605533</v>
      </c>
      <c r="B3255" t="s">
        <v>22474</v>
      </c>
      <c r="C3255" t="s">
        <v>22475</v>
      </c>
      <c r="D3255">
        <v>2</v>
      </c>
      <c r="F3255" s="126"/>
      <c r="G3255" s="3">
        <v>0</v>
      </c>
      <c r="H3255" s="3">
        <v>0</v>
      </c>
      <c r="I3255" s="3">
        <v>0</v>
      </c>
      <c r="J3255" s="3">
        <v>0</v>
      </c>
      <c r="K3255" s="3">
        <f t="shared" si="118"/>
        <v>0</v>
      </c>
      <c r="L3255" s="3"/>
      <c r="M3255" s="3">
        <f t="shared" si="119"/>
        <v>0</v>
      </c>
      <c r="O3255" s="5"/>
      <c r="S3255" s="6"/>
    </row>
    <row r="3256" spans="1:22" customFormat="1" x14ac:dyDescent="0.45">
      <c r="A3256">
        <v>605566</v>
      </c>
      <c r="B3256" t="s">
        <v>22476</v>
      </c>
      <c r="C3256" t="s">
        <v>22477</v>
      </c>
      <c r="D3256">
        <v>1</v>
      </c>
      <c r="F3256" s="126"/>
      <c r="G3256" s="7">
        <v>0</v>
      </c>
      <c r="H3256" s="7">
        <v>0</v>
      </c>
      <c r="I3256" s="7">
        <v>0</v>
      </c>
      <c r="J3256" s="7">
        <v>0</v>
      </c>
      <c r="K3256" s="3">
        <f t="shared" si="118"/>
        <v>0</v>
      </c>
      <c r="L3256" s="3"/>
      <c r="M3256" s="3">
        <f t="shared" si="119"/>
        <v>0</v>
      </c>
      <c r="N3256" s="7"/>
      <c r="O3256" s="5"/>
      <c r="S3256" s="6"/>
    </row>
    <row r="3257" spans="1:22" customFormat="1" x14ac:dyDescent="0.45">
      <c r="A3257">
        <v>605630</v>
      </c>
      <c r="B3257" t="s">
        <v>22478</v>
      </c>
      <c r="C3257" t="s">
        <v>16331</v>
      </c>
      <c r="D3257">
        <v>5</v>
      </c>
      <c r="E3257" t="s">
        <v>16331</v>
      </c>
      <c r="F3257" s="126"/>
      <c r="K3257" s="3">
        <f t="shared" si="118"/>
        <v>0</v>
      </c>
      <c r="L3257" s="3"/>
      <c r="M3257" s="3">
        <f t="shared" si="119"/>
        <v>0</v>
      </c>
      <c r="O3257" s="5"/>
      <c r="S3257" s="6"/>
    </row>
    <row r="3258" spans="1:22" customFormat="1" x14ac:dyDescent="0.45">
      <c r="A3258">
        <v>605658</v>
      </c>
      <c r="B3258" t="s">
        <v>22479</v>
      </c>
      <c r="C3258" t="s">
        <v>16331</v>
      </c>
      <c r="D3258">
        <v>1</v>
      </c>
      <c r="E3258" t="s">
        <v>16331</v>
      </c>
      <c r="F3258" s="126"/>
      <c r="G3258" s="7">
        <v>0</v>
      </c>
      <c r="H3258" s="7">
        <v>0</v>
      </c>
      <c r="I3258" s="7">
        <v>0</v>
      </c>
      <c r="J3258" s="7">
        <v>0</v>
      </c>
      <c r="K3258" s="3">
        <f t="shared" si="118"/>
        <v>0</v>
      </c>
      <c r="L3258" s="3"/>
      <c r="M3258" s="3">
        <f t="shared" si="119"/>
        <v>0</v>
      </c>
      <c r="O3258" s="5"/>
      <c r="S3258" s="6"/>
    </row>
    <row r="3259" spans="1:22" customFormat="1" x14ac:dyDescent="0.45">
      <c r="A3259">
        <v>605724</v>
      </c>
      <c r="B3259" t="s">
        <v>22480</v>
      </c>
      <c r="C3259" t="s">
        <v>16331</v>
      </c>
      <c r="D3259">
        <v>1</v>
      </c>
      <c r="E3259" t="s">
        <v>16331</v>
      </c>
      <c r="F3259" s="126"/>
      <c r="K3259" s="3">
        <f t="shared" si="118"/>
        <v>0</v>
      </c>
      <c r="L3259" s="3"/>
      <c r="M3259" s="3">
        <f t="shared" si="119"/>
        <v>0</v>
      </c>
      <c r="O3259" s="5"/>
      <c r="S3259" s="6"/>
    </row>
    <row r="3260" spans="1:22" customFormat="1" x14ac:dyDescent="0.45">
      <c r="A3260">
        <v>605728</v>
      </c>
      <c r="B3260" t="s">
        <v>22481</v>
      </c>
      <c r="C3260" t="s">
        <v>16331</v>
      </c>
      <c r="D3260">
        <v>1</v>
      </c>
      <c r="E3260" t="s">
        <v>16331</v>
      </c>
      <c r="F3260" s="126"/>
      <c r="G3260" s="7">
        <v>0</v>
      </c>
      <c r="H3260" s="7">
        <v>0</v>
      </c>
      <c r="I3260" s="7">
        <v>0</v>
      </c>
      <c r="J3260" s="7">
        <v>0</v>
      </c>
      <c r="K3260" s="3">
        <f t="shared" si="118"/>
        <v>0</v>
      </c>
      <c r="L3260" s="3"/>
      <c r="M3260" s="3">
        <f t="shared" si="119"/>
        <v>0</v>
      </c>
      <c r="O3260" s="5"/>
      <c r="S3260" s="6"/>
    </row>
    <row r="3261" spans="1:22" customFormat="1" x14ac:dyDescent="0.45">
      <c r="A3261">
        <v>605767</v>
      </c>
      <c r="B3261" t="s">
        <v>22482</v>
      </c>
      <c r="C3261" t="s">
        <v>22483</v>
      </c>
      <c r="D3261">
        <v>1</v>
      </c>
      <c r="F3261" s="126"/>
      <c r="G3261" s="7">
        <v>0</v>
      </c>
      <c r="H3261" s="7">
        <v>0</v>
      </c>
      <c r="I3261" s="7">
        <v>0</v>
      </c>
      <c r="J3261" s="7">
        <v>0</v>
      </c>
      <c r="K3261" s="3">
        <f t="shared" si="118"/>
        <v>0</v>
      </c>
      <c r="L3261" s="3"/>
      <c r="M3261" s="3">
        <f t="shared" si="119"/>
        <v>0</v>
      </c>
      <c r="O3261" s="5"/>
      <c r="S3261" s="6"/>
    </row>
    <row r="3262" spans="1:22" customFormat="1" x14ac:dyDescent="0.45">
      <c r="A3262">
        <v>605774</v>
      </c>
      <c r="B3262" t="s">
        <v>22484</v>
      </c>
      <c r="C3262" t="s">
        <v>22485</v>
      </c>
      <c r="D3262">
        <v>4</v>
      </c>
      <c r="F3262" s="126"/>
      <c r="G3262" s="3">
        <v>0</v>
      </c>
      <c r="H3262" s="3">
        <v>0</v>
      </c>
      <c r="I3262" s="3">
        <v>0</v>
      </c>
      <c r="J3262" s="3">
        <v>0</v>
      </c>
      <c r="K3262" s="3">
        <f t="shared" si="118"/>
        <v>0</v>
      </c>
      <c r="L3262" s="3"/>
      <c r="M3262" s="3">
        <f t="shared" si="119"/>
        <v>0</v>
      </c>
      <c r="O3262" s="5"/>
      <c r="S3262" s="6"/>
    </row>
    <row r="3263" spans="1:22" customFormat="1" x14ac:dyDescent="0.45">
      <c r="A3263">
        <v>605775</v>
      </c>
      <c r="B3263" t="s">
        <v>22486</v>
      </c>
      <c r="C3263" t="s">
        <v>16331</v>
      </c>
      <c r="D3263">
        <v>1</v>
      </c>
      <c r="E3263" t="s">
        <v>16331</v>
      </c>
      <c r="F3263" s="126"/>
      <c r="G3263" s="7">
        <v>0</v>
      </c>
      <c r="H3263" s="7">
        <v>0</v>
      </c>
      <c r="I3263" s="7">
        <v>0</v>
      </c>
      <c r="J3263" s="7">
        <v>0</v>
      </c>
      <c r="K3263" s="3">
        <f t="shared" si="118"/>
        <v>0</v>
      </c>
      <c r="L3263" s="3"/>
      <c r="M3263" s="3">
        <f t="shared" si="119"/>
        <v>0</v>
      </c>
      <c r="O3263" s="5"/>
      <c r="S3263" s="6"/>
    </row>
    <row r="3264" spans="1:22" customFormat="1" x14ac:dyDescent="0.45">
      <c r="A3264">
        <v>605885</v>
      </c>
      <c r="B3264" t="s">
        <v>22487</v>
      </c>
      <c r="C3264" t="s">
        <v>22488</v>
      </c>
      <c r="D3264">
        <v>1</v>
      </c>
      <c r="F3264" s="126"/>
      <c r="G3264" s="3">
        <v>0</v>
      </c>
      <c r="H3264" s="3">
        <v>0</v>
      </c>
      <c r="I3264" s="3">
        <v>0</v>
      </c>
      <c r="J3264" s="3">
        <v>0</v>
      </c>
      <c r="K3264" s="3">
        <f t="shared" si="118"/>
        <v>0</v>
      </c>
      <c r="L3264" s="3"/>
      <c r="M3264" s="3">
        <f t="shared" si="119"/>
        <v>0</v>
      </c>
      <c r="O3264" s="5"/>
      <c r="S3264" s="6"/>
    </row>
    <row r="3265" spans="1:22" x14ac:dyDescent="0.45">
      <c r="A3265" s="124">
        <v>190659</v>
      </c>
      <c r="B3265" s="124" t="s">
        <v>22489</v>
      </c>
      <c r="C3265" s="125" t="s">
        <v>22490</v>
      </c>
      <c r="D3265" s="124">
        <v>2</v>
      </c>
      <c r="E3265" s="124" t="s">
        <v>16334</v>
      </c>
      <c r="F3265" s="126">
        <v>1.6999999999999999E-3</v>
      </c>
      <c r="I3265" s="127">
        <f>(((3%*50000)+(2%*50000)))/100000</f>
        <v>2.5000000000000001E-2</v>
      </c>
      <c r="J3265" s="127">
        <v>5.0000000000000001E-3</v>
      </c>
      <c r="K3265" s="126">
        <f t="shared" si="118"/>
        <v>3.0000000000000002E-2</v>
      </c>
      <c r="L3265" s="3"/>
      <c r="M3265" s="126">
        <f t="shared" si="119"/>
        <v>3.1699999999999999E-2</v>
      </c>
      <c r="O3265" s="125" t="s">
        <v>22491</v>
      </c>
      <c r="P3265" s="128" t="s">
        <v>26918</v>
      </c>
      <c r="Q3265" s="130">
        <f>411920+66646</f>
        <v>478566</v>
      </c>
      <c r="R3265" s="124" t="s">
        <v>16348</v>
      </c>
      <c r="S3265" s="130">
        <v>330546</v>
      </c>
      <c r="T3265" s="129">
        <f>S3265/Q3265</f>
        <v>0.69070096914532164</v>
      </c>
      <c r="V3265" s="125" t="s">
        <v>22492</v>
      </c>
    </row>
    <row r="3266" spans="1:22" customFormat="1" x14ac:dyDescent="0.45">
      <c r="A3266">
        <v>605914</v>
      </c>
      <c r="B3266" t="s">
        <v>22493</v>
      </c>
      <c r="C3266" t="s">
        <v>16331</v>
      </c>
      <c r="D3266">
        <v>1</v>
      </c>
      <c r="E3266" t="s">
        <v>16331</v>
      </c>
      <c r="F3266" s="126"/>
      <c r="G3266" s="7">
        <v>0</v>
      </c>
      <c r="H3266" s="7">
        <v>0</v>
      </c>
      <c r="I3266" s="7">
        <v>0</v>
      </c>
      <c r="J3266" s="7">
        <v>0</v>
      </c>
      <c r="K3266" s="3">
        <f t="shared" si="118"/>
        <v>0</v>
      </c>
      <c r="L3266" s="3"/>
      <c r="M3266" s="3">
        <f t="shared" si="119"/>
        <v>0</v>
      </c>
      <c r="O3266" s="5"/>
      <c r="S3266" s="6"/>
    </row>
    <row r="3267" spans="1:22" customFormat="1" x14ac:dyDescent="0.45">
      <c r="A3267">
        <v>605977</v>
      </c>
      <c r="B3267" t="s">
        <v>22494</v>
      </c>
      <c r="C3267" s="2" t="s">
        <v>22495</v>
      </c>
      <c r="D3267">
        <v>24</v>
      </c>
      <c r="F3267" s="126"/>
      <c r="G3267" s="7">
        <v>0</v>
      </c>
      <c r="H3267" s="7">
        <v>0</v>
      </c>
      <c r="I3267" s="7">
        <v>0</v>
      </c>
      <c r="J3267" s="7">
        <v>0</v>
      </c>
      <c r="K3267" s="3">
        <f t="shared" si="118"/>
        <v>0</v>
      </c>
      <c r="L3267" s="3"/>
      <c r="M3267" s="3">
        <f t="shared" si="119"/>
        <v>0</v>
      </c>
      <c r="N3267" s="7"/>
      <c r="O3267" s="5"/>
      <c r="S3267" s="6"/>
    </row>
    <row r="3268" spans="1:22" customFormat="1" x14ac:dyDescent="0.45">
      <c r="A3268">
        <v>605985</v>
      </c>
      <c r="B3268" t="s">
        <v>22496</v>
      </c>
      <c r="C3268" t="s">
        <v>22497</v>
      </c>
      <c r="D3268">
        <v>56</v>
      </c>
      <c r="E3268" t="s">
        <v>16334</v>
      </c>
      <c r="F3268" s="126"/>
      <c r="G3268" s="3">
        <v>0</v>
      </c>
      <c r="H3268" s="3">
        <v>0</v>
      </c>
      <c r="I3268" s="3">
        <v>0</v>
      </c>
      <c r="J3268" s="3">
        <v>0</v>
      </c>
      <c r="K3268" s="3">
        <f t="shared" si="118"/>
        <v>0</v>
      </c>
      <c r="L3268" s="3"/>
      <c r="M3268" s="3">
        <f t="shared" si="119"/>
        <v>0</v>
      </c>
      <c r="O3268" s="5"/>
      <c r="S3268" s="6"/>
    </row>
    <row r="3269" spans="1:22" customFormat="1" x14ac:dyDescent="0.45">
      <c r="A3269">
        <v>605986</v>
      </c>
      <c r="B3269" t="s">
        <v>22498</v>
      </c>
      <c r="C3269" t="s">
        <v>16331</v>
      </c>
      <c r="D3269">
        <v>1</v>
      </c>
      <c r="E3269" t="s">
        <v>16331</v>
      </c>
      <c r="F3269" s="126"/>
      <c r="K3269" s="3">
        <f t="shared" si="118"/>
        <v>0</v>
      </c>
      <c r="L3269" s="3"/>
      <c r="M3269" s="3">
        <f t="shared" si="119"/>
        <v>0</v>
      </c>
      <c r="O3269" s="5"/>
      <c r="S3269" s="6"/>
    </row>
    <row r="3270" spans="1:22" customFormat="1" x14ac:dyDescent="0.45">
      <c r="A3270">
        <v>605987</v>
      </c>
      <c r="B3270" t="s">
        <v>22499</v>
      </c>
      <c r="C3270" t="s">
        <v>16331</v>
      </c>
      <c r="D3270">
        <v>1</v>
      </c>
      <c r="E3270" t="s">
        <v>16331</v>
      </c>
      <c r="F3270" s="126"/>
      <c r="G3270" s="7">
        <v>0</v>
      </c>
      <c r="H3270" s="7">
        <v>0</v>
      </c>
      <c r="I3270" s="7">
        <v>0</v>
      </c>
      <c r="J3270" s="7">
        <v>0</v>
      </c>
      <c r="K3270" s="3">
        <f t="shared" si="118"/>
        <v>0</v>
      </c>
      <c r="L3270" s="3"/>
      <c r="M3270" s="3">
        <f t="shared" si="119"/>
        <v>0</v>
      </c>
      <c r="O3270" s="5"/>
      <c r="S3270" s="6"/>
    </row>
    <row r="3271" spans="1:22" customFormat="1" x14ac:dyDescent="0.45">
      <c r="A3271">
        <v>606102</v>
      </c>
      <c r="B3271" t="s">
        <v>22500</v>
      </c>
      <c r="C3271" t="s">
        <v>16331</v>
      </c>
      <c r="D3271">
        <v>1</v>
      </c>
      <c r="E3271" t="s">
        <v>16331</v>
      </c>
      <c r="F3271" s="126"/>
      <c r="G3271" s="7">
        <v>0</v>
      </c>
      <c r="H3271" s="7">
        <v>0</v>
      </c>
      <c r="I3271" s="7">
        <v>0</v>
      </c>
      <c r="J3271" s="7">
        <v>0</v>
      </c>
      <c r="K3271" s="3">
        <f t="shared" si="118"/>
        <v>0</v>
      </c>
      <c r="L3271" s="3"/>
      <c r="M3271" s="3">
        <f t="shared" si="119"/>
        <v>0</v>
      </c>
      <c r="O3271" s="5"/>
      <c r="S3271" s="6"/>
    </row>
    <row r="3272" spans="1:22" customFormat="1" x14ac:dyDescent="0.45">
      <c r="A3272">
        <v>606147</v>
      </c>
      <c r="B3272" t="s">
        <v>22501</v>
      </c>
      <c r="C3272" t="s">
        <v>22502</v>
      </c>
      <c r="D3272">
        <v>1</v>
      </c>
      <c r="F3272" s="126"/>
      <c r="G3272" s="3">
        <v>0</v>
      </c>
      <c r="H3272" s="3">
        <v>0</v>
      </c>
      <c r="I3272" s="3">
        <v>0</v>
      </c>
      <c r="J3272" s="3">
        <v>0</v>
      </c>
      <c r="K3272" s="3">
        <f t="shared" si="118"/>
        <v>0</v>
      </c>
      <c r="L3272" s="3"/>
      <c r="M3272" s="3">
        <f t="shared" si="119"/>
        <v>0</v>
      </c>
      <c r="O3272" s="5"/>
      <c r="S3272" s="6"/>
    </row>
    <row r="3273" spans="1:22" customFormat="1" x14ac:dyDescent="0.45">
      <c r="A3273">
        <v>606155</v>
      </c>
      <c r="B3273" t="s">
        <v>22503</v>
      </c>
      <c r="C3273" t="s">
        <v>22504</v>
      </c>
      <c r="D3273">
        <v>3</v>
      </c>
      <c r="F3273" s="126"/>
      <c r="G3273" s="3">
        <v>0</v>
      </c>
      <c r="H3273" s="3">
        <v>0</v>
      </c>
      <c r="I3273" s="3">
        <v>0</v>
      </c>
      <c r="J3273" s="3">
        <v>0</v>
      </c>
      <c r="K3273" s="3">
        <f t="shared" si="118"/>
        <v>0</v>
      </c>
      <c r="L3273" s="3"/>
      <c r="M3273" s="3">
        <f t="shared" si="119"/>
        <v>0</v>
      </c>
      <c r="O3273" s="5"/>
      <c r="S3273" s="6"/>
    </row>
    <row r="3274" spans="1:22" customFormat="1" x14ac:dyDescent="0.45">
      <c r="A3274">
        <v>606279</v>
      </c>
      <c r="B3274" t="s">
        <v>22505</v>
      </c>
      <c r="C3274" t="s">
        <v>22506</v>
      </c>
      <c r="D3274">
        <v>6</v>
      </c>
      <c r="F3274" s="126"/>
      <c r="G3274" s="7">
        <v>0</v>
      </c>
      <c r="H3274" s="7">
        <v>0</v>
      </c>
      <c r="I3274" s="7">
        <v>0</v>
      </c>
      <c r="J3274" s="7">
        <v>0</v>
      </c>
      <c r="K3274" s="3">
        <f t="shared" si="118"/>
        <v>0</v>
      </c>
      <c r="L3274" s="3"/>
      <c r="M3274" s="3">
        <f t="shared" si="119"/>
        <v>0</v>
      </c>
      <c r="O3274" s="5"/>
      <c r="S3274" s="6"/>
    </row>
    <row r="3275" spans="1:22" customFormat="1" x14ac:dyDescent="0.45">
      <c r="A3275">
        <v>606307</v>
      </c>
      <c r="B3275" t="s">
        <v>22507</v>
      </c>
      <c r="C3275" t="s">
        <v>16331</v>
      </c>
      <c r="D3275">
        <v>2</v>
      </c>
      <c r="E3275" t="s">
        <v>16331</v>
      </c>
      <c r="F3275" s="126"/>
      <c r="G3275" s="7">
        <v>0</v>
      </c>
      <c r="H3275" s="7">
        <v>0</v>
      </c>
      <c r="I3275" s="7">
        <v>0</v>
      </c>
      <c r="J3275" s="7">
        <v>0</v>
      </c>
      <c r="K3275" s="3">
        <f t="shared" si="118"/>
        <v>0</v>
      </c>
      <c r="L3275" s="3"/>
      <c r="M3275" s="3">
        <f t="shared" si="119"/>
        <v>0</v>
      </c>
      <c r="O3275" s="5"/>
      <c r="S3275" s="6"/>
    </row>
    <row r="3276" spans="1:22" customFormat="1" x14ac:dyDescent="0.45">
      <c r="A3276">
        <v>606549</v>
      </c>
      <c r="B3276" t="s">
        <v>22508</v>
      </c>
      <c r="C3276" t="s">
        <v>22509</v>
      </c>
      <c r="D3276">
        <v>2</v>
      </c>
      <c r="F3276" s="126"/>
      <c r="G3276" s="7">
        <v>0</v>
      </c>
      <c r="H3276" s="7">
        <v>0</v>
      </c>
      <c r="I3276" s="7">
        <v>0</v>
      </c>
      <c r="J3276" s="7">
        <v>0</v>
      </c>
      <c r="K3276" s="3">
        <f t="shared" si="118"/>
        <v>0</v>
      </c>
      <c r="L3276" s="3"/>
      <c r="M3276" s="3">
        <f t="shared" si="119"/>
        <v>0</v>
      </c>
      <c r="O3276" s="5"/>
      <c r="S3276" s="6"/>
    </row>
    <row r="3277" spans="1:22" customFormat="1" x14ac:dyDescent="0.45">
      <c r="A3277">
        <v>606555</v>
      </c>
      <c r="B3277" t="s">
        <v>22510</v>
      </c>
      <c r="C3277" t="s">
        <v>22511</v>
      </c>
      <c r="D3277">
        <v>2</v>
      </c>
      <c r="F3277" s="126"/>
      <c r="G3277" s="7">
        <v>0</v>
      </c>
      <c r="H3277" s="7">
        <v>0</v>
      </c>
      <c r="I3277" s="7">
        <v>0</v>
      </c>
      <c r="J3277" s="7">
        <v>0</v>
      </c>
      <c r="K3277" s="3">
        <f t="shared" si="118"/>
        <v>0</v>
      </c>
      <c r="L3277" s="3"/>
      <c r="M3277" s="3">
        <f t="shared" si="119"/>
        <v>0</v>
      </c>
      <c r="O3277" s="5"/>
      <c r="S3277" s="6"/>
    </row>
    <row r="3278" spans="1:22" customFormat="1" x14ac:dyDescent="0.45">
      <c r="A3278">
        <v>606559</v>
      </c>
      <c r="B3278" t="s">
        <v>22512</v>
      </c>
      <c r="C3278" t="s">
        <v>22513</v>
      </c>
      <c r="D3278">
        <v>3</v>
      </c>
      <c r="F3278" s="126"/>
      <c r="G3278" s="7">
        <v>0</v>
      </c>
      <c r="H3278" s="7">
        <v>0</v>
      </c>
      <c r="I3278" s="7">
        <v>0</v>
      </c>
      <c r="J3278" s="7">
        <v>0</v>
      </c>
      <c r="K3278" s="3">
        <f t="shared" si="118"/>
        <v>0</v>
      </c>
      <c r="L3278" s="3"/>
      <c r="M3278" s="3">
        <f t="shared" si="119"/>
        <v>0</v>
      </c>
      <c r="O3278" s="5"/>
      <c r="S3278" s="6"/>
    </row>
    <row r="3279" spans="1:22" customFormat="1" x14ac:dyDescent="0.45">
      <c r="A3279">
        <v>606575</v>
      </c>
      <c r="B3279" t="s">
        <v>22514</v>
      </c>
      <c r="C3279" t="s">
        <v>16331</v>
      </c>
      <c r="D3279">
        <v>1</v>
      </c>
      <c r="E3279" t="s">
        <v>16331</v>
      </c>
      <c r="F3279" s="126"/>
      <c r="K3279" s="3">
        <f t="shared" si="118"/>
        <v>0</v>
      </c>
      <c r="L3279" s="3"/>
      <c r="M3279" s="3">
        <f t="shared" si="119"/>
        <v>0</v>
      </c>
      <c r="O3279" s="5"/>
      <c r="S3279" s="6"/>
    </row>
    <row r="3280" spans="1:22" customFormat="1" x14ac:dyDescent="0.45">
      <c r="A3280">
        <v>606578</v>
      </c>
      <c r="B3280" t="s">
        <v>22515</v>
      </c>
      <c r="C3280" t="s">
        <v>22516</v>
      </c>
      <c r="D3280">
        <v>2</v>
      </c>
      <c r="F3280" s="126"/>
      <c r="G3280" s="7">
        <v>0</v>
      </c>
      <c r="H3280" s="7">
        <v>0</v>
      </c>
      <c r="I3280" s="7">
        <v>0</v>
      </c>
      <c r="J3280" s="7">
        <v>0</v>
      </c>
      <c r="K3280" s="3">
        <f t="shared" si="118"/>
        <v>0</v>
      </c>
      <c r="L3280" s="3"/>
      <c r="M3280" s="3">
        <f t="shared" si="119"/>
        <v>0</v>
      </c>
      <c r="O3280" s="5"/>
      <c r="S3280" s="6"/>
    </row>
    <row r="3281" spans="1:24" customFormat="1" x14ac:dyDescent="0.45">
      <c r="A3281">
        <v>606600</v>
      </c>
      <c r="B3281" t="s">
        <v>22517</v>
      </c>
      <c r="C3281" t="s">
        <v>16331</v>
      </c>
      <c r="D3281">
        <v>2</v>
      </c>
      <c r="E3281" t="s">
        <v>16331</v>
      </c>
      <c r="F3281" s="126"/>
      <c r="G3281" s="7">
        <v>0</v>
      </c>
      <c r="H3281" s="7">
        <v>0</v>
      </c>
      <c r="I3281" s="7">
        <v>0</v>
      </c>
      <c r="J3281" s="7">
        <v>0</v>
      </c>
      <c r="K3281" s="3">
        <f t="shared" si="118"/>
        <v>0</v>
      </c>
      <c r="L3281" s="3"/>
      <c r="M3281" s="3">
        <f t="shared" si="119"/>
        <v>0</v>
      </c>
      <c r="O3281" s="5"/>
      <c r="S3281" s="6"/>
    </row>
    <row r="3282" spans="1:24" customFormat="1" x14ac:dyDescent="0.45">
      <c r="A3282">
        <v>606610</v>
      </c>
      <c r="B3282" t="s">
        <v>22518</v>
      </c>
      <c r="C3282" t="s">
        <v>22519</v>
      </c>
      <c r="D3282">
        <v>1</v>
      </c>
      <c r="F3282" s="126"/>
      <c r="G3282" s="7">
        <v>0</v>
      </c>
      <c r="H3282" s="7">
        <v>0</v>
      </c>
      <c r="I3282" s="7">
        <v>0</v>
      </c>
      <c r="J3282" s="7">
        <v>0</v>
      </c>
      <c r="K3282" s="3">
        <f t="shared" si="118"/>
        <v>0</v>
      </c>
      <c r="L3282" s="3"/>
      <c r="M3282" s="3">
        <f t="shared" si="119"/>
        <v>0</v>
      </c>
      <c r="O3282" s="5"/>
      <c r="S3282" s="6"/>
    </row>
    <row r="3283" spans="1:24" customFormat="1" x14ac:dyDescent="0.45">
      <c r="A3283">
        <v>606614</v>
      </c>
      <c r="B3283" t="s">
        <v>22520</v>
      </c>
      <c r="C3283" t="s">
        <v>17281</v>
      </c>
      <c r="D3283">
        <v>7</v>
      </c>
      <c r="F3283" s="126"/>
      <c r="G3283" s="7">
        <v>0</v>
      </c>
      <c r="H3283" s="7">
        <v>0</v>
      </c>
      <c r="I3283" s="7">
        <v>0</v>
      </c>
      <c r="J3283" s="7">
        <v>0</v>
      </c>
      <c r="K3283" s="3">
        <f t="shared" si="118"/>
        <v>0</v>
      </c>
      <c r="L3283" s="3"/>
      <c r="M3283" s="3">
        <f t="shared" si="119"/>
        <v>0</v>
      </c>
      <c r="O3283" s="5"/>
      <c r="S3283" s="6"/>
    </row>
    <row r="3284" spans="1:24" customFormat="1" x14ac:dyDescent="0.45">
      <c r="A3284">
        <v>606773</v>
      </c>
      <c r="B3284" t="s">
        <v>22521</v>
      </c>
      <c r="C3284" t="s">
        <v>22522</v>
      </c>
      <c r="D3284">
        <v>1</v>
      </c>
      <c r="F3284" s="126"/>
      <c r="G3284" s="7">
        <v>0</v>
      </c>
      <c r="H3284" s="7">
        <v>0</v>
      </c>
      <c r="I3284" s="7">
        <v>0</v>
      </c>
      <c r="J3284" s="7">
        <v>0</v>
      </c>
      <c r="K3284" s="3">
        <f t="shared" si="118"/>
        <v>0</v>
      </c>
      <c r="L3284" s="3"/>
      <c r="M3284" s="3">
        <f t="shared" si="119"/>
        <v>0</v>
      </c>
      <c r="O3284" s="5"/>
      <c r="S3284" s="6"/>
    </row>
    <row r="3285" spans="1:24" customFormat="1" x14ac:dyDescent="0.45">
      <c r="A3285">
        <v>606805</v>
      </c>
      <c r="B3285" t="s">
        <v>22523</v>
      </c>
      <c r="C3285" t="s">
        <v>16331</v>
      </c>
      <c r="D3285">
        <v>3</v>
      </c>
      <c r="E3285" t="s">
        <v>16331</v>
      </c>
      <c r="F3285" s="126"/>
      <c r="K3285" s="3">
        <f t="shared" si="118"/>
        <v>0</v>
      </c>
      <c r="L3285" s="3"/>
      <c r="M3285" s="3">
        <f t="shared" si="119"/>
        <v>0</v>
      </c>
      <c r="O3285" s="5"/>
      <c r="S3285" s="6"/>
    </row>
    <row r="3286" spans="1:24" customFormat="1" x14ac:dyDescent="0.45">
      <c r="A3286">
        <v>606836</v>
      </c>
      <c r="B3286" t="s">
        <v>22524</v>
      </c>
      <c r="C3286" t="s">
        <v>16331</v>
      </c>
      <c r="D3286">
        <v>1</v>
      </c>
      <c r="E3286" t="s">
        <v>16331</v>
      </c>
      <c r="F3286" s="126"/>
      <c r="K3286" s="3">
        <f t="shared" si="118"/>
        <v>0</v>
      </c>
      <c r="L3286" s="3"/>
      <c r="M3286" s="3">
        <f t="shared" si="119"/>
        <v>0</v>
      </c>
      <c r="O3286" s="5"/>
      <c r="S3286" s="6"/>
    </row>
    <row r="3287" spans="1:24" x14ac:dyDescent="0.45">
      <c r="A3287" s="124">
        <v>527444</v>
      </c>
      <c r="B3287" s="124" t="s">
        <v>22525</v>
      </c>
      <c r="C3287" s="124" t="s">
        <v>22526</v>
      </c>
      <c r="D3287" s="124">
        <v>1</v>
      </c>
      <c r="E3287" s="124" t="s">
        <v>16417</v>
      </c>
      <c r="F3287" s="126">
        <v>7.6E-3</v>
      </c>
      <c r="G3287" s="126"/>
      <c r="H3287" s="126">
        <v>8.9999999999999993E-3</v>
      </c>
      <c r="I3287" s="126"/>
      <c r="J3287" s="126"/>
      <c r="K3287" s="126">
        <f t="shared" si="118"/>
        <v>8.9999999999999993E-3</v>
      </c>
      <c r="L3287" s="3"/>
      <c r="M3287" s="126">
        <f t="shared" si="119"/>
        <v>1.66E-2</v>
      </c>
      <c r="N3287" s="124" t="s">
        <v>22527</v>
      </c>
      <c r="O3287" s="141" t="s">
        <v>22528</v>
      </c>
      <c r="P3287" s="125" t="s">
        <v>22529</v>
      </c>
      <c r="Q3287" s="130">
        <v>27927000</v>
      </c>
      <c r="R3287" s="130" t="s">
        <v>16348</v>
      </c>
      <c r="S3287" s="130">
        <v>27927000</v>
      </c>
      <c r="T3287" s="129">
        <f>S3287/Q3287</f>
        <v>1</v>
      </c>
      <c r="U3287" s="130"/>
      <c r="V3287" s="125" t="s">
        <v>22530</v>
      </c>
      <c r="X3287" s="124" t="s">
        <v>17790</v>
      </c>
    </row>
    <row r="3288" spans="1:24" customFormat="1" x14ac:dyDescent="0.45">
      <c r="A3288">
        <v>607026</v>
      </c>
      <c r="B3288" t="s">
        <v>22531</v>
      </c>
      <c r="C3288" t="s">
        <v>22532</v>
      </c>
      <c r="D3288">
        <v>1</v>
      </c>
      <c r="F3288" s="126"/>
      <c r="G3288" s="3">
        <v>0</v>
      </c>
      <c r="H3288" s="3">
        <v>0</v>
      </c>
      <c r="I3288" s="3">
        <v>0</v>
      </c>
      <c r="J3288" s="3">
        <v>0</v>
      </c>
      <c r="K3288" s="3">
        <f t="shared" si="118"/>
        <v>0</v>
      </c>
      <c r="L3288" s="3"/>
      <c r="M3288" s="3">
        <f t="shared" si="119"/>
        <v>0</v>
      </c>
      <c r="O3288" s="5"/>
      <c r="S3288" s="6"/>
    </row>
    <row r="3289" spans="1:24" customFormat="1" x14ac:dyDescent="0.45">
      <c r="A3289">
        <v>607133</v>
      </c>
      <c r="B3289" t="s">
        <v>22533</v>
      </c>
      <c r="C3289" t="s">
        <v>16331</v>
      </c>
      <c r="D3289">
        <v>2</v>
      </c>
      <c r="E3289" t="s">
        <v>16331</v>
      </c>
      <c r="F3289" s="126"/>
      <c r="G3289" s="7">
        <v>0</v>
      </c>
      <c r="H3289" s="7">
        <v>0</v>
      </c>
      <c r="I3289" s="7">
        <v>0</v>
      </c>
      <c r="J3289" s="7">
        <v>0</v>
      </c>
      <c r="K3289" s="3">
        <f t="shared" si="118"/>
        <v>0</v>
      </c>
      <c r="L3289" s="3"/>
      <c r="M3289" s="3">
        <f t="shared" si="119"/>
        <v>0</v>
      </c>
      <c r="O3289" s="5"/>
      <c r="S3289" s="6"/>
    </row>
    <row r="3290" spans="1:24" customFormat="1" x14ac:dyDescent="0.45">
      <c r="A3290">
        <v>607256</v>
      </c>
      <c r="B3290" t="s">
        <v>22534</v>
      </c>
      <c r="C3290" t="s">
        <v>16331</v>
      </c>
      <c r="D3290">
        <v>1</v>
      </c>
      <c r="E3290" t="s">
        <v>16331</v>
      </c>
      <c r="F3290" s="126"/>
      <c r="G3290" s="7">
        <v>0</v>
      </c>
      <c r="H3290" s="7">
        <v>0</v>
      </c>
      <c r="I3290" s="7">
        <v>0</v>
      </c>
      <c r="J3290" s="7">
        <v>0</v>
      </c>
      <c r="K3290" s="3">
        <f t="shared" si="118"/>
        <v>0</v>
      </c>
      <c r="L3290" s="3"/>
      <c r="M3290" s="3">
        <f t="shared" si="119"/>
        <v>0</v>
      </c>
      <c r="O3290" s="5"/>
      <c r="S3290" s="6"/>
    </row>
    <row r="3291" spans="1:24" customFormat="1" x14ac:dyDescent="0.45">
      <c r="A3291">
        <v>607283</v>
      </c>
      <c r="B3291" t="s">
        <v>22535</v>
      </c>
      <c r="C3291" t="s">
        <v>22536</v>
      </c>
      <c r="D3291">
        <v>15</v>
      </c>
      <c r="F3291" s="126"/>
      <c r="K3291" s="3">
        <f t="shared" si="118"/>
        <v>0</v>
      </c>
      <c r="L3291" s="3"/>
      <c r="M3291" s="3">
        <f t="shared" si="119"/>
        <v>0</v>
      </c>
      <c r="O3291" s="5"/>
      <c r="S3291" s="6"/>
    </row>
    <row r="3292" spans="1:24" customFormat="1" x14ac:dyDescent="0.45">
      <c r="A3292">
        <v>607322</v>
      </c>
      <c r="B3292" t="s">
        <v>22537</v>
      </c>
      <c r="C3292" t="s">
        <v>22538</v>
      </c>
      <c r="D3292">
        <v>1</v>
      </c>
      <c r="F3292" s="126"/>
      <c r="G3292" s="7">
        <v>0</v>
      </c>
      <c r="H3292" s="7">
        <v>0</v>
      </c>
      <c r="I3292" s="7">
        <v>0</v>
      </c>
      <c r="J3292" s="7">
        <v>0</v>
      </c>
      <c r="K3292" s="3">
        <f t="shared" si="118"/>
        <v>0</v>
      </c>
      <c r="L3292" s="3"/>
      <c r="M3292" s="3">
        <f t="shared" si="119"/>
        <v>0</v>
      </c>
      <c r="O3292" s="5"/>
      <c r="S3292" s="6"/>
    </row>
    <row r="3293" spans="1:24" customFormat="1" x14ac:dyDescent="0.45">
      <c r="A3293">
        <v>607414</v>
      </c>
      <c r="B3293" t="s">
        <v>22539</v>
      </c>
      <c r="C3293" t="s">
        <v>22540</v>
      </c>
      <c r="D3293">
        <v>1</v>
      </c>
      <c r="F3293" s="126"/>
      <c r="G3293" s="7">
        <v>0</v>
      </c>
      <c r="H3293" s="3">
        <v>0</v>
      </c>
      <c r="I3293" s="3">
        <v>0</v>
      </c>
      <c r="J3293">
        <v>0</v>
      </c>
      <c r="K3293" s="3">
        <f t="shared" si="118"/>
        <v>0</v>
      </c>
      <c r="L3293" s="3"/>
      <c r="M3293" s="3">
        <f t="shared" si="119"/>
        <v>0</v>
      </c>
      <c r="O3293" s="5"/>
      <c r="S3293" s="6"/>
    </row>
    <row r="3294" spans="1:24" customFormat="1" x14ac:dyDescent="0.45">
      <c r="A3294">
        <v>607454</v>
      </c>
      <c r="B3294" t="s">
        <v>22541</v>
      </c>
      <c r="C3294" t="s">
        <v>16331</v>
      </c>
      <c r="D3294">
        <v>1</v>
      </c>
      <c r="E3294" t="s">
        <v>16331</v>
      </c>
      <c r="F3294" s="126"/>
      <c r="K3294" s="3">
        <f t="shared" si="118"/>
        <v>0</v>
      </c>
      <c r="L3294" s="3"/>
      <c r="M3294" s="3">
        <f t="shared" si="119"/>
        <v>0</v>
      </c>
      <c r="O3294" s="5"/>
      <c r="S3294" s="6"/>
    </row>
    <row r="3295" spans="1:24" customFormat="1" x14ac:dyDescent="0.45">
      <c r="A3295">
        <v>607455</v>
      </c>
      <c r="B3295" t="s">
        <v>22542</v>
      </c>
      <c r="C3295" t="s">
        <v>22543</v>
      </c>
      <c r="D3295">
        <v>2</v>
      </c>
      <c r="F3295" s="126"/>
      <c r="G3295" s="7">
        <v>0</v>
      </c>
      <c r="H3295" s="7">
        <v>0</v>
      </c>
      <c r="I3295" s="7">
        <v>0</v>
      </c>
      <c r="J3295" s="7">
        <v>0</v>
      </c>
      <c r="K3295" s="3">
        <f t="shared" si="118"/>
        <v>0</v>
      </c>
      <c r="L3295" s="3"/>
      <c r="M3295" s="3">
        <f t="shared" si="119"/>
        <v>0</v>
      </c>
      <c r="O3295" s="5"/>
      <c r="S3295" s="6"/>
    </row>
    <row r="3296" spans="1:24" x14ac:dyDescent="0.45">
      <c r="A3296" s="124">
        <v>529810</v>
      </c>
      <c r="B3296" s="124" t="s">
        <v>22544</v>
      </c>
      <c r="C3296" s="124" t="s">
        <v>22545</v>
      </c>
      <c r="D3296" s="124">
        <v>1077</v>
      </c>
      <c r="E3296" s="124" t="s">
        <v>16417</v>
      </c>
      <c r="F3296" s="126">
        <v>7.6E-3</v>
      </c>
      <c r="G3296" s="126">
        <v>0</v>
      </c>
      <c r="H3296" s="126">
        <v>8.9999999999999993E-3</v>
      </c>
      <c r="I3296" s="127">
        <v>0</v>
      </c>
      <c r="J3296" s="127">
        <v>0</v>
      </c>
      <c r="K3296" s="126">
        <f t="shared" si="118"/>
        <v>8.9999999999999993E-3</v>
      </c>
      <c r="L3296" s="3"/>
      <c r="M3296" s="126">
        <f t="shared" si="119"/>
        <v>1.66E-2</v>
      </c>
      <c r="O3296" s="125" t="s">
        <v>22528</v>
      </c>
      <c r="P3296" s="125" t="s">
        <v>22529</v>
      </c>
      <c r="Q3296" s="130">
        <f>(27927+1774)*1000</f>
        <v>29701000</v>
      </c>
      <c r="R3296" s="130" t="s">
        <v>16348</v>
      </c>
      <c r="S3296" s="130">
        <v>27927000</v>
      </c>
      <c r="T3296" s="129">
        <f>S3296/Q3296</f>
        <v>0.9402713713342985</v>
      </c>
      <c r="U3296" s="130"/>
      <c r="V3296" s="125" t="s">
        <v>22530</v>
      </c>
      <c r="X3296" s="124" t="s">
        <v>17790</v>
      </c>
    </row>
    <row r="3297" spans="1:19" customFormat="1" x14ac:dyDescent="0.45">
      <c r="A3297">
        <v>607476</v>
      </c>
      <c r="B3297" t="s">
        <v>22546</v>
      </c>
      <c r="C3297" t="s">
        <v>16331</v>
      </c>
      <c r="D3297">
        <v>1</v>
      </c>
      <c r="E3297" t="s">
        <v>16331</v>
      </c>
      <c r="F3297" s="126"/>
      <c r="G3297" s="7">
        <v>0</v>
      </c>
      <c r="H3297" s="7">
        <v>0</v>
      </c>
      <c r="I3297" s="7">
        <v>0</v>
      </c>
      <c r="J3297" s="7">
        <v>0</v>
      </c>
      <c r="K3297" s="3">
        <f t="shared" si="118"/>
        <v>0</v>
      </c>
      <c r="L3297" s="3"/>
      <c r="M3297" s="3">
        <f t="shared" si="119"/>
        <v>0</v>
      </c>
      <c r="O3297" s="5"/>
      <c r="S3297" s="6"/>
    </row>
    <row r="3298" spans="1:19" customFormat="1" x14ac:dyDescent="0.45">
      <c r="A3298">
        <v>607543</v>
      </c>
      <c r="B3298" t="s">
        <v>22547</v>
      </c>
      <c r="C3298" t="s">
        <v>22548</v>
      </c>
      <c r="D3298">
        <v>2</v>
      </c>
      <c r="F3298" s="126"/>
      <c r="K3298" s="3">
        <f t="shared" ref="K3298:K3361" si="120">SUM(G3298:J3298)</f>
        <v>0</v>
      </c>
      <c r="L3298" s="3"/>
      <c r="M3298" s="3">
        <f t="shared" ref="M3298:M3361" si="121">K3298+F3298</f>
        <v>0</v>
      </c>
      <c r="O3298" s="5"/>
      <c r="S3298" s="6"/>
    </row>
    <row r="3299" spans="1:19" customFormat="1" x14ac:dyDescent="0.45">
      <c r="A3299">
        <v>607613</v>
      </c>
      <c r="B3299" t="s">
        <v>22549</v>
      </c>
      <c r="C3299" t="s">
        <v>22550</v>
      </c>
      <c r="D3299">
        <v>1</v>
      </c>
      <c r="F3299" s="126"/>
      <c r="K3299" s="3">
        <f t="shared" si="120"/>
        <v>0</v>
      </c>
      <c r="L3299" s="3"/>
      <c r="M3299" s="3">
        <f t="shared" si="121"/>
        <v>0</v>
      </c>
      <c r="O3299" s="5"/>
      <c r="S3299" s="6"/>
    </row>
    <row r="3300" spans="1:19" customFormat="1" x14ac:dyDescent="0.45">
      <c r="A3300">
        <v>607662</v>
      </c>
      <c r="B3300" t="s">
        <v>22551</v>
      </c>
      <c r="C3300" t="s">
        <v>16331</v>
      </c>
      <c r="D3300">
        <v>1</v>
      </c>
      <c r="E3300" t="s">
        <v>16331</v>
      </c>
      <c r="F3300" s="126"/>
      <c r="G3300" s="7">
        <v>0</v>
      </c>
      <c r="H3300" s="7">
        <v>0</v>
      </c>
      <c r="I3300" s="7">
        <v>0</v>
      </c>
      <c r="J3300" s="7">
        <v>0</v>
      </c>
      <c r="K3300" s="3">
        <f t="shared" si="120"/>
        <v>0</v>
      </c>
      <c r="L3300" s="3"/>
      <c r="M3300" s="3">
        <f t="shared" si="121"/>
        <v>0</v>
      </c>
      <c r="O3300" s="5"/>
      <c r="S3300" s="6"/>
    </row>
    <row r="3301" spans="1:19" customFormat="1" x14ac:dyDescent="0.45">
      <c r="A3301">
        <v>607692</v>
      </c>
      <c r="B3301" t="s">
        <v>22552</v>
      </c>
      <c r="C3301" t="s">
        <v>22553</v>
      </c>
      <c r="D3301">
        <v>2</v>
      </c>
      <c r="F3301" s="126"/>
      <c r="G3301" s="3">
        <v>0</v>
      </c>
      <c r="H3301" s="3">
        <v>0</v>
      </c>
      <c r="I3301" s="3">
        <v>0</v>
      </c>
      <c r="J3301" s="3">
        <v>0</v>
      </c>
      <c r="K3301" s="3">
        <f t="shared" si="120"/>
        <v>0</v>
      </c>
      <c r="L3301" s="3"/>
      <c r="M3301" s="3">
        <f t="shared" si="121"/>
        <v>0</v>
      </c>
      <c r="O3301" s="5"/>
      <c r="S3301" s="6"/>
    </row>
    <row r="3302" spans="1:19" customFormat="1" x14ac:dyDescent="0.45">
      <c r="A3302">
        <v>607803</v>
      </c>
      <c r="B3302" t="s">
        <v>22554</v>
      </c>
      <c r="C3302" t="s">
        <v>16331</v>
      </c>
      <c r="D3302">
        <v>4</v>
      </c>
      <c r="E3302" t="s">
        <v>16331</v>
      </c>
      <c r="F3302" s="126"/>
      <c r="G3302" s="7">
        <v>0</v>
      </c>
      <c r="H3302" s="7">
        <v>0</v>
      </c>
      <c r="I3302" s="7">
        <v>0</v>
      </c>
      <c r="J3302" s="7">
        <v>0</v>
      </c>
      <c r="K3302" s="3">
        <f t="shared" si="120"/>
        <v>0</v>
      </c>
      <c r="L3302" s="3"/>
      <c r="M3302" s="3">
        <f t="shared" si="121"/>
        <v>0</v>
      </c>
      <c r="O3302" s="5"/>
      <c r="S3302" s="6"/>
    </row>
    <row r="3303" spans="1:19" customFormat="1" x14ac:dyDescent="0.45">
      <c r="A3303">
        <v>607940</v>
      </c>
      <c r="B3303" t="s">
        <v>22555</v>
      </c>
      <c r="C3303" t="s">
        <v>16331</v>
      </c>
      <c r="D3303">
        <v>1</v>
      </c>
      <c r="E3303" t="s">
        <v>16331</v>
      </c>
      <c r="F3303" s="126"/>
      <c r="G3303" s="7">
        <v>0</v>
      </c>
      <c r="H3303" s="7">
        <v>0</v>
      </c>
      <c r="I3303" s="7">
        <v>0</v>
      </c>
      <c r="J3303" s="7">
        <v>0</v>
      </c>
      <c r="K3303" s="3">
        <f t="shared" si="120"/>
        <v>0</v>
      </c>
      <c r="L3303" s="3"/>
      <c r="M3303" s="3">
        <f t="shared" si="121"/>
        <v>0</v>
      </c>
      <c r="O3303" s="5"/>
      <c r="S3303" s="6"/>
    </row>
    <row r="3304" spans="1:19" customFormat="1" x14ac:dyDescent="0.45">
      <c r="A3304">
        <v>607982</v>
      </c>
      <c r="B3304" t="s">
        <v>22556</v>
      </c>
      <c r="C3304" t="s">
        <v>16331</v>
      </c>
      <c r="D3304">
        <v>0</v>
      </c>
      <c r="E3304" t="s">
        <v>16331</v>
      </c>
      <c r="F3304" s="126"/>
      <c r="G3304" s="7">
        <v>0</v>
      </c>
      <c r="H3304" s="7">
        <v>0</v>
      </c>
      <c r="I3304" s="7">
        <v>0</v>
      </c>
      <c r="J3304" s="7">
        <v>0</v>
      </c>
      <c r="K3304" s="3">
        <f t="shared" si="120"/>
        <v>0</v>
      </c>
      <c r="L3304" s="3"/>
      <c r="M3304" s="3">
        <f t="shared" si="121"/>
        <v>0</v>
      </c>
      <c r="O3304" s="5"/>
      <c r="S3304" s="6"/>
    </row>
    <row r="3305" spans="1:19" customFormat="1" x14ac:dyDescent="0.45">
      <c r="A3305">
        <v>608121</v>
      </c>
      <c r="B3305" t="s">
        <v>22557</v>
      </c>
      <c r="C3305" t="s">
        <v>16331</v>
      </c>
      <c r="D3305">
        <v>2</v>
      </c>
      <c r="E3305" t="s">
        <v>16331</v>
      </c>
      <c r="F3305" s="126"/>
      <c r="G3305" s="7">
        <v>0</v>
      </c>
      <c r="H3305" s="7">
        <v>0</v>
      </c>
      <c r="I3305" s="7">
        <v>0</v>
      </c>
      <c r="J3305" s="7">
        <v>0</v>
      </c>
      <c r="K3305" s="3">
        <f t="shared" si="120"/>
        <v>0</v>
      </c>
      <c r="L3305" s="3"/>
      <c r="M3305" s="3">
        <f t="shared" si="121"/>
        <v>0</v>
      </c>
      <c r="O3305" s="5"/>
      <c r="S3305" s="6"/>
    </row>
    <row r="3306" spans="1:19" customFormat="1" x14ac:dyDescent="0.45">
      <c r="A3306">
        <v>608126</v>
      </c>
      <c r="B3306" t="s">
        <v>22558</v>
      </c>
      <c r="C3306" t="s">
        <v>22559</v>
      </c>
      <c r="D3306">
        <v>3</v>
      </c>
      <c r="F3306" s="126"/>
      <c r="G3306" s="7">
        <v>0</v>
      </c>
      <c r="H3306" s="7">
        <v>0</v>
      </c>
      <c r="I3306" s="7">
        <v>0</v>
      </c>
      <c r="J3306" s="7">
        <v>0</v>
      </c>
      <c r="K3306" s="3">
        <f t="shared" si="120"/>
        <v>0</v>
      </c>
      <c r="L3306" s="3"/>
      <c r="M3306" s="3">
        <f t="shared" si="121"/>
        <v>0</v>
      </c>
      <c r="O3306" s="5"/>
      <c r="S3306" s="6"/>
    </row>
    <row r="3307" spans="1:19" customFormat="1" x14ac:dyDescent="0.45">
      <c r="A3307">
        <v>608143</v>
      </c>
      <c r="B3307" t="s">
        <v>22560</v>
      </c>
      <c r="C3307" t="s">
        <v>16331</v>
      </c>
      <c r="D3307">
        <v>1</v>
      </c>
      <c r="E3307" t="s">
        <v>16331</v>
      </c>
      <c r="F3307" s="126"/>
      <c r="G3307" s="7">
        <v>0</v>
      </c>
      <c r="H3307" s="7">
        <v>0</v>
      </c>
      <c r="I3307" s="7">
        <v>0</v>
      </c>
      <c r="J3307" s="7">
        <v>0</v>
      </c>
      <c r="K3307" s="3">
        <f t="shared" si="120"/>
        <v>0</v>
      </c>
      <c r="L3307" s="3"/>
      <c r="M3307" s="3">
        <f t="shared" si="121"/>
        <v>0</v>
      </c>
      <c r="O3307" s="5"/>
      <c r="S3307" s="6"/>
    </row>
    <row r="3308" spans="1:19" customFormat="1" x14ac:dyDescent="0.45">
      <c r="A3308">
        <v>608375</v>
      </c>
      <c r="B3308" t="s">
        <v>22561</v>
      </c>
      <c r="C3308" t="s">
        <v>22562</v>
      </c>
      <c r="D3308">
        <v>1</v>
      </c>
      <c r="F3308" s="126"/>
      <c r="G3308" s="7">
        <v>0</v>
      </c>
      <c r="H3308" s="7">
        <v>0</v>
      </c>
      <c r="I3308" s="7">
        <v>0</v>
      </c>
      <c r="J3308" s="7">
        <v>0</v>
      </c>
      <c r="K3308" s="3">
        <f t="shared" si="120"/>
        <v>0</v>
      </c>
      <c r="L3308" s="3"/>
      <c r="M3308" s="3">
        <f t="shared" si="121"/>
        <v>0</v>
      </c>
      <c r="O3308" s="5"/>
      <c r="S3308" s="6"/>
    </row>
    <row r="3309" spans="1:19" customFormat="1" x14ac:dyDescent="0.45">
      <c r="A3309">
        <v>608396</v>
      </c>
      <c r="B3309" t="s">
        <v>22563</v>
      </c>
      <c r="C3309" t="s">
        <v>18231</v>
      </c>
      <c r="D3309">
        <v>2</v>
      </c>
      <c r="F3309" s="126"/>
      <c r="G3309" s="7">
        <v>0</v>
      </c>
      <c r="H3309" s="7">
        <v>0</v>
      </c>
      <c r="I3309" s="7">
        <v>0</v>
      </c>
      <c r="J3309" s="7">
        <v>0</v>
      </c>
      <c r="K3309" s="3">
        <f t="shared" si="120"/>
        <v>0</v>
      </c>
      <c r="L3309" s="3"/>
      <c r="M3309" s="3">
        <f t="shared" si="121"/>
        <v>0</v>
      </c>
      <c r="O3309" s="5"/>
      <c r="S3309" s="6"/>
    </row>
    <row r="3310" spans="1:19" customFormat="1" x14ac:dyDescent="0.45">
      <c r="A3310">
        <v>608526</v>
      </c>
      <c r="B3310" t="s">
        <v>22564</v>
      </c>
      <c r="C3310" t="s">
        <v>22565</v>
      </c>
      <c r="D3310">
        <v>2</v>
      </c>
      <c r="F3310" s="126"/>
      <c r="G3310" s="7">
        <v>0</v>
      </c>
      <c r="H3310" s="7">
        <v>0</v>
      </c>
      <c r="I3310" s="7">
        <v>0</v>
      </c>
      <c r="J3310" s="7">
        <v>0</v>
      </c>
      <c r="K3310" s="3">
        <f t="shared" si="120"/>
        <v>0</v>
      </c>
      <c r="L3310" s="3"/>
      <c r="M3310" s="3">
        <f t="shared" si="121"/>
        <v>0</v>
      </c>
      <c r="N3310" s="7"/>
      <c r="O3310" s="5"/>
      <c r="S3310" s="6"/>
    </row>
    <row r="3311" spans="1:19" customFormat="1" x14ac:dyDescent="0.45">
      <c r="A3311">
        <v>608548</v>
      </c>
      <c r="B3311" t="s">
        <v>22566</v>
      </c>
      <c r="C3311" t="s">
        <v>22567</v>
      </c>
      <c r="D3311">
        <v>12</v>
      </c>
      <c r="F3311" s="126"/>
      <c r="G3311" s="3">
        <v>0</v>
      </c>
      <c r="H3311" s="3">
        <v>0</v>
      </c>
      <c r="I3311" s="3">
        <v>0</v>
      </c>
      <c r="J3311" s="3">
        <v>0</v>
      </c>
      <c r="K3311" s="3">
        <f t="shared" si="120"/>
        <v>0</v>
      </c>
      <c r="L3311" s="3"/>
      <c r="M3311" s="3">
        <f t="shared" si="121"/>
        <v>0</v>
      </c>
      <c r="O3311" s="5"/>
      <c r="S3311" s="6"/>
    </row>
    <row r="3312" spans="1:19" customFormat="1" x14ac:dyDescent="0.45">
      <c r="A3312">
        <v>608554</v>
      </c>
      <c r="B3312" t="s">
        <v>22568</v>
      </c>
      <c r="C3312" t="s">
        <v>22569</v>
      </c>
      <c r="D3312">
        <v>8</v>
      </c>
      <c r="F3312" s="126"/>
      <c r="G3312" s="7">
        <v>0</v>
      </c>
      <c r="H3312" s="7">
        <v>0</v>
      </c>
      <c r="I3312" s="7">
        <v>0</v>
      </c>
      <c r="J3312" s="7">
        <v>0</v>
      </c>
      <c r="K3312" s="3">
        <f t="shared" si="120"/>
        <v>0</v>
      </c>
      <c r="L3312" s="3"/>
      <c r="M3312" s="3">
        <f t="shared" si="121"/>
        <v>0</v>
      </c>
      <c r="N3312" s="7"/>
      <c r="O3312" s="5"/>
      <c r="S3312" s="6"/>
    </row>
    <row r="3313" spans="1:22" customFormat="1" x14ac:dyDescent="0.45">
      <c r="A3313">
        <v>608563</v>
      </c>
      <c r="B3313" t="s">
        <v>22570</v>
      </c>
      <c r="C3313" t="s">
        <v>16331</v>
      </c>
      <c r="D3313">
        <v>2</v>
      </c>
      <c r="E3313" t="s">
        <v>16331</v>
      </c>
      <c r="F3313" s="126"/>
      <c r="G3313" s="7">
        <v>0</v>
      </c>
      <c r="H3313" s="7">
        <v>0</v>
      </c>
      <c r="I3313" s="7">
        <v>0</v>
      </c>
      <c r="J3313" s="7">
        <v>0</v>
      </c>
      <c r="K3313" s="3">
        <f t="shared" si="120"/>
        <v>0</v>
      </c>
      <c r="L3313" s="3"/>
      <c r="M3313" s="3">
        <f t="shared" si="121"/>
        <v>0</v>
      </c>
      <c r="O3313" s="5"/>
      <c r="S3313" s="6"/>
    </row>
    <row r="3314" spans="1:22" x14ac:dyDescent="0.45">
      <c r="A3314" s="124">
        <v>210094</v>
      </c>
      <c r="B3314" s="124" t="s">
        <v>22571</v>
      </c>
      <c r="C3314" s="124" t="s">
        <v>22572</v>
      </c>
      <c r="D3314" s="124">
        <v>3</v>
      </c>
      <c r="E3314" s="124" t="s">
        <v>16334</v>
      </c>
      <c r="F3314" s="126">
        <v>1.6999999999999999E-3</v>
      </c>
      <c r="G3314" s="137">
        <f>2.5%</f>
        <v>2.5000000000000001E-2</v>
      </c>
      <c r="H3314" s="126">
        <v>7.4999999999999997E-3</v>
      </c>
      <c r="I3314" s="127">
        <v>0</v>
      </c>
      <c r="J3314" s="127">
        <v>0</v>
      </c>
      <c r="K3314" s="126">
        <f t="shared" si="120"/>
        <v>3.2500000000000001E-2</v>
      </c>
      <c r="L3314" s="3"/>
      <c r="M3314" s="126">
        <f t="shared" si="121"/>
        <v>3.4200000000000001E-2</v>
      </c>
      <c r="N3314" s="124" t="s">
        <v>22573</v>
      </c>
      <c r="O3314" s="125" t="s">
        <v>22574</v>
      </c>
      <c r="P3314" s="128" t="s">
        <v>26918</v>
      </c>
      <c r="Q3314" s="130">
        <f>1519665+15357</f>
        <v>1535022</v>
      </c>
      <c r="R3314" s="124" t="s">
        <v>16348</v>
      </c>
      <c r="S3314" s="130">
        <v>1332437</v>
      </c>
      <c r="T3314" s="129">
        <f>S3314/Q3314</f>
        <v>0.86802469280570571</v>
      </c>
      <c r="V3314" s="125" t="s">
        <v>22575</v>
      </c>
    </row>
    <row r="3315" spans="1:22" customFormat="1" x14ac:dyDescent="0.45">
      <c r="A3315">
        <v>608960</v>
      </c>
      <c r="B3315" t="s">
        <v>22576</v>
      </c>
      <c r="C3315" t="s">
        <v>16331</v>
      </c>
      <c r="D3315">
        <v>2</v>
      </c>
      <c r="E3315" t="s">
        <v>16331</v>
      </c>
      <c r="F3315" s="126"/>
      <c r="G3315" s="7">
        <v>0</v>
      </c>
      <c r="H3315" s="7">
        <v>0</v>
      </c>
      <c r="I3315" s="7">
        <v>0</v>
      </c>
      <c r="J3315" s="7">
        <v>0</v>
      </c>
      <c r="K3315" s="3">
        <f t="shared" si="120"/>
        <v>0</v>
      </c>
      <c r="L3315" s="3"/>
      <c r="M3315" s="3">
        <f t="shared" si="121"/>
        <v>0</v>
      </c>
      <c r="O3315" s="5"/>
      <c r="S3315" s="6"/>
    </row>
    <row r="3316" spans="1:22" customFormat="1" x14ac:dyDescent="0.45">
      <c r="A3316">
        <v>608975</v>
      </c>
      <c r="B3316" t="s">
        <v>22577</v>
      </c>
      <c r="C3316" t="s">
        <v>16331</v>
      </c>
      <c r="D3316">
        <v>3</v>
      </c>
      <c r="E3316" t="s">
        <v>16331</v>
      </c>
      <c r="F3316" s="126"/>
      <c r="G3316" s="7">
        <v>0</v>
      </c>
      <c r="H3316" s="7">
        <v>0</v>
      </c>
      <c r="I3316" s="7">
        <v>0</v>
      </c>
      <c r="J3316" s="7">
        <v>0</v>
      </c>
      <c r="K3316" s="3">
        <f t="shared" si="120"/>
        <v>0</v>
      </c>
      <c r="L3316" s="3"/>
      <c r="M3316" s="3">
        <f t="shared" si="121"/>
        <v>0</v>
      </c>
      <c r="O3316" s="5"/>
      <c r="S3316" s="6"/>
    </row>
    <row r="3317" spans="1:22" customFormat="1" x14ac:dyDescent="0.45">
      <c r="A3317">
        <v>608988</v>
      </c>
      <c r="B3317" t="s">
        <v>22578</v>
      </c>
      <c r="C3317" t="s">
        <v>22579</v>
      </c>
      <c r="D3317">
        <v>3</v>
      </c>
      <c r="F3317" s="126"/>
      <c r="G3317" s="7">
        <v>0</v>
      </c>
      <c r="H3317" s="7">
        <v>0</v>
      </c>
      <c r="I3317" s="7">
        <v>0</v>
      </c>
      <c r="J3317" s="7">
        <v>0</v>
      </c>
      <c r="K3317" s="3">
        <f t="shared" si="120"/>
        <v>0</v>
      </c>
      <c r="L3317" s="3"/>
      <c r="M3317" s="3">
        <f t="shared" si="121"/>
        <v>0</v>
      </c>
      <c r="O3317" s="5"/>
      <c r="S3317" s="6"/>
    </row>
    <row r="3318" spans="1:22" customFormat="1" x14ac:dyDescent="0.45">
      <c r="A3318">
        <v>609061</v>
      </c>
      <c r="B3318" t="s">
        <v>22580</v>
      </c>
      <c r="C3318" t="s">
        <v>16331</v>
      </c>
      <c r="D3318">
        <v>9</v>
      </c>
      <c r="E3318" t="s">
        <v>16331</v>
      </c>
      <c r="F3318" s="126"/>
      <c r="G3318" s="7">
        <v>0</v>
      </c>
      <c r="H3318" s="7">
        <v>0</v>
      </c>
      <c r="I3318" s="7">
        <v>0</v>
      </c>
      <c r="J3318" s="7">
        <v>0</v>
      </c>
      <c r="K3318" s="3">
        <f t="shared" si="120"/>
        <v>0</v>
      </c>
      <c r="L3318" s="3"/>
      <c r="M3318" s="3">
        <f t="shared" si="121"/>
        <v>0</v>
      </c>
      <c r="O3318" s="5"/>
      <c r="S3318" s="6"/>
    </row>
    <row r="3319" spans="1:22" customFormat="1" x14ac:dyDescent="0.45">
      <c r="A3319">
        <v>609071</v>
      </c>
      <c r="B3319" t="s">
        <v>22581</v>
      </c>
      <c r="C3319" t="s">
        <v>22582</v>
      </c>
      <c r="D3319">
        <v>0</v>
      </c>
      <c r="E3319" t="s">
        <v>16334</v>
      </c>
      <c r="F3319" s="126"/>
      <c r="G3319" s="7">
        <v>0</v>
      </c>
      <c r="H3319" s="7">
        <v>0</v>
      </c>
      <c r="I3319" s="7">
        <v>0</v>
      </c>
      <c r="J3319" s="7">
        <v>0</v>
      </c>
      <c r="K3319" s="3">
        <f t="shared" si="120"/>
        <v>0</v>
      </c>
      <c r="L3319" s="3"/>
      <c r="M3319" s="3">
        <f t="shared" si="121"/>
        <v>0</v>
      </c>
      <c r="O3319" s="5"/>
      <c r="S3319" s="6"/>
      <c r="T3319" s="10"/>
    </row>
    <row r="3320" spans="1:22" customFormat="1" x14ac:dyDescent="0.45">
      <c r="A3320">
        <v>609072</v>
      </c>
      <c r="B3320" t="s">
        <v>22583</v>
      </c>
      <c r="C3320" t="s">
        <v>16331</v>
      </c>
      <c r="D3320">
        <v>2</v>
      </c>
      <c r="E3320" t="s">
        <v>16331</v>
      </c>
      <c r="F3320" s="126"/>
      <c r="G3320" s="7">
        <v>0</v>
      </c>
      <c r="H3320" s="7">
        <v>0</v>
      </c>
      <c r="I3320" s="7">
        <v>0</v>
      </c>
      <c r="J3320" s="7">
        <v>0</v>
      </c>
      <c r="K3320" s="3">
        <f t="shared" si="120"/>
        <v>0</v>
      </c>
      <c r="L3320" s="3"/>
      <c r="M3320" s="3">
        <f t="shared" si="121"/>
        <v>0</v>
      </c>
      <c r="O3320" s="5"/>
      <c r="S3320" s="6"/>
    </row>
    <row r="3321" spans="1:22" customFormat="1" x14ac:dyDescent="0.45">
      <c r="A3321">
        <v>609086</v>
      </c>
      <c r="B3321" t="s">
        <v>22584</v>
      </c>
      <c r="C3321" t="s">
        <v>16331</v>
      </c>
      <c r="D3321">
        <v>6</v>
      </c>
      <c r="E3321" t="s">
        <v>16331</v>
      </c>
      <c r="F3321" s="126"/>
      <c r="G3321" s="7">
        <v>0</v>
      </c>
      <c r="H3321" s="7">
        <v>0</v>
      </c>
      <c r="I3321" s="7">
        <v>0</v>
      </c>
      <c r="J3321" s="7">
        <v>0</v>
      </c>
      <c r="K3321" s="3">
        <f t="shared" si="120"/>
        <v>0</v>
      </c>
      <c r="L3321" s="3"/>
      <c r="M3321" s="3">
        <f t="shared" si="121"/>
        <v>0</v>
      </c>
      <c r="O3321" s="5"/>
      <c r="S3321" s="6"/>
    </row>
    <row r="3322" spans="1:22" customFormat="1" x14ac:dyDescent="0.45">
      <c r="A3322">
        <v>609098</v>
      </c>
      <c r="B3322" t="s">
        <v>22585</v>
      </c>
      <c r="C3322" t="s">
        <v>22586</v>
      </c>
      <c r="D3322">
        <v>4</v>
      </c>
      <c r="F3322" s="126"/>
      <c r="G3322" s="7">
        <v>0</v>
      </c>
      <c r="H3322" s="7">
        <v>0</v>
      </c>
      <c r="I3322" s="7">
        <v>0</v>
      </c>
      <c r="J3322" s="7">
        <v>0</v>
      </c>
      <c r="K3322" s="3">
        <f t="shared" si="120"/>
        <v>0</v>
      </c>
      <c r="L3322" s="3"/>
      <c r="M3322" s="3">
        <f t="shared" si="121"/>
        <v>0</v>
      </c>
      <c r="O3322" s="5"/>
      <c r="S3322" s="6"/>
    </row>
    <row r="3323" spans="1:22" customFormat="1" x14ac:dyDescent="0.45">
      <c r="A3323">
        <v>609189</v>
      </c>
      <c r="B3323" t="s">
        <v>22587</v>
      </c>
      <c r="C3323" t="s">
        <v>16331</v>
      </c>
      <c r="D3323">
        <v>1</v>
      </c>
      <c r="E3323" t="s">
        <v>16331</v>
      </c>
      <c r="F3323" s="126"/>
      <c r="G3323" s="7">
        <v>0</v>
      </c>
      <c r="H3323" s="7">
        <v>0</v>
      </c>
      <c r="I3323" s="7">
        <v>0</v>
      </c>
      <c r="J3323" s="7">
        <v>0</v>
      </c>
      <c r="K3323" s="3">
        <f t="shared" si="120"/>
        <v>0</v>
      </c>
      <c r="L3323" s="3"/>
      <c r="M3323" s="3">
        <f t="shared" si="121"/>
        <v>0</v>
      </c>
      <c r="O3323" s="5"/>
      <c r="S3323" s="6"/>
    </row>
    <row r="3324" spans="1:22" customFormat="1" x14ac:dyDescent="0.45">
      <c r="A3324">
        <v>609264</v>
      </c>
      <c r="B3324" t="s">
        <v>22588</v>
      </c>
      <c r="C3324" t="s">
        <v>22589</v>
      </c>
      <c r="D3324">
        <v>3</v>
      </c>
      <c r="F3324" s="126"/>
      <c r="G3324" s="7">
        <v>0</v>
      </c>
      <c r="H3324" s="7">
        <v>0</v>
      </c>
      <c r="I3324" s="7">
        <v>0</v>
      </c>
      <c r="J3324" s="7">
        <v>0</v>
      </c>
      <c r="K3324" s="3">
        <f t="shared" si="120"/>
        <v>0</v>
      </c>
      <c r="L3324" s="3"/>
      <c r="M3324" s="3">
        <f t="shared" si="121"/>
        <v>0</v>
      </c>
      <c r="O3324" s="5"/>
      <c r="S3324" s="6"/>
    </row>
    <row r="3325" spans="1:22" customFormat="1" x14ac:dyDescent="0.45">
      <c r="A3325">
        <v>609277</v>
      </c>
      <c r="B3325" t="s">
        <v>22590</v>
      </c>
      <c r="C3325" t="s">
        <v>22591</v>
      </c>
      <c r="D3325">
        <v>6</v>
      </c>
      <c r="F3325" s="126"/>
      <c r="G3325" s="7">
        <v>0</v>
      </c>
      <c r="H3325" s="7">
        <v>0</v>
      </c>
      <c r="I3325" s="7">
        <v>0</v>
      </c>
      <c r="J3325" s="7">
        <v>0</v>
      </c>
      <c r="K3325" s="3">
        <f t="shared" si="120"/>
        <v>0</v>
      </c>
      <c r="L3325" s="3"/>
      <c r="M3325" s="3">
        <f t="shared" si="121"/>
        <v>0</v>
      </c>
      <c r="O3325" s="5"/>
      <c r="S3325" s="6"/>
    </row>
    <row r="3326" spans="1:22" customFormat="1" x14ac:dyDescent="0.45">
      <c r="A3326">
        <v>609295</v>
      </c>
      <c r="B3326" t="s">
        <v>22592</v>
      </c>
      <c r="C3326" t="s">
        <v>22593</v>
      </c>
      <c r="D3326">
        <v>3</v>
      </c>
      <c r="F3326" s="126"/>
      <c r="K3326" s="3">
        <f t="shared" si="120"/>
        <v>0</v>
      </c>
      <c r="L3326" s="3"/>
      <c r="M3326" s="3">
        <f t="shared" si="121"/>
        <v>0</v>
      </c>
      <c r="O3326" s="5"/>
      <c r="S3326" s="6"/>
    </row>
    <row r="3327" spans="1:22" customFormat="1" x14ac:dyDescent="0.45">
      <c r="A3327">
        <v>609361</v>
      </c>
      <c r="B3327" t="s">
        <v>22594</v>
      </c>
      <c r="C3327" t="s">
        <v>22595</v>
      </c>
      <c r="D3327">
        <v>1</v>
      </c>
      <c r="F3327" s="126"/>
      <c r="K3327" s="3">
        <f t="shared" si="120"/>
        <v>0</v>
      </c>
      <c r="L3327" s="3"/>
      <c r="M3327" s="3">
        <f t="shared" si="121"/>
        <v>0</v>
      </c>
      <c r="O3327" s="5"/>
      <c r="S3327" s="6"/>
    </row>
    <row r="3328" spans="1:22" customFormat="1" x14ac:dyDescent="0.45">
      <c r="A3328">
        <v>609364</v>
      </c>
      <c r="B3328" t="s">
        <v>22596</v>
      </c>
      <c r="C3328" t="s">
        <v>16331</v>
      </c>
      <c r="D3328">
        <v>1</v>
      </c>
      <c r="E3328" t="s">
        <v>16331</v>
      </c>
      <c r="F3328" s="126"/>
      <c r="G3328" s="7">
        <v>0</v>
      </c>
      <c r="H3328" s="7">
        <v>0</v>
      </c>
      <c r="I3328" s="7">
        <v>0</v>
      </c>
      <c r="J3328" s="7">
        <v>0</v>
      </c>
      <c r="K3328" s="3">
        <f t="shared" si="120"/>
        <v>0</v>
      </c>
      <c r="L3328" s="3"/>
      <c r="M3328" s="3">
        <f t="shared" si="121"/>
        <v>0</v>
      </c>
      <c r="O3328" s="5"/>
      <c r="S3328" s="6"/>
    </row>
    <row r="3329" spans="1:22" customFormat="1" x14ac:dyDescent="0.45">
      <c r="A3329">
        <v>609376</v>
      </c>
      <c r="B3329" t="s">
        <v>22597</v>
      </c>
      <c r="C3329" t="s">
        <v>16331</v>
      </c>
      <c r="D3329">
        <v>1</v>
      </c>
      <c r="E3329" t="s">
        <v>16331</v>
      </c>
      <c r="F3329" s="126"/>
      <c r="G3329" s="7">
        <v>0</v>
      </c>
      <c r="H3329" s="7">
        <v>0</v>
      </c>
      <c r="I3329" s="7">
        <v>0</v>
      </c>
      <c r="J3329" s="7">
        <v>0</v>
      </c>
      <c r="K3329" s="3">
        <f t="shared" si="120"/>
        <v>0</v>
      </c>
      <c r="L3329" s="3"/>
      <c r="M3329" s="3">
        <f t="shared" si="121"/>
        <v>0</v>
      </c>
      <c r="O3329" s="5"/>
      <c r="S3329" s="6"/>
    </row>
    <row r="3330" spans="1:22" customFormat="1" x14ac:dyDescent="0.45">
      <c r="A3330">
        <v>609819</v>
      </c>
      <c r="B3330" t="s">
        <v>22598</v>
      </c>
      <c r="C3330" t="s">
        <v>22599</v>
      </c>
      <c r="D3330">
        <v>2</v>
      </c>
      <c r="F3330" s="126"/>
      <c r="G3330" s="3">
        <v>0</v>
      </c>
      <c r="H3330" s="3">
        <v>0</v>
      </c>
      <c r="I3330" s="3">
        <v>0</v>
      </c>
      <c r="J3330" s="3">
        <v>0</v>
      </c>
      <c r="K3330" s="3">
        <f t="shared" si="120"/>
        <v>0</v>
      </c>
      <c r="L3330" s="3"/>
      <c r="M3330" s="3">
        <f t="shared" si="121"/>
        <v>0</v>
      </c>
      <c r="O3330" s="5"/>
      <c r="S3330" s="6"/>
    </row>
    <row r="3331" spans="1:22" customFormat="1" x14ac:dyDescent="0.45">
      <c r="A3331">
        <v>609980</v>
      </c>
      <c r="B3331" t="s">
        <v>22600</v>
      </c>
      <c r="C3331" t="s">
        <v>22601</v>
      </c>
      <c r="D3331">
        <v>1</v>
      </c>
      <c r="F3331" s="126"/>
      <c r="G3331" s="7">
        <v>0</v>
      </c>
      <c r="H3331" s="7">
        <v>0</v>
      </c>
      <c r="I3331" s="7">
        <v>0</v>
      </c>
      <c r="J3331" s="7">
        <v>0</v>
      </c>
      <c r="K3331" s="3">
        <f t="shared" si="120"/>
        <v>0</v>
      </c>
      <c r="L3331" s="3"/>
      <c r="M3331" s="3">
        <f t="shared" si="121"/>
        <v>0</v>
      </c>
      <c r="O3331" s="5"/>
      <c r="S3331" s="6"/>
    </row>
    <row r="3332" spans="1:22" customFormat="1" x14ac:dyDescent="0.45">
      <c r="A3332">
        <v>609997</v>
      </c>
      <c r="B3332" t="s">
        <v>22602</v>
      </c>
      <c r="C3332" t="s">
        <v>22603</v>
      </c>
      <c r="D3332">
        <v>4</v>
      </c>
      <c r="F3332" s="126"/>
      <c r="G3332" s="3">
        <v>0</v>
      </c>
      <c r="H3332" s="3">
        <v>0</v>
      </c>
      <c r="I3332" s="3">
        <v>0</v>
      </c>
      <c r="J3332" s="3">
        <v>0</v>
      </c>
      <c r="K3332" s="3">
        <f t="shared" si="120"/>
        <v>0</v>
      </c>
      <c r="L3332" s="3"/>
      <c r="M3332" s="3">
        <f t="shared" si="121"/>
        <v>0</v>
      </c>
      <c r="O3332" s="5"/>
      <c r="S3332" s="6"/>
    </row>
    <row r="3333" spans="1:22" customFormat="1" x14ac:dyDescent="0.45">
      <c r="A3333">
        <v>610000</v>
      </c>
      <c r="B3333" t="s">
        <v>22604</v>
      </c>
      <c r="C3333" t="s">
        <v>22605</v>
      </c>
      <c r="D3333">
        <v>3</v>
      </c>
      <c r="F3333" s="126"/>
      <c r="G3333" s="7">
        <v>0</v>
      </c>
      <c r="H3333" s="7">
        <v>0</v>
      </c>
      <c r="I3333" s="7">
        <v>0</v>
      </c>
      <c r="J3333" s="7">
        <v>0</v>
      </c>
      <c r="K3333" s="3">
        <f t="shared" si="120"/>
        <v>0</v>
      </c>
      <c r="L3333" s="3"/>
      <c r="M3333" s="3">
        <f t="shared" si="121"/>
        <v>0</v>
      </c>
      <c r="O3333" s="5"/>
      <c r="S3333" s="6"/>
    </row>
    <row r="3334" spans="1:22" customFormat="1" x14ac:dyDescent="0.45">
      <c r="A3334">
        <v>610011</v>
      </c>
      <c r="B3334" t="s">
        <v>22606</v>
      </c>
      <c r="C3334" t="s">
        <v>16331</v>
      </c>
      <c r="D3334">
        <v>1</v>
      </c>
      <c r="E3334" t="s">
        <v>16331</v>
      </c>
      <c r="F3334" s="126"/>
      <c r="G3334" s="7">
        <v>0</v>
      </c>
      <c r="H3334" s="7">
        <v>0</v>
      </c>
      <c r="I3334" s="7">
        <v>0</v>
      </c>
      <c r="J3334" s="7">
        <v>0</v>
      </c>
      <c r="K3334" s="3">
        <f t="shared" si="120"/>
        <v>0</v>
      </c>
      <c r="L3334" s="3"/>
      <c r="M3334" s="3">
        <f t="shared" si="121"/>
        <v>0</v>
      </c>
      <c r="O3334" s="5"/>
      <c r="S3334" s="6"/>
    </row>
    <row r="3335" spans="1:22" customFormat="1" x14ac:dyDescent="0.45">
      <c r="A3335">
        <v>610015</v>
      </c>
      <c r="B3335" t="s">
        <v>22607</v>
      </c>
      <c r="C3335" t="s">
        <v>22608</v>
      </c>
      <c r="D3335">
        <v>2</v>
      </c>
      <c r="F3335" s="126"/>
      <c r="G3335" s="7">
        <v>0</v>
      </c>
      <c r="H3335" s="7">
        <v>0</v>
      </c>
      <c r="I3335" s="7">
        <v>0</v>
      </c>
      <c r="J3335" s="7">
        <v>0</v>
      </c>
      <c r="K3335" s="3">
        <f t="shared" si="120"/>
        <v>0</v>
      </c>
      <c r="L3335" s="3"/>
      <c r="M3335" s="3">
        <f t="shared" si="121"/>
        <v>0</v>
      </c>
      <c r="O3335" s="5"/>
      <c r="S3335" s="6"/>
    </row>
    <row r="3336" spans="1:22" customFormat="1" x14ac:dyDescent="0.45">
      <c r="A3336">
        <v>610170</v>
      </c>
      <c r="B3336" t="s">
        <v>22609</v>
      </c>
      <c r="C3336" t="s">
        <v>22610</v>
      </c>
      <c r="D3336">
        <v>4</v>
      </c>
      <c r="F3336" s="126"/>
      <c r="G3336" s="7">
        <v>0</v>
      </c>
      <c r="H3336" s="7">
        <v>0</v>
      </c>
      <c r="I3336" s="7">
        <v>0</v>
      </c>
      <c r="J3336" s="7">
        <v>0</v>
      </c>
      <c r="K3336" s="3">
        <f t="shared" si="120"/>
        <v>0</v>
      </c>
      <c r="L3336" s="3"/>
      <c r="M3336" s="3">
        <f t="shared" si="121"/>
        <v>0</v>
      </c>
      <c r="O3336" s="5"/>
      <c r="S3336" s="6"/>
    </row>
    <row r="3337" spans="1:22" customFormat="1" x14ac:dyDescent="0.45">
      <c r="A3337">
        <v>610180</v>
      </c>
      <c r="B3337" t="s">
        <v>22611</v>
      </c>
      <c r="C3337" t="s">
        <v>22612</v>
      </c>
      <c r="D3337">
        <v>2</v>
      </c>
      <c r="F3337" s="126"/>
      <c r="G3337" s="3">
        <v>0</v>
      </c>
      <c r="H3337" s="3">
        <v>0</v>
      </c>
      <c r="I3337" s="3">
        <v>0</v>
      </c>
      <c r="J3337" s="3">
        <v>0</v>
      </c>
      <c r="K3337" s="3">
        <f t="shared" si="120"/>
        <v>0</v>
      </c>
      <c r="L3337" s="3"/>
      <c r="M3337" s="3">
        <f t="shared" si="121"/>
        <v>0</v>
      </c>
      <c r="O3337" s="5"/>
      <c r="S3337" s="6"/>
    </row>
    <row r="3338" spans="1:22" x14ac:dyDescent="0.45">
      <c r="A3338" s="124">
        <v>731027</v>
      </c>
      <c r="B3338" s="124" t="s">
        <v>22613</v>
      </c>
      <c r="C3338" s="124" t="s">
        <v>22614</v>
      </c>
      <c r="D3338" s="124">
        <v>2</v>
      </c>
      <c r="E3338" s="124" t="s">
        <v>16334</v>
      </c>
      <c r="F3338" s="126">
        <v>1.6999999999999999E-3</v>
      </c>
      <c r="G3338" s="126"/>
      <c r="H3338" s="126"/>
      <c r="I3338" s="127">
        <v>1.0500000000000001E-2</v>
      </c>
      <c r="J3338" s="127">
        <v>1.7000000000000001E-2</v>
      </c>
      <c r="K3338" s="126">
        <f t="shared" si="120"/>
        <v>2.7500000000000004E-2</v>
      </c>
      <c r="L3338" s="3"/>
      <c r="M3338" s="126">
        <f t="shared" si="121"/>
        <v>2.9200000000000004E-2</v>
      </c>
      <c r="O3338" s="131" t="s">
        <v>22615</v>
      </c>
      <c r="P3338" s="128" t="s">
        <v>26918</v>
      </c>
      <c r="Q3338" s="124">
        <f>207204+55816</f>
        <v>263020</v>
      </c>
      <c r="R3338" s="124" t="s">
        <v>16348</v>
      </c>
      <c r="S3338" s="132">
        <v>145463</v>
      </c>
      <c r="T3338" s="129">
        <f>S3338/Q3338</f>
        <v>0.55304919777963657</v>
      </c>
      <c r="V3338" s="125" t="s">
        <v>22616</v>
      </c>
    </row>
    <row r="3339" spans="1:22" customFormat="1" x14ac:dyDescent="0.45">
      <c r="A3339">
        <v>610182</v>
      </c>
      <c r="B3339" t="s">
        <v>22617</v>
      </c>
      <c r="C3339" t="s">
        <v>16331</v>
      </c>
      <c r="D3339">
        <v>1</v>
      </c>
      <c r="E3339" t="s">
        <v>16331</v>
      </c>
      <c r="F3339" s="126"/>
      <c r="G3339" s="7">
        <v>0</v>
      </c>
      <c r="H3339" s="7">
        <v>0</v>
      </c>
      <c r="I3339" s="7">
        <v>0</v>
      </c>
      <c r="J3339" s="7">
        <v>0</v>
      </c>
      <c r="K3339" s="3">
        <f t="shared" si="120"/>
        <v>0</v>
      </c>
      <c r="L3339" s="3"/>
      <c r="M3339" s="3">
        <f t="shared" si="121"/>
        <v>0</v>
      </c>
      <c r="O3339" s="5"/>
      <c r="S3339" s="6"/>
    </row>
    <row r="3340" spans="1:22" customFormat="1" x14ac:dyDescent="0.45">
      <c r="A3340">
        <v>610186</v>
      </c>
      <c r="B3340" t="s">
        <v>22618</v>
      </c>
      <c r="C3340" t="s">
        <v>16331</v>
      </c>
      <c r="D3340">
        <v>3</v>
      </c>
      <c r="E3340" t="s">
        <v>16331</v>
      </c>
      <c r="F3340" s="126"/>
      <c r="G3340" s="7">
        <v>0</v>
      </c>
      <c r="H3340" s="7">
        <v>0</v>
      </c>
      <c r="I3340" s="7">
        <v>0</v>
      </c>
      <c r="J3340" s="7">
        <v>0</v>
      </c>
      <c r="K3340" s="3">
        <f t="shared" si="120"/>
        <v>0</v>
      </c>
      <c r="L3340" s="3"/>
      <c r="M3340" s="3">
        <f t="shared" si="121"/>
        <v>0</v>
      </c>
      <c r="O3340" s="5"/>
      <c r="S3340" s="6"/>
    </row>
    <row r="3341" spans="1:22" customFormat="1" x14ac:dyDescent="0.45">
      <c r="A3341">
        <v>610230</v>
      </c>
      <c r="B3341" t="s">
        <v>22619</v>
      </c>
      <c r="C3341" t="s">
        <v>16331</v>
      </c>
      <c r="D3341">
        <v>1</v>
      </c>
      <c r="E3341" t="s">
        <v>16331</v>
      </c>
      <c r="F3341" s="126"/>
      <c r="G3341" s="7">
        <v>0</v>
      </c>
      <c r="H3341" s="7">
        <v>0</v>
      </c>
      <c r="I3341" s="7">
        <v>0</v>
      </c>
      <c r="J3341" s="7">
        <v>0</v>
      </c>
      <c r="K3341" s="3">
        <f t="shared" si="120"/>
        <v>0</v>
      </c>
      <c r="L3341" s="3"/>
      <c r="M3341" s="3">
        <f t="shared" si="121"/>
        <v>0</v>
      </c>
      <c r="O3341" s="5"/>
      <c r="S3341" s="6"/>
    </row>
    <row r="3342" spans="1:22" customFormat="1" x14ac:dyDescent="0.45">
      <c r="A3342">
        <v>610236</v>
      </c>
      <c r="B3342" t="s">
        <v>22620</v>
      </c>
      <c r="C3342" t="s">
        <v>16331</v>
      </c>
      <c r="D3342">
        <v>1</v>
      </c>
      <c r="E3342" t="s">
        <v>16331</v>
      </c>
      <c r="F3342" s="126"/>
      <c r="G3342" s="7">
        <v>0</v>
      </c>
      <c r="H3342" s="7">
        <v>0</v>
      </c>
      <c r="I3342" s="7">
        <v>0</v>
      </c>
      <c r="J3342" s="7">
        <v>0</v>
      </c>
      <c r="K3342" s="3">
        <f t="shared" si="120"/>
        <v>0</v>
      </c>
      <c r="L3342" s="3"/>
      <c r="M3342" s="3">
        <f t="shared" si="121"/>
        <v>0</v>
      </c>
      <c r="O3342" s="5"/>
      <c r="S3342" s="6"/>
    </row>
    <row r="3343" spans="1:22" customFormat="1" x14ac:dyDescent="0.45">
      <c r="A3343">
        <v>610237</v>
      </c>
      <c r="B3343" t="s">
        <v>22621</v>
      </c>
      <c r="C3343" t="s">
        <v>22622</v>
      </c>
      <c r="D3343">
        <v>13</v>
      </c>
      <c r="F3343" s="126"/>
      <c r="G3343" s="7">
        <v>0</v>
      </c>
      <c r="H3343" s="3">
        <v>0</v>
      </c>
      <c r="I3343" s="3">
        <v>0</v>
      </c>
      <c r="J3343">
        <v>0</v>
      </c>
      <c r="K3343" s="3">
        <f t="shared" si="120"/>
        <v>0</v>
      </c>
      <c r="L3343" s="3"/>
      <c r="M3343" s="3">
        <f t="shared" si="121"/>
        <v>0</v>
      </c>
      <c r="O3343" s="5"/>
      <c r="S3343" s="6"/>
    </row>
    <row r="3344" spans="1:22" customFormat="1" x14ac:dyDescent="0.45">
      <c r="A3344">
        <v>610239</v>
      </c>
      <c r="B3344" t="s">
        <v>22623</v>
      </c>
      <c r="C3344" t="s">
        <v>22624</v>
      </c>
      <c r="D3344">
        <v>2</v>
      </c>
      <c r="F3344" s="126"/>
      <c r="K3344" s="3">
        <f t="shared" si="120"/>
        <v>0</v>
      </c>
      <c r="L3344" s="3"/>
      <c r="M3344" s="3">
        <f t="shared" si="121"/>
        <v>0</v>
      </c>
      <c r="O3344" s="5"/>
      <c r="S3344" s="6"/>
    </row>
    <row r="3345" spans="1:19" customFormat="1" x14ac:dyDescent="0.45">
      <c r="A3345">
        <v>610277</v>
      </c>
      <c r="B3345" t="s">
        <v>22625</v>
      </c>
      <c r="C3345" t="s">
        <v>22626</v>
      </c>
      <c r="D3345">
        <v>3</v>
      </c>
      <c r="F3345" s="126"/>
      <c r="G3345" s="3">
        <v>0</v>
      </c>
      <c r="H3345" s="3">
        <v>0</v>
      </c>
      <c r="I3345" s="3">
        <v>0</v>
      </c>
      <c r="J3345" s="3">
        <v>0</v>
      </c>
      <c r="K3345" s="3">
        <f t="shared" si="120"/>
        <v>0</v>
      </c>
      <c r="L3345" s="3"/>
      <c r="M3345" s="3">
        <f t="shared" si="121"/>
        <v>0</v>
      </c>
      <c r="O3345" s="5"/>
      <c r="S3345" s="6"/>
    </row>
    <row r="3346" spans="1:19" customFormat="1" x14ac:dyDescent="0.45">
      <c r="A3346">
        <v>610287</v>
      </c>
      <c r="B3346" t="s">
        <v>22627</v>
      </c>
      <c r="C3346" t="s">
        <v>22628</v>
      </c>
      <c r="D3346">
        <v>2</v>
      </c>
      <c r="F3346" s="126"/>
      <c r="K3346" s="3">
        <f t="shared" si="120"/>
        <v>0</v>
      </c>
      <c r="L3346" s="3"/>
      <c r="M3346" s="3">
        <f t="shared" si="121"/>
        <v>0</v>
      </c>
      <c r="O3346" s="5"/>
      <c r="S3346" s="6"/>
    </row>
    <row r="3347" spans="1:19" customFormat="1" x14ac:dyDescent="0.45">
      <c r="A3347">
        <v>610290</v>
      </c>
      <c r="B3347" t="s">
        <v>22629</v>
      </c>
      <c r="C3347" t="s">
        <v>16331</v>
      </c>
      <c r="D3347">
        <v>0</v>
      </c>
      <c r="E3347" t="s">
        <v>16331</v>
      </c>
      <c r="F3347" s="126"/>
      <c r="G3347" s="7">
        <v>0</v>
      </c>
      <c r="H3347" s="7">
        <v>0</v>
      </c>
      <c r="I3347" s="7">
        <v>0</v>
      </c>
      <c r="J3347" s="7">
        <v>0</v>
      </c>
      <c r="K3347" s="3">
        <f t="shared" si="120"/>
        <v>0</v>
      </c>
      <c r="L3347" s="3"/>
      <c r="M3347" s="3">
        <f t="shared" si="121"/>
        <v>0</v>
      </c>
      <c r="N3347" s="7"/>
      <c r="O3347" s="5"/>
      <c r="S3347" s="6"/>
    </row>
    <row r="3348" spans="1:19" customFormat="1" x14ac:dyDescent="0.45">
      <c r="A3348">
        <v>610305</v>
      </c>
      <c r="B3348" t="s">
        <v>22630</v>
      </c>
      <c r="C3348" t="s">
        <v>22631</v>
      </c>
      <c r="D3348">
        <v>3</v>
      </c>
      <c r="F3348" s="126"/>
      <c r="G3348" s="3">
        <v>0</v>
      </c>
      <c r="H3348" s="3">
        <v>0</v>
      </c>
      <c r="I3348" s="3">
        <v>0</v>
      </c>
      <c r="J3348" s="3">
        <v>0</v>
      </c>
      <c r="K3348" s="3">
        <f t="shared" si="120"/>
        <v>0</v>
      </c>
      <c r="L3348" s="3"/>
      <c r="M3348" s="3">
        <f t="shared" si="121"/>
        <v>0</v>
      </c>
      <c r="O3348" s="5"/>
      <c r="S3348" s="6"/>
    </row>
    <row r="3349" spans="1:19" customFormat="1" x14ac:dyDescent="0.45">
      <c r="A3349">
        <v>610482</v>
      </c>
      <c r="B3349" t="s">
        <v>22632</v>
      </c>
      <c r="C3349" t="s">
        <v>22633</v>
      </c>
      <c r="D3349">
        <v>2</v>
      </c>
      <c r="F3349" s="126"/>
      <c r="G3349" s="3">
        <v>0</v>
      </c>
      <c r="H3349" s="3">
        <v>0</v>
      </c>
      <c r="I3349" s="3">
        <v>0</v>
      </c>
      <c r="J3349" s="3">
        <v>0</v>
      </c>
      <c r="K3349" s="3">
        <f t="shared" si="120"/>
        <v>0</v>
      </c>
      <c r="L3349" s="3"/>
      <c r="M3349" s="3">
        <f t="shared" si="121"/>
        <v>0</v>
      </c>
      <c r="O3349" s="5"/>
      <c r="S3349" s="6"/>
    </row>
    <row r="3350" spans="1:19" customFormat="1" x14ac:dyDescent="0.45">
      <c r="A3350">
        <v>610512</v>
      </c>
      <c r="B3350" t="s">
        <v>22634</v>
      </c>
      <c r="C3350" t="s">
        <v>16331</v>
      </c>
      <c r="D3350">
        <v>0</v>
      </c>
      <c r="E3350" t="s">
        <v>16331</v>
      </c>
      <c r="F3350" s="126"/>
      <c r="G3350" s="7">
        <v>0</v>
      </c>
      <c r="H3350" s="7">
        <v>0</v>
      </c>
      <c r="I3350" s="7">
        <v>0</v>
      </c>
      <c r="J3350" s="7">
        <v>0</v>
      </c>
      <c r="K3350" s="3">
        <f t="shared" si="120"/>
        <v>0</v>
      </c>
      <c r="L3350" s="3"/>
      <c r="M3350" s="3">
        <f t="shared" si="121"/>
        <v>0</v>
      </c>
      <c r="N3350" s="7"/>
      <c r="O3350" s="5"/>
      <c r="S3350" s="6"/>
    </row>
    <row r="3351" spans="1:19" customFormat="1" x14ac:dyDescent="0.45">
      <c r="A3351">
        <v>610519</v>
      </c>
      <c r="B3351" t="s">
        <v>22635</v>
      </c>
      <c r="C3351" t="s">
        <v>16331</v>
      </c>
      <c r="D3351">
        <v>2</v>
      </c>
      <c r="E3351" t="s">
        <v>16331</v>
      </c>
      <c r="F3351" s="126"/>
      <c r="G3351" s="7">
        <v>0</v>
      </c>
      <c r="H3351" s="7">
        <v>0</v>
      </c>
      <c r="I3351" s="7">
        <v>0</v>
      </c>
      <c r="J3351" s="7">
        <v>0</v>
      </c>
      <c r="K3351" s="3">
        <f t="shared" si="120"/>
        <v>0</v>
      </c>
      <c r="L3351" s="3"/>
      <c r="M3351" s="3">
        <f t="shared" si="121"/>
        <v>0</v>
      </c>
      <c r="O3351" s="5"/>
      <c r="S3351" s="6"/>
    </row>
    <row r="3352" spans="1:19" customFormat="1" x14ac:dyDescent="0.45">
      <c r="A3352">
        <v>610521</v>
      </c>
      <c r="B3352" t="s">
        <v>22636</v>
      </c>
      <c r="C3352" t="s">
        <v>22637</v>
      </c>
      <c r="D3352">
        <v>5</v>
      </c>
      <c r="F3352" s="126"/>
      <c r="K3352" s="3">
        <f t="shared" si="120"/>
        <v>0</v>
      </c>
      <c r="L3352" s="3"/>
      <c r="M3352" s="3">
        <f t="shared" si="121"/>
        <v>0</v>
      </c>
      <c r="O3352" s="5"/>
      <c r="S3352" s="6"/>
    </row>
    <row r="3353" spans="1:19" customFormat="1" x14ac:dyDescent="0.45">
      <c r="A3353">
        <v>610625</v>
      </c>
      <c r="B3353" t="s">
        <v>22638</v>
      </c>
      <c r="C3353" t="s">
        <v>16331</v>
      </c>
      <c r="D3353">
        <v>7</v>
      </c>
      <c r="E3353" t="s">
        <v>16331</v>
      </c>
      <c r="F3353" s="126"/>
      <c r="G3353" s="7">
        <v>0</v>
      </c>
      <c r="H3353" s="7">
        <v>0</v>
      </c>
      <c r="I3353" s="7">
        <v>0</v>
      </c>
      <c r="J3353" s="7">
        <v>0</v>
      </c>
      <c r="K3353" s="3">
        <f t="shared" si="120"/>
        <v>0</v>
      </c>
      <c r="L3353" s="3"/>
      <c r="M3353" s="3">
        <f t="shared" si="121"/>
        <v>0</v>
      </c>
      <c r="O3353" s="5"/>
      <c r="S3353" s="6"/>
    </row>
    <row r="3354" spans="1:19" customFormat="1" x14ac:dyDescent="0.45">
      <c r="A3354">
        <v>610629</v>
      </c>
      <c r="B3354" t="s">
        <v>22639</v>
      </c>
      <c r="C3354" t="s">
        <v>22640</v>
      </c>
      <c r="D3354">
        <v>3</v>
      </c>
      <c r="F3354" s="126"/>
      <c r="G3354" s="3">
        <v>0</v>
      </c>
      <c r="H3354" s="3">
        <v>0</v>
      </c>
      <c r="I3354" s="3">
        <v>0</v>
      </c>
      <c r="J3354" s="3">
        <v>0</v>
      </c>
      <c r="K3354" s="3">
        <f t="shared" si="120"/>
        <v>0</v>
      </c>
      <c r="L3354" s="3"/>
      <c r="M3354" s="3">
        <f t="shared" si="121"/>
        <v>0</v>
      </c>
      <c r="O3354" s="5"/>
      <c r="S3354" s="6"/>
    </row>
    <row r="3355" spans="1:19" customFormat="1" x14ac:dyDescent="0.45">
      <c r="A3355">
        <v>610634</v>
      </c>
      <c r="B3355" t="s">
        <v>22641</v>
      </c>
      <c r="C3355" t="s">
        <v>22642</v>
      </c>
      <c r="D3355">
        <v>2</v>
      </c>
      <c r="F3355" s="126"/>
      <c r="K3355" s="3">
        <f t="shared" si="120"/>
        <v>0</v>
      </c>
      <c r="L3355" s="3"/>
      <c r="M3355" s="3">
        <f t="shared" si="121"/>
        <v>0</v>
      </c>
      <c r="O3355" s="5"/>
      <c r="S3355" s="6"/>
    </row>
    <row r="3356" spans="1:19" customFormat="1" x14ac:dyDescent="0.45">
      <c r="A3356">
        <v>610670</v>
      </c>
      <c r="B3356" t="s">
        <v>22643</v>
      </c>
      <c r="C3356" t="s">
        <v>22644</v>
      </c>
      <c r="D3356">
        <v>1</v>
      </c>
      <c r="F3356" s="126"/>
      <c r="G3356" s="3">
        <v>0</v>
      </c>
      <c r="H3356" s="3">
        <v>0</v>
      </c>
      <c r="I3356" s="3">
        <v>0</v>
      </c>
      <c r="J3356" s="3">
        <v>0</v>
      </c>
      <c r="K3356" s="3">
        <f t="shared" si="120"/>
        <v>0</v>
      </c>
      <c r="L3356" s="3"/>
      <c r="M3356" s="3">
        <f t="shared" si="121"/>
        <v>0</v>
      </c>
      <c r="O3356" s="5"/>
      <c r="S3356" s="6"/>
    </row>
    <row r="3357" spans="1:19" customFormat="1" x14ac:dyDescent="0.45">
      <c r="A3357">
        <v>610798</v>
      </c>
      <c r="B3357" t="s">
        <v>22645</v>
      </c>
      <c r="C3357" t="s">
        <v>22646</v>
      </c>
      <c r="D3357">
        <v>1</v>
      </c>
      <c r="F3357" s="126"/>
      <c r="G3357" s="3">
        <v>0</v>
      </c>
      <c r="H3357" s="3">
        <v>0</v>
      </c>
      <c r="I3357" s="3">
        <v>0</v>
      </c>
      <c r="J3357" s="3">
        <v>0</v>
      </c>
      <c r="K3357" s="3">
        <f t="shared" si="120"/>
        <v>0</v>
      </c>
      <c r="L3357" s="3"/>
      <c r="M3357" s="3">
        <f t="shared" si="121"/>
        <v>0</v>
      </c>
      <c r="O3357" s="5"/>
      <c r="S3357" s="6"/>
    </row>
    <row r="3358" spans="1:19" customFormat="1" x14ac:dyDescent="0.45">
      <c r="A3358">
        <v>610800</v>
      </c>
      <c r="B3358" t="s">
        <v>22647</v>
      </c>
      <c r="C3358" t="s">
        <v>16331</v>
      </c>
      <c r="D3358">
        <v>1</v>
      </c>
      <c r="E3358" t="s">
        <v>16331</v>
      </c>
      <c r="F3358" s="126"/>
      <c r="K3358" s="3">
        <f t="shared" si="120"/>
        <v>0</v>
      </c>
      <c r="L3358" s="3"/>
      <c r="M3358" s="3">
        <f t="shared" si="121"/>
        <v>0</v>
      </c>
      <c r="O3358" s="5"/>
      <c r="S3358" s="6"/>
    </row>
    <row r="3359" spans="1:19" customFormat="1" x14ac:dyDescent="0.45">
      <c r="A3359">
        <v>610812</v>
      </c>
      <c r="B3359" t="s">
        <v>22648</v>
      </c>
      <c r="C3359" t="s">
        <v>22649</v>
      </c>
      <c r="D3359">
        <v>2</v>
      </c>
      <c r="F3359" s="126"/>
      <c r="G3359" s="7">
        <v>0</v>
      </c>
      <c r="H3359" s="7">
        <v>0</v>
      </c>
      <c r="I3359" s="7">
        <v>0</v>
      </c>
      <c r="J3359" s="7">
        <v>0</v>
      </c>
      <c r="K3359" s="3">
        <f t="shared" si="120"/>
        <v>0</v>
      </c>
      <c r="L3359" s="3"/>
      <c r="M3359" s="3">
        <f t="shared" si="121"/>
        <v>0</v>
      </c>
      <c r="O3359" s="5"/>
      <c r="S3359" s="6"/>
    </row>
    <row r="3360" spans="1:19" customFormat="1" x14ac:dyDescent="0.45">
      <c r="A3360">
        <v>610900</v>
      </c>
      <c r="B3360" t="s">
        <v>22650</v>
      </c>
      <c r="C3360" t="s">
        <v>22651</v>
      </c>
      <c r="D3360">
        <v>16</v>
      </c>
      <c r="F3360" s="126"/>
      <c r="G3360" s="7">
        <v>0</v>
      </c>
      <c r="H3360" s="7">
        <v>0</v>
      </c>
      <c r="I3360" s="7">
        <v>0</v>
      </c>
      <c r="J3360" s="7">
        <v>0</v>
      </c>
      <c r="K3360" s="3">
        <f t="shared" si="120"/>
        <v>0</v>
      </c>
      <c r="L3360" s="3"/>
      <c r="M3360" s="3">
        <f t="shared" si="121"/>
        <v>0</v>
      </c>
      <c r="O3360" s="5"/>
      <c r="S3360" s="6"/>
    </row>
    <row r="3361" spans="1:22" customFormat="1" x14ac:dyDescent="0.45">
      <c r="A3361">
        <v>610911</v>
      </c>
      <c r="B3361" t="s">
        <v>22652</v>
      </c>
      <c r="C3361" t="s">
        <v>16331</v>
      </c>
      <c r="D3361">
        <v>1</v>
      </c>
      <c r="E3361" t="s">
        <v>16331</v>
      </c>
      <c r="F3361" s="126"/>
      <c r="G3361" s="7">
        <v>0</v>
      </c>
      <c r="H3361" s="7">
        <v>0</v>
      </c>
      <c r="I3361" s="7">
        <v>0</v>
      </c>
      <c r="J3361" s="7">
        <v>0</v>
      </c>
      <c r="K3361" s="3">
        <f t="shared" si="120"/>
        <v>0</v>
      </c>
      <c r="L3361" s="3"/>
      <c r="M3361" s="3">
        <f t="shared" si="121"/>
        <v>0</v>
      </c>
      <c r="O3361" s="5"/>
      <c r="S3361" s="6"/>
    </row>
    <row r="3362" spans="1:22" customFormat="1" x14ac:dyDescent="0.45">
      <c r="A3362">
        <v>611045</v>
      </c>
      <c r="B3362" t="s">
        <v>22653</v>
      </c>
      <c r="C3362" t="s">
        <v>22654</v>
      </c>
      <c r="D3362">
        <v>2</v>
      </c>
      <c r="F3362" s="126"/>
      <c r="K3362" s="3">
        <f t="shared" ref="K3362:K3425" si="122">SUM(G3362:J3362)</f>
        <v>0</v>
      </c>
      <c r="L3362" s="3"/>
      <c r="M3362" s="3">
        <f t="shared" ref="M3362:M3425" si="123">K3362+F3362</f>
        <v>0</v>
      </c>
      <c r="O3362" s="5"/>
      <c r="S3362" s="6"/>
    </row>
    <row r="3363" spans="1:22" customFormat="1" x14ac:dyDescent="0.45">
      <c r="A3363">
        <v>611058</v>
      </c>
      <c r="B3363" t="s">
        <v>22655</v>
      </c>
      <c r="C3363" t="s">
        <v>22656</v>
      </c>
      <c r="D3363">
        <v>3</v>
      </c>
      <c r="F3363" s="126"/>
      <c r="G3363" s="7">
        <v>0</v>
      </c>
      <c r="H3363" s="7">
        <v>0</v>
      </c>
      <c r="I3363" s="7">
        <v>0</v>
      </c>
      <c r="J3363" s="7">
        <v>0</v>
      </c>
      <c r="K3363" s="3">
        <f t="shared" si="122"/>
        <v>0</v>
      </c>
      <c r="L3363" s="3"/>
      <c r="M3363" s="3">
        <f t="shared" si="123"/>
        <v>0</v>
      </c>
      <c r="O3363" s="5"/>
      <c r="S3363" s="6"/>
    </row>
    <row r="3364" spans="1:22" customFormat="1" x14ac:dyDescent="0.45">
      <c r="A3364">
        <v>611188</v>
      </c>
      <c r="B3364" t="s">
        <v>22657</v>
      </c>
      <c r="C3364" t="s">
        <v>22658</v>
      </c>
      <c r="D3364">
        <v>1</v>
      </c>
      <c r="F3364" s="126"/>
      <c r="G3364" s="3">
        <v>0</v>
      </c>
      <c r="H3364" s="3">
        <v>0</v>
      </c>
      <c r="I3364" s="3">
        <v>0</v>
      </c>
      <c r="J3364" s="3">
        <v>0</v>
      </c>
      <c r="K3364" s="3">
        <f t="shared" si="122"/>
        <v>0</v>
      </c>
      <c r="L3364" s="3"/>
      <c r="M3364" s="3">
        <f t="shared" si="123"/>
        <v>0</v>
      </c>
      <c r="O3364" s="5"/>
      <c r="S3364" s="6"/>
    </row>
    <row r="3365" spans="1:22" x14ac:dyDescent="0.45">
      <c r="A3365" s="124">
        <v>490519</v>
      </c>
      <c r="B3365" s="124" t="s">
        <v>22659</v>
      </c>
      <c r="C3365" s="125" t="s">
        <v>22660</v>
      </c>
      <c r="D3365" s="124">
        <v>53</v>
      </c>
      <c r="E3365" s="124" t="s">
        <v>16334</v>
      </c>
      <c r="F3365" s="126">
        <v>1.6999999999999999E-3</v>
      </c>
      <c r="G3365" s="126">
        <f>(850+750)/100000+1.5%</f>
        <v>3.1E-2</v>
      </c>
      <c r="H3365" s="126">
        <v>7.4999999999999997E-3</v>
      </c>
      <c r="I3365" s="127">
        <v>0</v>
      </c>
      <c r="J3365" s="127">
        <v>0</v>
      </c>
      <c r="K3365" s="126">
        <f t="shared" si="122"/>
        <v>3.85E-2</v>
      </c>
      <c r="L3365" s="3"/>
      <c r="M3365" s="126">
        <f t="shared" si="123"/>
        <v>4.02E-2</v>
      </c>
      <c r="N3365" s="135"/>
      <c r="O3365" s="131" t="s">
        <v>22661</v>
      </c>
      <c r="P3365" s="128" t="s">
        <v>26918</v>
      </c>
      <c r="Q3365" s="130">
        <f>964381+2507441</f>
        <v>3471822</v>
      </c>
      <c r="R3365" s="124" t="s">
        <v>16348</v>
      </c>
      <c r="S3365" s="132">
        <v>931974</v>
      </c>
      <c r="T3365" s="129">
        <f>S3365/Q3365</f>
        <v>0.26843945340515729</v>
      </c>
      <c r="V3365" s="125" t="s">
        <v>22662</v>
      </c>
    </row>
    <row r="3366" spans="1:22" customFormat="1" x14ac:dyDescent="0.45">
      <c r="A3366">
        <v>611382</v>
      </c>
      <c r="B3366" t="s">
        <v>22663</v>
      </c>
      <c r="C3366" t="s">
        <v>22664</v>
      </c>
      <c r="D3366">
        <v>3</v>
      </c>
      <c r="F3366" s="126"/>
      <c r="G3366" s="3">
        <v>0</v>
      </c>
      <c r="H3366" s="3">
        <v>0</v>
      </c>
      <c r="I3366" s="3">
        <v>0</v>
      </c>
      <c r="J3366" s="3">
        <v>0</v>
      </c>
      <c r="K3366" s="3">
        <f t="shared" si="122"/>
        <v>0</v>
      </c>
      <c r="L3366" s="3"/>
      <c r="M3366" s="3">
        <f t="shared" si="123"/>
        <v>0</v>
      </c>
      <c r="O3366" s="5"/>
      <c r="S3366" s="6"/>
    </row>
    <row r="3367" spans="1:22" customFormat="1" x14ac:dyDescent="0.45">
      <c r="A3367">
        <v>611399</v>
      </c>
      <c r="B3367" t="s">
        <v>22665</v>
      </c>
      <c r="C3367" t="s">
        <v>16331</v>
      </c>
      <c r="D3367">
        <v>1</v>
      </c>
      <c r="E3367" t="s">
        <v>16331</v>
      </c>
      <c r="F3367" s="126"/>
      <c r="G3367" s="7">
        <v>0</v>
      </c>
      <c r="H3367" s="7">
        <v>0</v>
      </c>
      <c r="I3367" s="7">
        <v>0</v>
      </c>
      <c r="J3367" s="7">
        <v>0</v>
      </c>
      <c r="K3367" s="3">
        <f t="shared" si="122"/>
        <v>0</v>
      </c>
      <c r="L3367" s="3"/>
      <c r="M3367" s="3">
        <f t="shared" si="123"/>
        <v>0</v>
      </c>
      <c r="O3367" s="5"/>
      <c r="S3367" s="6"/>
    </row>
    <row r="3368" spans="1:22" customFormat="1" x14ac:dyDescent="0.45">
      <c r="A3368">
        <v>611420</v>
      </c>
      <c r="B3368" t="s">
        <v>22666</v>
      </c>
      <c r="C3368" t="s">
        <v>22667</v>
      </c>
      <c r="D3368">
        <v>1</v>
      </c>
      <c r="F3368" s="126"/>
      <c r="G3368" s="3">
        <v>0</v>
      </c>
      <c r="H3368" s="3">
        <v>0</v>
      </c>
      <c r="I3368" s="3">
        <v>0</v>
      </c>
      <c r="J3368" s="3">
        <v>0</v>
      </c>
      <c r="K3368" s="3">
        <f t="shared" si="122"/>
        <v>0</v>
      </c>
      <c r="L3368" s="3"/>
      <c r="M3368" s="3">
        <f t="shared" si="123"/>
        <v>0</v>
      </c>
      <c r="O3368" s="5"/>
      <c r="S3368" s="6"/>
    </row>
    <row r="3369" spans="1:22" customFormat="1" x14ac:dyDescent="0.45">
      <c r="A3369">
        <v>611434</v>
      </c>
      <c r="B3369" t="s">
        <v>22668</v>
      </c>
      <c r="C3369" t="s">
        <v>22669</v>
      </c>
      <c r="D3369">
        <v>2</v>
      </c>
      <c r="F3369" s="126"/>
      <c r="G3369" s="7">
        <v>0</v>
      </c>
      <c r="H3369" s="7">
        <v>0</v>
      </c>
      <c r="I3369" s="7">
        <v>0</v>
      </c>
      <c r="J3369" s="7">
        <v>0</v>
      </c>
      <c r="K3369" s="3">
        <f t="shared" si="122"/>
        <v>0</v>
      </c>
      <c r="L3369" s="3"/>
      <c r="M3369" s="3">
        <f t="shared" si="123"/>
        <v>0</v>
      </c>
      <c r="O3369" s="5"/>
      <c r="S3369" s="6"/>
    </row>
    <row r="3370" spans="1:22" customFormat="1" x14ac:dyDescent="0.45">
      <c r="A3370">
        <v>611536</v>
      </c>
      <c r="B3370" t="s">
        <v>22670</v>
      </c>
      <c r="C3370" t="s">
        <v>22671</v>
      </c>
      <c r="D3370">
        <v>1</v>
      </c>
      <c r="F3370" s="126"/>
      <c r="G3370" s="7">
        <v>0</v>
      </c>
      <c r="H3370" s="7">
        <v>0</v>
      </c>
      <c r="I3370" s="7">
        <v>0</v>
      </c>
      <c r="J3370" s="7">
        <v>0</v>
      </c>
      <c r="K3370" s="3">
        <f t="shared" si="122"/>
        <v>0</v>
      </c>
      <c r="L3370" s="3"/>
      <c r="M3370" s="3">
        <f t="shared" si="123"/>
        <v>0</v>
      </c>
      <c r="O3370" s="5"/>
      <c r="S3370" s="6"/>
    </row>
    <row r="3371" spans="1:22" x14ac:dyDescent="0.45">
      <c r="A3371" s="124">
        <v>185513</v>
      </c>
      <c r="B3371" s="124" t="s">
        <v>22672</v>
      </c>
      <c r="C3371" s="124" t="s">
        <v>22673</v>
      </c>
      <c r="D3371" s="124">
        <v>19</v>
      </c>
      <c r="E3371" s="124" t="s">
        <v>16334</v>
      </c>
      <c r="F3371" s="126">
        <v>1.6999999999999999E-3</v>
      </c>
      <c r="G3371" s="126">
        <f>((995+4995)/2)/100000</f>
        <v>2.9950000000000001E-2</v>
      </c>
      <c r="H3371" s="126">
        <v>0.01</v>
      </c>
      <c r="I3371" s="127">
        <v>0</v>
      </c>
      <c r="J3371" s="127">
        <v>0</v>
      </c>
      <c r="K3371" s="126">
        <f t="shared" si="122"/>
        <v>3.9949999999999999E-2</v>
      </c>
      <c r="L3371" s="3"/>
      <c r="M3371" s="126">
        <f t="shared" si="123"/>
        <v>4.165E-2</v>
      </c>
      <c r="O3371" s="125" t="s">
        <v>22674</v>
      </c>
      <c r="P3371" s="128" t="s">
        <v>26918</v>
      </c>
      <c r="Q3371" s="130">
        <f>502894+514862</f>
        <v>1017756</v>
      </c>
      <c r="R3371" s="124" t="s">
        <v>16348</v>
      </c>
      <c r="S3371" s="130">
        <v>442144</v>
      </c>
      <c r="T3371" s="129">
        <f>S3371/Q3371</f>
        <v>0.43443025636793103</v>
      </c>
      <c r="V3371" s="125" t="s">
        <v>22675</v>
      </c>
    </row>
    <row r="3372" spans="1:22" customFormat="1" x14ac:dyDescent="0.45">
      <c r="A3372">
        <v>612117</v>
      </c>
      <c r="B3372" t="s">
        <v>22676</v>
      </c>
      <c r="C3372" t="s">
        <v>16331</v>
      </c>
      <c r="D3372">
        <v>8</v>
      </c>
      <c r="E3372" t="s">
        <v>16331</v>
      </c>
      <c r="F3372" s="126"/>
      <c r="K3372" s="3">
        <f t="shared" si="122"/>
        <v>0</v>
      </c>
      <c r="L3372" s="3"/>
      <c r="M3372" s="3">
        <f t="shared" si="123"/>
        <v>0</v>
      </c>
      <c r="O3372" s="5"/>
      <c r="S3372" s="6"/>
    </row>
    <row r="3373" spans="1:22" customFormat="1" x14ac:dyDescent="0.45">
      <c r="A3373">
        <v>612464</v>
      </c>
      <c r="B3373" t="s">
        <v>22677</v>
      </c>
      <c r="C3373" t="s">
        <v>16331</v>
      </c>
      <c r="D3373">
        <v>1</v>
      </c>
      <c r="E3373" t="s">
        <v>16331</v>
      </c>
      <c r="F3373" s="126"/>
      <c r="K3373" s="3">
        <f t="shared" si="122"/>
        <v>0</v>
      </c>
      <c r="L3373" s="3"/>
      <c r="M3373" s="3">
        <f t="shared" si="123"/>
        <v>0</v>
      </c>
      <c r="O3373" s="5"/>
      <c r="S3373" s="6"/>
    </row>
    <row r="3374" spans="1:22" customFormat="1" x14ac:dyDescent="0.45">
      <c r="A3374">
        <v>612476</v>
      </c>
      <c r="B3374" t="s">
        <v>22678</v>
      </c>
      <c r="C3374" t="s">
        <v>16331</v>
      </c>
      <c r="D3374">
        <v>2</v>
      </c>
      <c r="E3374" t="s">
        <v>16331</v>
      </c>
      <c r="F3374" s="126"/>
      <c r="G3374" s="7">
        <v>0</v>
      </c>
      <c r="H3374" s="7">
        <v>0</v>
      </c>
      <c r="I3374" s="7">
        <v>0</v>
      </c>
      <c r="J3374" s="7">
        <v>0</v>
      </c>
      <c r="K3374" s="3">
        <f t="shared" si="122"/>
        <v>0</v>
      </c>
      <c r="L3374" s="3"/>
      <c r="M3374" s="3">
        <f t="shared" si="123"/>
        <v>0</v>
      </c>
      <c r="O3374" s="5"/>
      <c r="S3374" s="6"/>
    </row>
    <row r="3375" spans="1:22" customFormat="1" x14ac:dyDescent="0.45">
      <c r="A3375">
        <v>612493</v>
      </c>
      <c r="B3375" t="s">
        <v>22679</v>
      </c>
      <c r="C3375" t="s">
        <v>16331</v>
      </c>
      <c r="D3375">
        <v>2</v>
      </c>
      <c r="E3375" t="s">
        <v>16331</v>
      </c>
      <c r="F3375" s="126"/>
      <c r="G3375" s="7">
        <v>0</v>
      </c>
      <c r="H3375" s="7">
        <v>0</v>
      </c>
      <c r="I3375" s="7">
        <v>0</v>
      </c>
      <c r="J3375" s="7">
        <v>0</v>
      </c>
      <c r="K3375" s="3">
        <f t="shared" si="122"/>
        <v>0</v>
      </c>
      <c r="L3375" s="3"/>
      <c r="M3375" s="3">
        <f t="shared" si="123"/>
        <v>0</v>
      </c>
      <c r="O3375" s="5"/>
      <c r="S3375" s="6"/>
    </row>
    <row r="3376" spans="1:22" customFormat="1" x14ac:dyDescent="0.45">
      <c r="A3376">
        <v>612587</v>
      </c>
      <c r="B3376" t="s">
        <v>22680</v>
      </c>
      <c r="C3376" t="s">
        <v>22681</v>
      </c>
      <c r="D3376">
        <v>6</v>
      </c>
      <c r="F3376" s="126"/>
      <c r="G3376" s="3">
        <v>0</v>
      </c>
      <c r="H3376" s="3">
        <v>0</v>
      </c>
      <c r="I3376" s="3">
        <v>0</v>
      </c>
      <c r="J3376" s="3">
        <v>0</v>
      </c>
      <c r="K3376" s="3">
        <f t="shared" si="122"/>
        <v>0</v>
      </c>
      <c r="L3376" s="3"/>
      <c r="M3376" s="3">
        <f t="shared" si="123"/>
        <v>0</v>
      </c>
      <c r="O3376" s="5"/>
      <c r="S3376" s="6"/>
    </row>
    <row r="3377" spans="1:24" customFormat="1" x14ac:dyDescent="0.45">
      <c r="A3377">
        <v>612749</v>
      </c>
      <c r="B3377" t="s">
        <v>22682</v>
      </c>
      <c r="C3377" t="s">
        <v>16331</v>
      </c>
      <c r="D3377">
        <v>1</v>
      </c>
      <c r="E3377" t="s">
        <v>16331</v>
      </c>
      <c r="F3377" s="126"/>
      <c r="G3377" s="7">
        <v>0</v>
      </c>
      <c r="H3377" s="7">
        <v>0</v>
      </c>
      <c r="I3377" s="7">
        <v>0</v>
      </c>
      <c r="J3377" s="7">
        <v>0</v>
      </c>
      <c r="K3377" s="3">
        <f t="shared" si="122"/>
        <v>0</v>
      </c>
      <c r="L3377" s="3"/>
      <c r="M3377" s="3">
        <f t="shared" si="123"/>
        <v>0</v>
      </c>
      <c r="O3377" s="5"/>
      <c r="S3377" s="6"/>
    </row>
    <row r="3378" spans="1:24" customFormat="1" x14ac:dyDescent="0.45">
      <c r="A3378">
        <v>612757</v>
      </c>
      <c r="B3378" t="s">
        <v>22683</v>
      </c>
      <c r="C3378" t="s">
        <v>16331</v>
      </c>
      <c r="D3378">
        <v>1</v>
      </c>
      <c r="E3378" t="s">
        <v>16331</v>
      </c>
      <c r="F3378" s="126"/>
      <c r="G3378" s="7">
        <v>0</v>
      </c>
      <c r="H3378" s="7">
        <v>0</v>
      </c>
      <c r="I3378" s="7">
        <v>0</v>
      </c>
      <c r="J3378" s="7">
        <v>0</v>
      </c>
      <c r="K3378" s="3">
        <f t="shared" si="122"/>
        <v>0</v>
      </c>
      <c r="L3378" s="3"/>
      <c r="M3378" s="3">
        <f t="shared" si="123"/>
        <v>0</v>
      </c>
      <c r="O3378" s="5"/>
      <c r="S3378" s="6"/>
    </row>
    <row r="3379" spans="1:24" customFormat="1" x14ac:dyDescent="0.45">
      <c r="A3379">
        <v>613008</v>
      </c>
      <c r="B3379" t="s">
        <v>22684</v>
      </c>
      <c r="C3379" t="s">
        <v>16331</v>
      </c>
      <c r="D3379">
        <v>5</v>
      </c>
      <c r="E3379" t="s">
        <v>16331</v>
      </c>
      <c r="F3379" s="126"/>
      <c r="G3379" s="7">
        <v>0</v>
      </c>
      <c r="H3379" s="7">
        <v>0</v>
      </c>
      <c r="I3379" s="7">
        <v>0</v>
      </c>
      <c r="J3379" s="7">
        <v>0</v>
      </c>
      <c r="K3379" s="3">
        <f t="shared" si="122"/>
        <v>0</v>
      </c>
      <c r="L3379" s="3"/>
      <c r="M3379" s="3">
        <f t="shared" si="123"/>
        <v>0</v>
      </c>
      <c r="O3379" s="5"/>
      <c r="S3379" s="6"/>
    </row>
    <row r="3380" spans="1:24" customFormat="1" x14ac:dyDescent="0.45">
      <c r="A3380">
        <v>613020</v>
      </c>
      <c r="B3380" t="s">
        <v>22685</v>
      </c>
      <c r="C3380" t="s">
        <v>22686</v>
      </c>
      <c r="D3380">
        <v>2</v>
      </c>
      <c r="F3380" s="126"/>
      <c r="K3380" s="3">
        <f t="shared" si="122"/>
        <v>0</v>
      </c>
      <c r="L3380" s="3"/>
      <c r="M3380" s="3">
        <f t="shared" si="123"/>
        <v>0</v>
      </c>
      <c r="O3380" s="5"/>
      <c r="S3380" s="6"/>
    </row>
    <row r="3381" spans="1:24" customFormat="1" x14ac:dyDescent="0.45">
      <c r="A3381">
        <v>613111</v>
      </c>
      <c r="B3381" t="s">
        <v>22687</v>
      </c>
      <c r="C3381" t="s">
        <v>16331</v>
      </c>
      <c r="D3381">
        <v>1</v>
      </c>
      <c r="E3381" t="s">
        <v>16331</v>
      </c>
      <c r="F3381" s="126"/>
      <c r="G3381" s="7">
        <v>0</v>
      </c>
      <c r="H3381" s="7">
        <v>0</v>
      </c>
      <c r="I3381" s="7">
        <v>0</v>
      </c>
      <c r="J3381" s="7">
        <v>0</v>
      </c>
      <c r="K3381" s="3">
        <f t="shared" si="122"/>
        <v>0</v>
      </c>
      <c r="L3381" s="3"/>
      <c r="M3381" s="3">
        <f t="shared" si="123"/>
        <v>0</v>
      </c>
      <c r="O3381" s="5"/>
      <c r="S3381" s="6"/>
    </row>
    <row r="3382" spans="1:24" customFormat="1" x14ac:dyDescent="0.45">
      <c r="A3382">
        <v>613250</v>
      </c>
      <c r="B3382" t="s">
        <v>22688</v>
      </c>
      <c r="C3382" t="s">
        <v>16331</v>
      </c>
      <c r="D3382">
        <v>3</v>
      </c>
      <c r="E3382" t="s">
        <v>16331</v>
      </c>
      <c r="F3382" s="126"/>
      <c r="G3382" s="7">
        <v>0</v>
      </c>
      <c r="H3382" s="7">
        <v>0</v>
      </c>
      <c r="I3382" s="7">
        <v>0</v>
      </c>
      <c r="J3382" s="7">
        <v>0</v>
      </c>
      <c r="K3382" s="3">
        <f t="shared" si="122"/>
        <v>0</v>
      </c>
      <c r="L3382" s="3"/>
      <c r="M3382" s="3">
        <f t="shared" si="123"/>
        <v>0</v>
      </c>
      <c r="O3382" s="5"/>
      <c r="S3382" s="6"/>
    </row>
    <row r="3383" spans="1:24" customFormat="1" x14ac:dyDescent="0.45">
      <c r="A3383">
        <v>613261</v>
      </c>
      <c r="B3383" t="s">
        <v>22689</v>
      </c>
      <c r="C3383" t="s">
        <v>16331</v>
      </c>
      <c r="D3383">
        <v>1</v>
      </c>
      <c r="E3383" t="s">
        <v>16331</v>
      </c>
      <c r="F3383" s="126"/>
      <c r="G3383" s="7">
        <v>0</v>
      </c>
      <c r="H3383" s="7">
        <v>0</v>
      </c>
      <c r="I3383" s="7">
        <v>0</v>
      </c>
      <c r="J3383" s="7">
        <v>0</v>
      </c>
      <c r="K3383" s="3">
        <f t="shared" si="122"/>
        <v>0</v>
      </c>
      <c r="L3383" s="3"/>
      <c r="M3383" s="3">
        <f t="shared" si="123"/>
        <v>0</v>
      </c>
      <c r="O3383" s="5"/>
      <c r="S3383" s="6"/>
    </row>
    <row r="3384" spans="1:24" customFormat="1" x14ac:dyDescent="0.45">
      <c r="A3384">
        <v>613305</v>
      </c>
      <c r="B3384" t="s">
        <v>22690</v>
      </c>
      <c r="C3384" t="s">
        <v>22691</v>
      </c>
      <c r="D3384">
        <v>1</v>
      </c>
      <c r="F3384" s="126"/>
      <c r="G3384" s="7">
        <v>0</v>
      </c>
      <c r="H3384" s="7">
        <v>0</v>
      </c>
      <c r="I3384" s="7">
        <v>0</v>
      </c>
      <c r="J3384" s="7">
        <v>0</v>
      </c>
      <c r="K3384" s="3">
        <f t="shared" si="122"/>
        <v>0</v>
      </c>
      <c r="L3384" s="3"/>
      <c r="M3384" s="3">
        <f t="shared" si="123"/>
        <v>0</v>
      </c>
      <c r="N3384" t="s">
        <v>22692</v>
      </c>
      <c r="O3384" s="5"/>
      <c r="S3384" s="6"/>
    </row>
    <row r="3385" spans="1:24" customFormat="1" x14ac:dyDescent="0.45">
      <c r="A3385">
        <v>613327</v>
      </c>
      <c r="B3385" t="s">
        <v>22693</v>
      </c>
      <c r="C3385" t="s">
        <v>22694</v>
      </c>
      <c r="D3385">
        <v>10</v>
      </c>
      <c r="F3385" s="126"/>
      <c r="G3385" s="7">
        <v>0</v>
      </c>
      <c r="H3385" s="7">
        <v>0</v>
      </c>
      <c r="I3385" s="7">
        <v>0</v>
      </c>
      <c r="J3385" s="7">
        <v>0</v>
      </c>
      <c r="K3385" s="3">
        <f t="shared" si="122"/>
        <v>0</v>
      </c>
      <c r="L3385" s="3"/>
      <c r="M3385" s="3">
        <f t="shared" si="123"/>
        <v>0</v>
      </c>
      <c r="N3385" s="7"/>
      <c r="O3385" s="5"/>
      <c r="S3385" s="6"/>
    </row>
    <row r="3386" spans="1:24" customFormat="1" x14ac:dyDescent="0.45">
      <c r="A3386">
        <v>613480</v>
      </c>
      <c r="B3386" t="s">
        <v>22695</v>
      </c>
      <c r="C3386" t="s">
        <v>16331</v>
      </c>
      <c r="D3386">
        <v>1</v>
      </c>
      <c r="E3386" t="s">
        <v>16331</v>
      </c>
      <c r="F3386" s="126"/>
      <c r="K3386" s="3">
        <f t="shared" si="122"/>
        <v>0</v>
      </c>
      <c r="L3386" s="3"/>
      <c r="M3386" s="3">
        <f t="shared" si="123"/>
        <v>0</v>
      </c>
      <c r="O3386" s="5"/>
      <c r="S3386" s="6"/>
    </row>
    <row r="3387" spans="1:24" customFormat="1" x14ac:dyDescent="0.45">
      <c r="A3387">
        <v>613500</v>
      </c>
      <c r="B3387" t="s">
        <v>22696</v>
      </c>
      <c r="C3387" t="s">
        <v>22697</v>
      </c>
      <c r="D3387">
        <v>10</v>
      </c>
      <c r="F3387" s="126"/>
      <c r="G3387" s="7">
        <v>0</v>
      </c>
      <c r="H3387" s="7">
        <v>0</v>
      </c>
      <c r="I3387" s="7">
        <v>0</v>
      </c>
      <c r="J3387" s="7">
        <v>0</v>
      </c>
      <c r="K3387" s="3">
        <f t="shared" si="122"/>
        <v>0</v>
      </c>
      <c r="L3387" s="3"/>
      <c r="M3387" s="3">
        <f t="shared" si="123"/>
        <v>0</v>
      </c>
      <c r="O3387" s="5"/>
      <c r="S3387" s="6"/>
    </row>
    <row r="3388" spans="1:24" x14ac:dyDescent="0.45">
      <c r="A3388" s="124">
        <v>987288</v>
      </c>
      <c r="B3388" s="124" t="s">
        <v>22698</v>
      </c>
      <c r="C3388" s="124" t="s">
        <v>22699</v>
      </c>
      <c r="D3388" s="124">
        <v>1</v>
      </c>
      <c r="E3388" s="124" t="s">
        <v>16334</v>
      </c>
      <c r="F3388" s="126">
        <v>1.6999999999999999E-3</v>
      </c>
      <c r="G3388" s="126">
        <v>1.4999999999999999E-2</v>
      </c>
      <c r="H3388" s="126"/>
      <c r="I3388" s="127"/>
      <c r="J3388" s="127">
        <v>0</v>
      </c>
      <c r="K3388" s="126">
        <f t="shared" si="122"/>
        <v>1.4999999999999999E-2</v>
      </c>
      <c r="L3388" s="53"/>
      <c r="M3388" s="126">
        <f t="shared" si="123"/>
        <v>1.67E-2</v>
      </c>
      <c r="N3388" s="124" t="s">
        <v>20811</v>
      </c>
      <c r="O3388" s="131" t="s">
        <v>22700</v>
      </c>
      <c r="P3388" s="128" t="s">
        <v>26918</v>
      </c>
      <c r="Q3388" s="132">
        <f>12620+116055</f>
        <v>128675</v>
      </c>
      <c r="R3388" s="124" t="s">
        <v>16348</v>
      </c>
      <c r="S3388" s="145">
        <v>80048</v>
      </c>
      <c r="T3388" s="129">
        <f>S3388/Q3388</f>
        <v>0.62209442393627357</v>
      </c>
      <c r="V3388" s="125" t="s">
        <v>22701</v>
      </c>
      <c r="X3388" s="124" t="s">
        <v>22702</v>
      </c>
    </row>
    <row r="3389" spans="1:24" customFormat="1" x14ac:dyDescent="0.45">
      <c r="A3389">
        <v>613572</v>
      </c>
      <c r="B3389" t="s">
        <v>22703</v>
      </c>
      <c r="C3389" t="s">
        <v>22704</v>
      </c>
      <c r="D3389">
        <v>0</v>
      </c>
      <c r="E3389" t="s">
        <v>16561</v>
      </c>
      <c r="F3389" s="126"/>
      <c r="G3389" s="7">
        <v>0</v>
      </c>
      <c r="H3389" s="7">
        <v>0</v>
      </c>
      <c r="I3389" s="7">
        <v>0</v>
      </c>
      <c r="J3389" s="7">
        <v>0</v>
      </c>
      <c r="K3389" s="3">
        <f t="shared" si="122"/>
        <v>0</v>
      </c>
      <c r="L3389" s="3"/>
      <c r="M3389" s="3">
        <f t="shared" si="123"/>
        <v>0</v>
      </c>
      <c r="N3389" s="7"/>
      <c r="O3389" s="5"/>
      <c r="S3389" s="6"/>
    </row>
    <row r="3390" spans="1:24" customFormat="1" x14ac:dyDescent="0.45">
      <c r="A3390">
        <v>613665</v>
      </c>
      <c r="B3390" t="s">
        <v>22705</v>
      </c>
      <c r="C3390" t="s">
        <v>22706</v>
      </c>
      <c r="D3390">
        <v>0</v>
      </c>
      <c r="E3390" t="s">
        <v>16334</v>
      </c>
      <c r="F3390" s="126"/>
      <c r="G3390" s="7">
        <v>0</v>
      </c>
      <c r="H3390" s="3">
        <v>0</v>
      </c>
      <c r="I3390" s="3">
        <v>0</v>
      </c>
      <c r="J3390">
        <v>0</v>
      </c>
      <c r="K3390" s="3">
        <f t="shared" si="122"/>
        <v>0</v>
      </c>
      <c r="L3390" s="3"/>
      <c r="M3390" s="3">
        <f t="shared" si="123"/>
        <v>0</v>
      </c>
      <c r="O3390" s="5"/>
      <c r="S3390" s="6"/>
    </row>
    <row r="3391" spans="1:24" customFormat="1" x14ac:dyDescent="0.45">
      <c r="A3391">
        <v>613677</v>
      </c>
      <c r="B3391" t="s">
        <v>22707</v>
      </c>
      <c r="C3391" t="s">
        <v>22708</v>
      </c>
      <c r="D3391">
        <v>3</v>
      </c>
      <c r="F3391" s="126"/>
      <c r="G3391" s="3">
        <v>0</v>
      </c>
      <c r="H3391" s="3">
        <v>0</v>
      </c>
      <c r="I3391" s="3">
        <v>0</v>
      </c>
      <c r="J3391" s="3">
        <v>0</v>
      </c>
      <c r="K3391" s="3">
        <f t="shared" si="122"/>
        <v>0</v>
      </c>
      <c r="L3391" s="3"/>
      <c r="M3391" s="3">
        <f t="shared" si="123"/>
        <v>0</v>
      </c>
      <c r="O3391" s="5"/>
      <c r="S3391" s="6"/>
    </row>
    <row r="3392" spans="1:24" customFormat="1" x14ac:dyDescent="0.45">
      <c r="A3392">
        <v>615204</v>
      </c>
      <c r="B3392" t="s">
        <v>22709</v>
      </c>
      <c r="C3392" t="s">
        <v>16331</v>
      </c>
      <c r="D3392">
        <v>1</v>
      </c>
      <c r="E3392" t="s">
        <v>16331</v>
      </c>
      <c r="F3392" s="126"/>
      <c r="K3392" s="3">
        <f t="shared" si="122"/>
        <v>0</v>
      </c>
      <c r="L3392" s="3"/>
      <c r="M3392" s="3">
        <f t="shared" si="123"/>
        <v>0</v>
      </c>
      <c r="O3392" s="5"/>
      <c r="S3392" s="6"/>
    </row>
    <row r="3393" spans="1:19" customFormat="1" x14ac:dyDescent="0.45">
      <c r="A3393">
        <v>615229</v>
      </c>
      <c r="B3393" t="s">
        <v>22710</v>
      </c>
      <c r="C3393" t="s">
        <v>22711</v>
      </c>
      <c r="D3393">
        <v>1</v>
      </c>
      <c r="F3393" s="126"/>
      <c r="K3393" s="3">
        <f t="shared" si="122"/>
        <v>0</v>
      </c>
      <c r="L3393" s="3"/>
      <c r="M3393" s="3">
        <f t="shared" si="123"/>
        <v>0</v>
      </c>
      <c r="O3393" s="5"/>
      <c r="S3393" s="6"/>
    </row>
    <row r="3394" spans="1:19" customFormat="1" x14ac:dyDescent="0.45">
      <c r="A3394">
        <v>615267</v>
      </c>
      <c r="B3394" t="s">
        <v>22712</v>
      </c>
      <c r="C3394" t="s">
        <v>22713</v>
      </c>
      <c r="D3394">
        <v>5</v>
      </c>
      <c r="F3394" s="126"/>
      <c r="G3394" s="3">
        <v>0</v>
      </c>
      <c r="H3394" s="3">
        <v>0</v>
      </c>
      <c r="I3394" s="3">
        <v>0</v>
      </c>
      <c r="J3394" s="3">
        <v>0</v>
      </c>
      <c r="K3394" s="3">
        <f t="shared" si="122"/>
        <v>0</v>
      </c>
      <c r="L3394" s="3"/>
      <c r="M3394" s="3">
        <f t="shared" si="123"/>
        <v>0</v>
      </c>
      <c r="O3394" s="5"/>
      <c r="S3394" s="6"/>
    </row>
    <row r="3395" spans="1:19" customFormat="1" x14ac:dyDescent="0.45">
      <c r="A3395">
        <v>615273</v>
      </c>
      <c r="B3395" t="s">
        <v>22714</v>
      </c>
      <c r="C3395" t="s">
        <v>22715</v>
      </c>
      <c r="D3395">
        <v>10</v>
      </c>
      <c r="F3395" s="126"/>
      <c r="G3395" s="3">
        <v>0</v>
      </c>
      <c r="H3395" s="3">
        <v>0</v>
      </c>
      <c r="I3395" s="3">
        <v>0</v>
      </c>
      <c r="J3395" s="3">
        <v>0</v>
      </c>
      <c r="K3395" s="3">
        <f t="shared" si="122"/>
        <v>0</v>
      </c>
      <c r="L3395" s="3"/>
      <c r="M3395" s="3">
        <f t="shared" si="123"/>
        <v>0</v>
      </c>
      <c r="O3395" s="5"/>
      <c r="S3395" s="6"/>
    </row>
    <row r="3396" spans="1:19" customFormat="1" x14ac:dyDescent="0.45">
      <c r="A3396">
        <v>615332</v>
      </c>
      <c r="B3396" t="s">
        <v>22716</v>
      </c>
      <c r="C3396" t="s">
        <v>22717</v>
      </c>
      <c r="D3396">
        <v>1</v>
      </c>
      <c r="F3396" s="126"/>
      <c r="G3396" s="7">
        <v>0</v>
      </c>
      <c r="H3396" s="7">
        <v>0</v>
      </c>
      <c r="I3396" s="7">
        <v>0</v>
      </c>
      <c r="J3396" s="7">
        <v>0</v>
      </c>
      <c r="K3396" s="3">
        <f t="shared" si="122"/>
        <v>0</v>
      </c>
      <c r="L3396" s="3"/>
      <c r="M3396" s="3">
        <f t="shared" si="123"/>
        <v>0</v>
      </c>
      <c r="O3396" s="5"/>
      <c r="S3396" s="6"/>
    </row>
    <row r="3397" spans="1:19" customFormat="1" x14ac:dyDescent="0.45">
      <c r="A3397">
        <v>615364</v>
      </c>
      <c r="B3397" t="s">
        <v>22718</v>
      </c>
      <c r="C3397" t="s">
        <v>22719</v>
      </c>
      <c r="D3397">
        <v>1</v>
      </c>
      <c r="F3397" s="126"/>
      <c r="G3397" s="7">
        <v>0</v>
      </c>
      <c r="H3397" s="7">
        <v>0</v>
      </c>
      <c r="I3397" s="7">
        <v>0</v>
      </c>
      <c r="J3397" s="7">
        <v>0</v>
      </c>
      <c r="K3397" s="3">
        <f t="shared" si="122"/>
        <v>0</v>
      </c>
      <c r="L3397" s="3"/>
      <c r="M3397" s="3">
        <f t="shared" si="123"/>
        <v>0</v>
      </c>
      <c r="O3397" s="5"/>
      <c r="S3397" s="6"/>
    </row>
    <row r="3398" spans="1:19" customFormat="1" x14ac:dyDescent="0.45">
      <c r="A3398">
        <v>615369</v>
      </c>
      <c r="B3398" t="s">
        <v>22720</v>
      </c>
      <c r="C3398" t="s">
        <v>22721</v>
      </c>
      <c r="D3398">
        <v>3</v>
      </c>
      <c r="F3398" s="126"/>
      <c r="G3398" s="3">
        <v>0</v>
      </c>
      <c r="H3398" s="3">
        <v>0</v>
      </c>
      <c r="I3398" s="3">
        <v>0</v>
      </c>
      <c r="J3398" s="3">
        <v>0</v>
      </c>
      <c r="K3398" s="3">
        <f t="shared" si="122"/>
        <v>0</v>
      </c>
      <c r="L3398" s="3"/>
      <c r="M3398" s="3">
        <f t="shared" si="123"/>
        <v>0</v>
      </c>
      <c r="O3398" s="5"/>
      <c r="S3398" s="6"/>
    </row>
    <row r="3399" spans="1:19" customFormat="1" x14ac:dyDescent="0.45">
      <c r="A3399">
        <v>615479</v>
      </c>
      <c r="B3399" t="s">
        <v>22722</v>
      </c>
      <c r="C3399" t="s">
        <v>16331</v>
      </c>
      <c r="D3399">
        <v>1</v>
      </c>
      <c r="E3399" t="s">
        <v>16331</v>
      </c>
      <c r="F3399" s="126"/>
      <c r="G3399" s="7">
        <v>0</v>
      </c>
      <c r="H3399" s="7">
        <v>0</v>
      </c>
      <c r="I3399" s="7">
        <v>0</v>
      </c>
      <c r="J3399" s="7">
        <v>0</v>
      </c>
      <c r="K3399" s="3">
        <f t="shared" si="122"/>
        <v>0</v>
      </c>
      <c r="L3399" s="3"/>
      <c r="M3399" s="3">
        <f t="shared" si="123"/>
        <v>0</v>
      </c>
      <c r="O3399" s="5"/>
      <c r="S3399" s="6"/>
    </row>
    <row r="3400" spans="1:19" customFormat="1" x14ac:dyDescent="0.45">
      <c r="A3400">
        <v>615487</v>
      </c>
      <c r="B3400" t="s">
        <v>22723</v>
      </c>
      <c r="C3400" t="s">
        <v>22724</v>
      </c>
      <c r="D3400">
        <v>1</v>
      </c>
      <c r="F3400" s="126"/>
      <c r="G3400" s="7">
        <v>0</v>
      </c>
      <c r="H3400" s="7">
        <v>0</v>
      </c>
      <c r="I3400" s="7">
        <v>0</v>
      </c>
      <c r="J3400" s="7">
        <v>0</v>
      </c>
      <c r="K3400" s="3">
        <f t="shared" si="122"/>
        <v>0</v>
      </c>
      <c r="L3400" s="3"/>
      <c r="M3400" s="3">
        <f t="shared" si="123"/>
        <v>0</v>
      </c>
      <c r="N3400" s="7"/>
      <c r="O3400" s="5"/>
      <c r="S3400" s="6"/>
    </row>
    <row r="3401" spans="1:19" customFormat="1" x14ac:dyDescent="0.45">
      <c r="A3401">
        <v>615491</v>
      </c>
      <c r="B3401" t="s">
        <v>22725</v>
      </c>
      <c r="C3401" t="s">
        <v>22726</v>
      </c>
      <c r="D3401">
        <v>4</v>
      </c>
      <c r="F3401" s="126"/>
      <c r="G3401" s="7">
        <v>0</v>
      </c>
      <c r="H3401" s="7">
        <v>0</v>
      </c>
      <c r="I3401" s="7">
        <v>0</v>
      </c>
      <c r="J3401" s="7">
        <v>0</v>
      </c>
      <c r="K3401" s="3">
        <f t="shared" si="122"/>
        <v>0</v>
      </c>
      <c r="L3401" s="3"/>
      <c r="M3401" s="3">
        <f t="shared" si="123"/>
        <v>0</v>
      </c>
      <c r="O3401" s="5"/>
      <c r="S3401" s="6"/>
    </row>
    <row r="3402" spans="1:19" customFormat="1" x14ac:dyDescent="0.45">
      <c r="A3402">
        <v>615504</v>
      </c>
      <c r="B3402" t="s">
        <v>22727</v>
      </c>
      <c r="C3402" t="s">
        <v>16331</v>
      </c>
      <c r="D3402">
        <v>1</v>
      </c>
      <c r="E3402" t="s">
        <v>16331</v>
      </c>
      <c r="F3402" s="126"/>
      <c r="G3402" s="7">
        <v>0</v>
      </c>
      <c r="H3402" s="7">
        <v>0</v>
      </c>
      <c r="I3402" s="7">
        <v>0</v>
      </c>
      <c r="J3402" s="7">
        <v>0</v>
      </c>
      <c r="K3402" s="3">
        <f t="shared" si="122"/>
        <v>0</v>
      </c>
      <c r="L3402" s="3"/>
      <c r="M3402" s="3">
        <f t="shared" si="123"/>
        <v>0</v>
      </c>
      <c r="O3402" s="5"/>
      <c r="S3402" s="6"/>
    </row>
    <row r="3403" spans="1:19" customFormat="1" x14ac:dyDescent="0.45">
      <c r="A3403">
        <v>615644</v>
      </c>
      <c r="B3403" t="s">
        <v>22728</v>
      </c>
      <c r="C3403" t="s">
        <v>22729</v>
      </c>
      <c r="D3403">
        <v>3</v>
      </c>
      <c r="F3403" s="126"/>
      <c r="G3403" s="7">
        <v>0</v>
      </c>
      <c r="H3403" s="7">
        <v>0</v>
      </c>
      <c r="I3403" s="7">
        <v>0</v>
      </c>
      <c r="J3403" s="7">
        <v>0</v>
      </c>
      <c r="K3403" s="3">
        <f t="shared" si="122"/>
        <v>0</v>
      </c>
      <c r="L3403" s="3"/>
      <c r="M3403" s="3">
        <f t="shared" si="123"/>
        <v>0</v>
      </c>
      <c r="O3403" s="5"/>
      <c r="S3403" s="6"/>
    </row>
    <row r="3404" spans="1:19" customFormat="1" x14ac:dyDescent="0.45">
      <c r="A3404">
        <v>615676</v>
      </c>
      <c r="B3404" t="s">
        <v>22730</v>
      </c>
      <c r="C3404" t="s">
        <v>22731</v>
      </c>
      <c r="D3404">
        <v>1</v>
      </c>
      <c r="F3404" s="126"/>
      <c r="G3404" s="7">
        <v>0</v>
      </c>
      <c r="H3404" s="7">
        <v>0</v>
      </c>
      <c r="I3404" s="7">
        <v>0</v>
      </c>
      <c r="J3404" s="7">
        <v>0</v>
      </c>
      <c r="K3404" s="3">
        <f t="shared" si="122"/>
        <v>0</v>
      </c>
      <c r="L3404" s="3"/>
      <c r="M3404" s="3">
        <f t="shared" si="123"/>
        <v>0</v>
      </c>
      <c r="O3404" s="5"/>
      <c r="S3404" s="6"/>
    </row>
    <row r="3405" spans="1:19" customFormat="1" x14ac:dyDescent="0.45">
      <c r="A3405">
        <v>615679</v>
      </c>
      <c r="B3405" t="s">
        <v>22732</v>
      </c>
      <c r="C3405" t="s">
        <v>22733</v>
      </c>
      <c r="D3405">
        <v>1</v>
      </c>
      <c r="F3405" s="126"/>
      <c r="K3405" s="3">
        <f t="shared" si="122"/>
        <v>0</v>
      </c>
      <c r="L3405" s="3"/>
      <c r="M3405" s="3">
        <f t="shared" si="123"/>
        <v>0</v>
      </c>
      <c r="O3405" s="5"/>
      <c r="S3405" s="6"/>
    </row>
    <row r="3406" spans="1:19" customFormat="1" x14ac:dyDescent="0.45">
      <c r="A3406">
        <v>615731</v>
      </c>
      <c r="B3406" t="s">
        <v>22734</v>
      </c>
      <c r="C3406" t="s">
        <v>22735</v>
      </c>
      <c r="D3406">
        <v>7</v>
      </c>
      <c r="F3406" s="126"/>
      <c r="G3406" s="3">
        <v>0</v>
      </c>
      <c r="H3406" s="3">
        <v>0</v>
      </c>
      <c r="I3406" s="3">
        <v>0</v>
      </c>
      <c r="J3406" s="3">
        <v>0</v>
      </c>
      <c r="K3406" s="3">
        <f t="shared" si="122"/>
        <v>0</v>
      </c>
      <c r="L3406" s="3"/>
      <c r="M3406" s="3">
        <f t="shared" si="123"/>
        <v>0</v>
      </c>
      <c r="O3406" s="5"/>
      <c r="S3406" s="6"/>
    </row>
    <row r="3407" spans="1:19" customFormat="1" x14ac:dyDescent="0.45">
      <c r="A3407">
        <v>615735</v>
      </c>
      <c r="B3407" t="s">
        <v>22736</v>
      </c>
      <c r="C3407" t="s">
        <v>22737</v>
      </c>
      <c r="D3407">
        <v>1</v>
      </c>
      <c r="F3407" s="126"/>
      <c r="G3407" s="7">
        <v>0</v>
      </c>
      <c r="H3407" s="7">
        <v>0</v>
      </c>
      <c r="I3407" s="7">
        <v>0</v>
      </c>
      <c r="J3407" s="7">
        <v>0</v>
      </c>
      <c r="K3407" s="3">
        <f t="shared" si="122"/>
        <v>0</v>
      </c>
      <c r="L3407" s="3"/>
      <c r="M3407" s="3">
        <f t="shared" si="123"/>
        <v>0</v>
      </c>
      <c r="O3407" s="5"/>
      <c r="S3407" s="6"/>
    </row>
    <row r="3408" spans="1:19" customFormat="1" x14ac:dyDescent="0.45">
      <c r="A3408">
        <v>615762</v>
      </c>
      <c r="B3408" t="s">
        <v>22738</v>
      </c>
      <c r="C3408" t="s">
        <v>22739</v>
      </c>
      <c r="D3408">
        <v>6</v>
      </c>
      <c r="F3408" s="126"/>
      <c r="G3408" s="7">
        <v>0</v>
      </c>
      <c r="H3408" s="7">
        <v>0</v>
      </c>
      <c r="I3408" s="7">
        <v>0</v>
      </c>
      <c r="J3408" s="7">
        <v>0</v>
      </c>
      <c r="K3408" s="3">
        <f t="shared" si="122"/>
        <v>0</v>
      </c>
      <c r="L3408" s="3"/>
      <c r="M3408" s="3">
        <f t="shared" si="123"/>
        <v>0</v>
      </c>
      <c r="N3408" s="7"/>
      <c r="O3408" s="5"/>
      <c r="S3408" s="6"/>
    </row>
    <row r="3409" spans="1:24" customFormat="1" x14ac:dyDescent="0.45">
      <c r="A3409">
        <v>615773</v>
      </c>
      <c r="B3409" t="s">
        <v>22740</v>
      </c>
      <c r="C3409" t="s">
        <v>16331</v>
      </c>
      <c r="D3409">
        <v>1</v>
      </c>
      <c r="E3409" t="s">
        <v>16331</v>
      </c>
      <c r="F3409" s="126"/>
      <c r="G3409" s="7">
        <v>0</v>
      </c>
      <c r="H3409" s="7">
        <v>0</v>
      </c>
      <c r="I3409" s="7">
        <v>0</v>
      </c>
      <c r="J3409" s="7">
        <v>0</v>
      </c>
      <c r="K3409" s="3">
        <f t="shared" si="122"/>
        <v>0</v>
      </c>
      <c r="L3409" s="3"/>
      <c r="M3409" s="3">
        <f t="shared" si="123"/>
        <v>0</v>
      </c>
      <c r="O3409" s="5"/>
      <c r="S3409" s="6"/>
    </row>
    <row r="3410" spans="1:24" customFormat="1" x14ac:dyDescent="0.45">
      <c r="A3410">
        <v>616019</v>
      </c>
      <c r="B3410" t="s">
        <v>22741</v>
      </c>
      <c r="C3410" t="s">
        <v>22742</v>
      </c>
      <c r="D3410">
        <v>17</v>
      </c>
      <c r="F3410" s="126"/>
      <c r="G3410" s="7">
        <v>0</v>
      </c>
      <c r="H3410" s="7">
        <v>0</v>
      </c>
      <c r="I3410" s="7">
        <v>0</v>
      </c>
      <c r="J3410" s="7">
        <v>0</v>
      </c>
      <c r="K3410" s="3">
        <f t="shared" si="122"/>
        <v>0</v>
      </c>
      <c r="L3410" s="3"/>
      <c r="M3410" s="3">
        <f t="shared" si="123"/>
        <v>0</v>
      </c>
      <c r="O3410" s="5"/>
      <c r="S3410" s="6"/>
    </row>
    <row r="3411" spans="1:24" customFormat="1" x14ac:dyDescent="0.45">
      <c r="A3411">
        <v>616202</v>
      </c>
      <c r="B3411" t="s">
        <v>22743</v>
      </c>
      <c r="C3411" t="s">
        <v>16331</v>
      </c>
      <c r="D3411">
        <v>1</v>
      </c>
      <c r="E3411" t="s">
        <v>16331</v>
      </c>
      <c r="F3411" s="126"/>
      <c r="G3411" s="7">
        <v>0</v>
      </c>
      <c r="H3411" s="7">
        <v>0</v>
      </c>
      <c r="I3411" s="7">
        <v>0</v>
      </c>
      <c r="J3411" s="7">
        <v>0</v>
      </c>
      <c r="K3411" s="3">
        <f t="shared" si="122"/>
        <v>0</v>
      </c>
      <c r="L3411" s="3"/>
      <c r="M3411" s="3">
        <f t="shared" si="123"/>
        <v>0</v>
      </c>
      <c r="O3411" s="5"/>
      <c r="S3411" s="6"/>
    </row>
    <row r="3412" spans="1:24" customFormat="1" x14ac:dyDescent="0.45">
      <c r="A3412">
        <v>616273</v>
      </c>
      <c r="B3412" t="s">
        <v>22744</v>
      </c>
      <c r="C3412" t="s">
        <v>22745</v>
      </c>
      <c r="D3412">
        <v>8</v>
      </c>
      <c r="F3412" s="126"/>
      <c r="G3412" s="3">
        <v>0</v>
      </c>
      <c r="H3412" s="3">
        <v>0</v>
      </c>
      <c r="I3412" s="3">
        <v>0</v>
      </c>
      <c r="J3412" s="3">
        <v>0</v>
      </c>
      <c r="K3412" s="3">
        <f t="shared" si="122"/>
        <v>0</v>
      </c>
      <c r="L3412" s="3"/>
      <c r="M3412" s="3">
        <f t="shared" si="123"/>
        <v>0</v>
      </c>
      <c r="O3412" s="5"/>
      <c r="S3412" s="6"/>
    </row>
    <row r="3413" spans="1:24" customFormat="1" x14ac:dyDescent="0.45">
      <c r="A3413">
        <v>616276</v>
      </c>
      <c r="B3413" t="s">
        <v>22746</v>
      </c>
      <c r="C3413" t="s">
        <v>22747</v>
      </c>
      <c r="D3413">
        <v>4</v>
      </c>
      <c r="F3413" s="126"/>
      <c r="G3413" s="3">
        <v>0</v>
      </c>
      <c r="H3413" s="3">
        <v>0</v>
      </c>
      <c r="I3413" s="3">
        <v>0</v>
      </c>
      <c r="J3413" s="3">
        <v>0</v>
      </c>
      <c r="K3413" s="3">
        <f t="shared" si="122"/>
        <v>0</v>
      </c>
      <c r="L3413" s="3"/>
      <c r="M3413" s="3">
        <f t="shared" si="123"/>
        <v>0</v>
      </c>
      <c r="O3413" s="5"/>
      <c r="S3413" s="6"/>
    </row>
    <row r="3414" spans="1:24" customFormat="1" x14ac:dyDescent="0.45">
      <c r="A3414">
        <v>616277</v>
      </c>
      <c r="B3414" t="s">
        <v>22748</v>
      </c>
      <c r="C3414" t="s">
        <v>16331</v>
      </c>
      <c r="D3414">
        <v>1</v>
      </c>
      <c r="E3414" t="s">
        <v>16331</v>
      </c>
      <c r="F3414" s="126"/>
      <c r="G3414" s="7">
        <v>0</v>
      </c>
      <c r="H3414" s="7">
        <v>0</v>
      </c>
      <c r="I3414" s="7">
        <v>0</v>
      </c>
      <c r="J3414" s="7">
        <v>0</v>
      </c>
      <c r="K3414" s="3">
        <f t="shared" si="122"/>
        <v>0</v>
      </c>
      <c r="L3414" s="3"/>
      <c r="M3414" s="3">
        <f t="shared" si="123"/>
        <v>0</v>
      </c>
      <c r="O3414" s="5"/>
      <c r="S3414" s="6"/>
    </row>
    <row r="3415" spans="1:24" customFormat="1" x14ac:dyDescent="0.45">
      <c r="A3415">
        <v>616324</v>
      </c>
      <c r="B3415" t="s">
        <v>22749</v>
      </c>
      <c r="C3415" t="s">
        <v>16331</v>
      </c>
      <c r="D3415">
        <v>1</v>
      </c>
      <c r="E3415" t="s">
        <v>16331</v>
      </c>
      <c r="F3415" s="126"/>
      <c r="G3415" s="7">
        <v>0</v>
      </c>
      <c r="H3415" s="7">
        <v>0</v>
      </c>
      <c r="I3415" s="7">
        <v>0</v>
      </c>
      <c r="J3415" s="7">
        <v>0</v>
      </c>
      <c r="K3415" s="3">
        <f t="shared" si="122"/>
        <v>0</v>
      </c>
      <c r="L3415" s="3"/>
      <c r="M3415" s="3">
        <f t="shared" si="123"/>
        <v>0</v>
      </c>
      <c r="O3415" s="5"/>
      <c r="S3415" s="6"/>
    </row>
    <row r="3416" spans="1:24" customFormat="1" x14ac:dyDescent="0.45">
      <c r="A3416">
        <v>616403</v>
      </c>
      <c r="B3416" t="s">
        <v>22750</v>
      </c>
      <c r="C3416" t="s">
        <v>22751</v>
      </c>
      <c r="D3416">
        <v>4</v>
      </c>
      <c r="F3416" s="126"/>
      <c r="G3416" s="7">
        <v>0</v>
      </c>
      <c r="H3416" s="7">
        <v>0</v>
      </c>
      <c r="I3416" s="7">
        <v>0</v>
      </c>
      <c r="J3416" s="7">
        <v>0</v>
      </c>
      <c r="K3416" s="3">
        <f t="shared" si="122"/>
        <v>0</v>
      </c>
      <c r="L3416" s="3"/>
      <c r="M3416" s="3">
        <f t="shared" si="123"/>
        <v>0</v>
      </c>
      <c r="O3416" s="5"/>
      <c r="S3416" s="6"/>
    </row>
    <row r="3417" spans="1:24" customFormat="1" x14ac:dyDescent="0.45">
      <c r="A3417">
        <v>616407</v>
      </c>
      <c r="B3417" t="s">
        <v>22752</v>
      </c>
      <c r="C3417" t="s">
        <v>22753</v>
      </c>
      <c r="D3417">
        <v>1</v>
      </c>
      <c r="F3417" s="126"/>
      <c r="G3417" s="7">
        <v>0</v>
      </c>
      <c r="H3417" s="7">
        <v>0</v>
      </c>
      <c r="I3417" s="7">
        <v>0</v>
      </c>
      <c r="J3417" s="7">
        <v>0</v>
      </c>
      <c r="K3417" s="3">
        <f t="shared" si="122"/>
        <v>0</v>
      </c>
      <c r="L3417" s="3"/>
      <c r="M3417" s="3">
        <f t="shared" si="123"/>
        <v>0</v>
      </c>
      <c r="O3417" s="5"/>
      <c r="S3417" s="6"/>
    </row>
    <row r="3418" spans="1:24" customFormat="1" x14ac:dyDescent="0.45">
      <c r="A3418">
        <v>616449</v>
      </c>
      <c r="B3418" t="s">
        <v>22754</v>
      </c>
      <c r="C3418" t="s">
        <v>16331</v>
      </c>
      <c r="D3418">
        <v>1</v>
      </c>
      <c r="E3418" t="s">
        <v>16331</v>
      </c>
      <c r="F3418" s="126"/>
      <c r="G3418" s="7">
        <v>0</v>
      </c>
      <c r="H3418" s="7">
        <v>0</v>
      </c>
      <c r="I3418" s="7">
        <v>0</v>
      </c>
      <c r="J3418" s="7">
        <v>0</v>
      </c>
      <c r="K3418" s="3">
        <f t="shared" si="122"/>
        <v>0</v>
      </c>
      <c r="L3418" s="3"/>
      <c r="M3418" s="3">
        <f t="shared" si="123"/>
        <v>0</v>
      </c>
      <c r="O3418" s="5"/>
      <c r="S3418" s="6"/>
    </row>
    <row r="3419" spans="1:24" x14ac:dyDescent="0.45">
      <c r="A3419" s="124">
        <v>481116</v>
      </c>
      <c r="B3419" s="124" t="s">
        <v>22755</v>
      </c>
      <c r="C3419" s="124" t="s">
        <v>22756</v>
      </c>
      <c r="D3419" s="124">
        <v>3</v>
      </c>
      <c r="E3419" s="124" t="s">
        <v>16334</v>
      </c>
      <c r="F3419" s="126">
        <v>1.6999999999999999E-3</v>
      </c>
      <c r="G3419" s="126">
        <v>1.4999999999999999E-2</v>
      </c>
      <c r="H3419" s="126">
        <v>0</v>
      </c>
      <c r="I3419" s="127">
        <v>0</v>
      </c>
      <c r="J3419" s="127">
        <v>0</v>
      </c>
      <c r="K3419" s="126">
        <f t="shared" si="122"/>
        <v>1.4999999999999999E-2</v>
      </c>
      <c r="L3419" s="3"/>
      <c r="M3419" s="126">
        <f t="shared" si="123"/>
        <v>1.67E-2</v>
      </c>
      <c r="N3419" s="124" t="s">
        <v>20814</v>
      </c>
      <c r="O3419" s="131" t="s">
        <v>22757</v>
      </c>
      <c r="P3419" s="128" t="s">
        <v>26918</v>
      </c>
      <c r="Q3419" s="130">
        <f>1574+149248</f>
        <v>150822</v>
      </c>
      <c r="R3419" s="124" t="s">
        <v>16348</v>
      </c>
      <c r="S3419" s="132">
        <v>-3088</v>
      </c>
      <c r="T3419" s="129">
        <f>S3419/Q3419</f>
        <v>-2.0474466589754811E-2</v>
      </c>
      <c r="V3419" s="125" t="s">
        <v>22758</v>
      </c>
      <c r="X3419" s="124" t="s">
        <v>20814</v>
      </c>
    </row>
    <row r="3420" spans="1:24" customFormat="1" x14ac:dyDescent="0.45">
      <c r="A3420">
        <v>616661</v>
      </c>
      <c r="B3420" t="s">
        <v>22759</v>
      </c>
      <c r="C3420" t="s">
        <v>16331</v>
      </c>
      <c r="D3420">
        <v>1</v>
      </c>
      <c r="E3420" t="s">
        <v>16331</v>
      </c>
      <c r="F3420" s="126"/>
      <c r="G3420" s="7">
        <v>0</v>
      </c>
      <c r="H3420" s="7">
        <v>0</v>
      </c>
      <c r="I3420" s="7">
        <v>0</v>
      </c>
      <c r="J3420" s="7">
        <v>0</v>
      </c>
      <c r="K3420" s="3">
        <f t="shared" si="122"/>
        <v>0</v>
      </c>
      <c r="L3420" s="3"/>
      <c r="M3420" s="3">
        <f t="shared" si="123"/>
        <v>0</v>
      </c>
      <c r="O3420" s="5"/>
      <c r="S3420" s="6"/>
    </row>
    <row r="3421" spans="1:24" customFormat="1" x14ac:dyDescent="0.45">
      <c r="A3421">
        <v>616668</v>
      </c>
      <c r="B3421" t="s">
        <v>22760</v>
      </c>
      <c r="C3421" t="s">
        <v>22761</v>
      </c>
      <c r="D3421">
        <v>2</v>
      </c>
      <c r="F3421" s="126"/>
      <c r="G3421" s="7">
        <v>0</v>
      </c>
      <c r="H3421" s="7">
        <v>0</v>
      </c>
      <c r="I3421" s="7">
        <v>0</v>
      </c>
      <c r="J3421" s="7">
        <v>0</v>
      </c>
      <c r="K3421" s="3">
        <f t="shared" si="122"/>
        <v>0</v>
      </c>
      <c r="L3421" s="3"/>
      <c r="M3421" s="3">
        <f t="shared" si="123"/>
        <v>0</v>
      </c>
      <c r="O3421" s="5"/>
      <c r="S3421" s="6"/>
    </row>
    <row r="3422" spans="1:24" customFormat="1" x14ac:dyDescent="0.45">
      <c r="A3422">
        <v>616688</v>
      </c>
      <c r="B3422" t="s">
        <v>22762</v>
      </c>
      <c r="C3422" s="2" t="s">
        <v>22763</v>
      </c>
      <c r="D3422">
        <v>2</v>
      </c>
      <c r="F3422" s="126"/>
      <c r="G3422" s="3">
        <v>0</v>
      </c>
      <c r="H3422" s="3">
        <v>0</v>
      </c>
      <c r="I3422" s="3">
        <v>0</v>
      </c>
      <c r="J3422" s="3">
        <v>0</v>
      </c>
      <c r="K3422" s="3">
        <f t="shared" si="122"/>
        <v>0</v>
      </c>
      <c r="L3422" s="3"/>
      <c r="M3422" s="3">
        <f t="shared" si="123"/>
        <v>0</v>
      </c>
      <c r="O3422" s="5"/>
      <c r="S3422" s="6"/>
    </row>
    <row r="3423" spans="1:24" customFormat="1" x14ac:dyDescent="0.45">
      <c r="A3423">
        <v>616915</v>
      </c>
      <c r="B3423" t="s">
        <v>22764</v>
      </c>
      <c r="C3423" t="s">
        <v>16331</v>
      </c>
      <c r="D3423">
        <v>1</v>
      </c>
      <c r="E3423" t="s">
        <v>16331</v>
      </c>
      <c r="F3423" s="126"/>
      <c r="G3423" s="7">
        <v>0</v>
      </c>
      <c r="H3423" s="7">
        <v>0</v>
      </c>
      <c r="I3423" s="7">
        <v>0</v>
      </c>
      <c r="J3423" s="7">
        <v>0</v>
      </c>
      <c r="K3423" s="3">
        <f t="shared" si="122"/>
        <v>0</v>
      </c>
      <c r="L3423" s="3"/>
      <c r="M3423" s="3">
        <f t="shared" si="123"/>
        <v>0</v>
      </c>
      <c r="O3423" s="5"/>
      <c r="S3423" s="6"/>
    </row>
    <row r="3424" spans="1:24" customFormat="1" x14ac:dyDescent="0.45">
      <c r="A3424">
        <v>617019</v>
      </c>
      <c r="B3424" t="s">
        <v>22765</v>
      </c>
      <c r="C3424" t="s">
        <v>22766</v>
      </c>
      <c r="D3424">
        <v>1</v>
      </c>
      <c r="F3424" s="126"/>
      <c r="G3424" s="7">
        <v>0</v>
      </c>
      <c r="H3424" s="7">
        <v>0</v>
      </c>
      <c r="I3424" s="7">
        <v>0</v>
      </c>
      <c r="J3424" s="7">
        <v>0</v>
      </c>
      <c r="K3424" s="3">
        <f t="shared" si="122"/>
        <v>0</v>
      </c>
      <c r="L3424" s="3"/>
      <c r="M3424" s="3">
        <f t="shared" si="123"/>
        <v>0</v>
      </c>
      <c r="O3424" s="5"/>
      <c r="S3424" s="6"/>
    </row>
    <row r="3425" spans="1:22" customFormat="1" x14ac:dyDescent="0.45">
      <c r="A3425">
        <v>617926</v>
      </c>
      <c r="B3425" t="s">
        <v>22767</v>
      </c>
      <c r="C3425" t="s">
        <v>22768</v>
      </c>
      <c r="D3425">
        <v>1</v>
      </c>
      <c r="F3425" s="126"/>
      <c r="G3425" s="7">
        <v>0</v>
      </c>
      <c r="H3425" s="7">
        <v>0</v>
      </c>
      <c r="I3425" s="7">
        <v>0</v>
      </c>
      <c r="J3425" s="7">
        <v>0</v>
      </c>
      <c r="K3425" s="3">
        <f t="shared" si="122"/>
        <v>0</v>
      </c>
      <c r="L3425" s="3"/>
      <c r="M3425" s="3">
        <f t="shared" si="123"/>
        <v>0</v>
      </c>
      <c r="O3425" s="5"/>
      <c r="S3425" s="6"/>
    </row>
    <row r="3426" spans="1:22" customFormat="1" x14ac:dyDescent="0.45">
      <c r="A3426">
        <v>617941</v>
      </c>
      <c r="B3426" t="s">
        <v>22769</v>
      </c>
      <c r="C3426" t="s">
        <v>22770</v>
      </c>
      <c r="D3426">
        <v>5</v>
      </c>
      <c r="F3426" s="126"/>
      <c r="G3426" s="7">
        <v>0</v>
      </c>
      <c r="H3426" s="7">
        <v>0</v>
      </c>
      <c r="I3426" s="7">
        <v>0</v>
      </c>
      <c r="J3426" s="7">
        <v>0</v>
      </c>
      <c r="K3426" s="3">
        <f t="shared" ref="K3426:K3489" si="124">SUM(G3426:J3426)</f>
        <v>0</v>
      </c>
      <c r="L3426" s="3"/>
      <c r="M3426" s="3">
        <f t="shared" ref="M3426:M3489" si="125">K3426+F3426</f>
        <v>0</v>
      </c>
      <c r="O3426" s="5"/>
      <c r="S3426" s="6"/>
    </row>
    <row r="3427" spans="1:22" customFormat="1" x14ac:dyDescent="0.45">
      <c r="A3427">
        <v>618025</v>
      </c>
      <c r="B3427" t="s">
        <v>22771</v>
      </c>
      <c r="C3427" t="s">
        <v>22772</v>
      </c>
      <c r="D3427">
        <v>110</v>
      </c>
      <c r="E3427" t="s">
        <v>16334</v>
      </c>
      <c r="F3427" s="126"/>
      <c r="G3427" s="7">
        <v>0</v>
      </c>
      <c r="H3427" s="7">
        <v>0</v>
      </c>
      <c r="I3427" s="7">
        <v>0</v>
      </c>
      <c r="J3427" s="7">
        <v>0</v>
      </c>
      <c r="K3427" s="3">
        <f t="shared" si="124"/>
        <v>0</v>
      </c>
      <c r="L3427" s="3"/>
      <c r="M3427" s="3">
        <f t="shared" si="125"/>
        <v>0</v>
      </c>
      <c r="N3427" t="s">
        <v>22773</v>
      </c>
      <c r="O3427" s="5"/>
      <c r="S3427" s="6"/>
    </row>
    <row r="3428" spans="1:22" customFormat="1" x14ac:dyDescent="0.45">
      <c r="A3428">
        <v>618158</v>
      </c>
      <c r="B3428" t="s">
        <v>22774</v>
      </c>
      <c r="C3428" t="s">
        <v>16331</v>
      </c>
      <c r="D3428">
        <v>1</v>
      </c>
      <c r="E3428" t="s">
        <v>16331</v>
      </c>
      <c r="F3428" s="126"/>
      <c r="G3428" s="7">
        <v>0</v>
      </c>
      <c r="H3428" s="7">
        <v>0</v>
      </c>
      <c r="I3428" s="7">
        <v>0</v>
      </c>
      <c r="J3428" s="7">
        <v>0</v>
      </c>
      <c r="K3428" s="3">
        <f t="shared" si="124"/>
        <v>0</v>
      </c>
      <c r="L3428" s="3"/>
      <c r="M3428" s="3">
        <f t="shared" si="125"/>
        <v>0</v>
      </c>
      <c r="O3428" s="5"/>
      <c r="S3428" s="6"/>
    </row>
    <row r="3429" spans="1:22" customFormat="1" x14ac:dyDescent="0.45">
      <c r="A3429">
        <v>618162</v>
      </c>
      <c r="B3429" t="s">
        <v>22775</v>
      </c>
      <c r="C3429" t="s">
        <v>16331</v>
      </c>
      <c r="D3429">
        <v>1</v>
      </c>
      <c r="E3429" t="s">
        <v>16331</v>
      </c>
      <c r="F3429" s="126"/>
      <c r="G3429" s="7">
        <v>0</v>
      </c>
      <c r="H3429" s="7">
        <v>0</v>
      </c>
      <c r="I3429" s="7">
        <v>0</v>
      </c>
      <c r="J3429" s="7">
        <v>0</v>
      </c>
      <c r="K3429" s="3">
        <f t="shared" si="124"/>
        <v>0</v>
      </c>
      <c r="L3429" s="3"/>
      <c r="M3429" s="3">
        <f t="shared" si="125"/>
        <v>0</v>
      </c>
      <c r="O3429" s="5"/>
      <c r="S3429" s="6"/>
    </row>
    <row r="3430" spans="1:22" customFormat="1" x14ac:dyDescent="0.45">
      <c r="A3430">
        <v>618176</v>
      </c>
      <c r="B3430" t="s">
        <v>22776</v>
      </c>
      <c r="C3430" t="s">
        <v>22777</v>
      </c>
      <c r="D3430">
        <v>2</v>
      </c>
      <c r="F3430" s="126"/>
      <c r="G3430" s="3">
        <v>0</v>
      </c>
      <c r="H3430" s="3">
        <v>0</v>
      </c>
      <c r="I3430" s="3">
        <v>0</v>
      </c>
      <c r="J3430" s="3">
        <v>0</v>
      </c>
      <c r="K3430" s="3">
        <f t="shared" si="124"/>
        <v>0</v>
      </c>
      <c r="L3430" s="3"/>
      <c r="M3430" s="3">
        <f t="shared" si="125"/>
        <v>0</v>
      </c>
      <c r="O3430" s="5"/>
      <c r="S3430" s="6"/>
    </row>
    <row r="3431" spans="1:22" customFormat="1" x14ac:dyDescent="0.45">
      <c r="A3431">
        <v>618199</v>
      </c>
      <c r="B3431" t="s">
        <v>22778</v>
      </c>
      <c r="C3431" t="s">
        <v>22779</v>
      </c>
      <c r="D3431">
        <v>4</v>
      </c>
      <c r="F3431" s="126"/>
      <c r="G3431" s="7">
        <v>0</v>
      </c>
      <c r="H3431" s="7">
        <v>0</v>
      </c>
      <c r="I3431" s="7">
        <v>0</v>
      </c>
      <c r="J3431" s="7">
        <v>0</v>
      </c>
      <c r="K3431" s="3">
        <f t="shared" si="124"/>
        <v>0</v>
      </c>
      <c r="L3431" s="3"/>
      <c r="M3431" s="3">
        <f t="shared" si="125"/>
        <v>0</v>
      </c>
      <c r="O3431" s="5"/>
      <c r="S3431" s="6"/>
    </row>
    <row r="3432" spans="1:22" customFormat="1" x14ac:dyDescent="0.45">
      <c r="A3432">
        <v>618207</v>
      </c>
      <c r="B3432" t="s">
        <v>22780</v>
      </c>
      <c r="C3432" t="s">
        <v>22781</v>
      </c>
      <c r="D3432">
        <v>1</v>
      </c>
      <c r="F3432" s="126"/>
      <c r="G3432" s="7">
        <v>0</v>
      </c>
      <c r="H3432" s="7">
        <v>0</v>
      </c>
      <c r="I3432" s="7">
        <v>0</v>
      </c>
      <c r="J3432" s="7">
        <v>0</v>
      </c>
      <c r="K3432" s="3">
        <f t="shared" si="124"/>
        <v>0</v>
      </c>
      <c r="L3432" s="3"/>
      <c r="M3432" s="3">
        <f t="shared" si="125"/>
        <v>0</v>
      </c>
      <c r="N3432" s="7"/>
      <c r="O3432" s="5"/>
      <c r="S3432" s="6"/>
    </row>
    <row r="3433" spans="1:22" customFormat="1" x14ac:dyDescent="0.45">
      <c r="A3433">
        <v>618208</v>
      </c>
      <c r="B3433" t="s">
        <v>22782</v>
      </c>
      <c r="C3433" t="s">
        <v>16331</v>
      </c>
      <c r="D3433">
        <v>1</v>
      </c>
      <c r="E3433" t="s">
        <v>16331</v>
      </c>
      <c r="F3433" s="126"/>
      <c r="G3433" s="7">
        <v>0</v>
      </c>
      <c r="H3433" s="7">
        <v>0</v>
      </c>
      <c r="I3433" s="7">
        <v>0</v>
      </c>
      <c r="J3433" s="7">
        <v>0</v>
      </c>
      <c r="K3433" s="3">
        <f t="shared" si="124"/>
        <v>0</v>
      </c>
      <c r="L3433" s="3"/>
      <c r="M3433" s="3">
        <f t="shared" si="125"/>
        <v>0</v>
      </c>
      <c r="O3433" s="5"/>
      <c r="S3433" s="6"/>
    </row>
    <row r="3434" spans="1:22" customFormat="1" x14ac:dyDescent="0.45">
      <c r="A3434">
        <v>618258</v>
      </c>
      <c r="B3434" t="s">
        <v>22783</v>
      </c>
      <c r="C3434" t="s">
        <v>16331</v>
      </c>
      <c r="D3434">
        <v>12</v>
      </c>
      <c r="E3434" t="s">
        <v>16331</v>
      </c>
      <c r="F3434" s="126"/>
      <c r="G3434" s="7">
        <v>0</v>
      </c>
      <c r="H3434" s="7">
        <v>0</v>
      </c>
      <c r="I3434" s="7">
        <v>0</v>
      </c>
      <c r="J3434" s="7">
        <v>0</v>
      </c>
      <c r="K3434" s="3">
        <f t="shared" si="124"/>
        <v>0</v>
      </c>
      <c r="L3434" s="3"/>
      <c r="M3434" s="3">
        <f t="shared" si="125"/>
        <v>0</v>
      </c>
      <c r="N3434" s="7"/>
      <c r="O3434" s="5"/>
      <c r="S3434" s="6"/>
    </row>
    <row r="3435" spans="1:22" customFormat="1" x14ac:dyDescent="0.45">
      <c r="A3435">
        <v>618265</v>
      </c>
      <c r="B3435" t="s">
        <v>22784</v>
      </c>
      <c r="C3435" t="s">
        <v>16331</v>
      </c>
      <c r="D3435">
        <v>1</v>
      </c>
      <c r="E3435" t="s">
        <v>16331</v>
      </c>
      <c r="F3435" s="126"/>
      <c r="K3435" s="3">
        <f t="shared" si="124"/>
        <v>0</v>
      </c>
      <c r="L3435" s="3"/>
      <c r="M3435" s="3">
        <f t="shared" si="125"/>
        <v>0</v>
      </c>
      <c r="O3435" s="5"/>
      <c r="S3435" s="6"/>
    </row>
    <row r="3436" spans="1:22" x14ac:dyDescent="0.45">
      <c r="A3436" s="124">
        <v>764713</v>
      </c>
      <c r="B3436" s="124" t="s">
        <v>22785</v>
      </c>
      <c r="C3436" s="125" t="s">
        <v>22786</v>
      </c>
      <c r="D3436" s="124">
        <v>1</v>
      </c>
      <c r="E3436" s="124" t="s">
        <v>16334</v>
      </c>
      <c r="F3436" s="126">
        <v>1.6999999999999999E-3</v>
      </c>
      <c r="G3436" s="126">
        <v>2.5000000000000001E-2</v>
      </c>
      <c r="H3436" s="126">
        <v>5.0000000000000001E-3</v>
      </c>
      <c r="I3436" s="127"/>
      <c r="J3436" s="127"/>
      <c r="K3436" s="126">
        <f t="shared" si="124"/>
        <v>3.0000000000000002E-2</v>
      </c>
      <c r="L3436" s="3"/>
      <c r="M3436" s="126">
        <f t="shared" si="125"/>
        <v>3.1699999999999999E-2</v>
      </c>
      <c r="O3436" s="131" t="s">
        <v>22787</v>
      </c>
      <c r="P3436" s="128" t="s">
        <v>26918</v>
      </c>
      <c r="Q3436" s="130">
        <f>58253+11982</f>
        <v>70235</v>
      </c>
      <c r="R3436" s="124" t="s">
        <v>16348</v>
      </c>
      <c r="S3436" s="132">
        <v>57697</v>
      </c>
      <c r="T3436" s="129">
        <f>S3436/Q3436</f>
        <v>0.82148501459386347</v>
      </c>
      <c r="V3436" s="125" t="s">
        <v>22788</v>
      </c>
    </row>
    <row r="3437" spans="1:22" customFormat="1" x14ac:dyDescent="0.45">
      <c r="A3437">
        <v>618281</v>
      </c>
      <c r="B3437" t="s">
        <v>22789</v>
      </c>
      <c r="C3437" t="s">
        <v>22790</v>
      </c>
      <c r="D3437">
        <v>0</v>
      </c>
      <c r="E3437" t="s">
        <v>16561</v>
      </c>
      <c r="F3437" s="126"/>
      <c r="G3437" s="7">
        <v>0</v>
      </c>
      <c r="H3437" s="7">
        <v>0</v>
      </c>
      <c r="I3437" s="7">
        <v>0</v>
      </c>
      <c r="J3437" s="7">
        <v>0</v>
      </c>
      <c r="K3437" s="3">
        <f t="shared" si="124"/>
        <v>0</v>
      </c>
      <c r="L3437" s="3"/>
      <c r="M3437" s="3">
        <f t="shared" si="125"/>
        <v>0</v>
      </c>
      <c r="N3437" s="7"/>
      <c r="O3437" s="5"/>
      <c r="S3437" s="6"/>
    </row>
    <row r="3438" spans="1:22" customFormat="1" x14ac:dyDescent="0.45">
      <c r="A3438">
        <v>618460</v>
      </c>
      <c r="B3438" t="s">
        <v>22791</v>
      </c>
      <c r="C3438" t="s">
        <v>22792</v>
      </c>
      <c r="D3438">
        <v>2</v>
      </c>
      <c r="F3438" s="126"/>
      <c r="G3438" s="3">
        <v>0</v>
      </c>
      <c r="H3438" s="3">
        <v>0</v>
      </c>
      <c r="I3438" s="3">
        <v>0</v>
      </c>
      <c r="J3438" s="3">
        <v>0</v>
      </c>
      <c r="K3438" s="3">
        <f t="shared" si="124"/>
        <v>0</v>
      </c>
      <c r="L3438" s="3"/>
      <c r="M3438" s="3">
        <f t="shared" si="125"/>
        <v>0</v>
      </c>
      <c r="O3438" s="5"/>
      <c r="S3438" s="6"/>
    </row>
    <row r="3439" spans="1:22" customFormat="1" x14ac:dyDescent="0.45">
      <c r="A3439">
        <v>618478</v>
      </c>
      <c r="B3439" t="s">
        <v>22793</v>
      </c>
      <c r="C3439" t="s">
        <v>22794</v>
      </c>
      <c r="D3439">
        <v>1</v>
      </c>
      <c r="F3439" s="126"/>
      <c r="G3439" s="7">
        <v>0</v>
      </c>
      <c r="H3439" s="7">
        <v>0</v>
      </c>
      <c r="I3439" s="7">
        <v>0</v>
      </c>
      <c r="J3439" s="7">
        <v>0</v>
      </c>
      <c r="K3439" s="3">
        <f t="shared" si="124"/>
        <v>0</v>
      </c>
      <c r="L3439" s="3"/>
      <c r="M3439" s="3">
        <f t="shared" si="125"/>
        <v>0</v>
      </c>
      <c r="O3439" s="5"/>
      <c r="S3439" s="6"/>
    </row>
    <row r="3440" spans="1:22" customFormat="1" x14ac:dyDescent="0.45">
      <c r="A3440">
        <v>618509</v>
      </c>
      <c r="B3440" t="s">
        <v>22795</v>
      </c>
      <c r="C3440" t="s">
        <v>16331</v>
      </c>
      <c r="D3440">
        <v>1</v>
      </c>
      <c r="E3440" t="s">
        <v>16331</v>
      </c>
      <c r="F3440" s="126"/>
      <c r="G3440" s="7">
        <v>0</v>
      </c>
      <c r="H3440" s="7">
        <v>0</v>
      </c>
      <c r="I3440" s="7">
        <v>0</v>
      </c>
      <c r="J3440" s="7">
        <v>0</v>
      </c>
      <c r="K3440" s="3">
        <f t="shared" si="124"/>
        <v>0</v>
      </c>
      <c r="L3440" s="3"/>
      <c r="M3440" s="3">
        <f t="shared" si="125"/>
        <v>0</v>
      </c>
      <c r="O3440" s="5"/>
      <c r="S3440" s="6"/>
    </row>
    <row r="3441" spans="1:19" customFormat="1" x14ac:dyDescent="0.45">
      <c r="A3441">
        <v>618523</v>
      </c>
      <c r="B3441" t="s">
        <v>22796</v>
      </c>
      <c r="C3441" t="s">
        <v>22797</v>
      </c>
      <c r="D3441">
        <v>2</v>
      </c>
      <c r="F3441" s="126"/>
      <c r="G3441" s="3">
        <v>0</v>
      </c>
      <c r="H3441" s="3">
        <v>0</v>
      </c>
      <c r="I3441" s="3">
        <v>0</v>
      </c>
      <c r="J3441" s="3">
        <v>0</v>
      </c>
      <c r="K3441" s="3">
        <f t="shared" si="124"/>
        <v>0</v>
      </c>
      <c r="L3441" s="3"/>
      <c r="M3441" s="3">
        <f t="shared" si="125"/>
        <v>0</v>
      </c>
      <c r="O3441" s="5"/>
      <c r="S3441" s="6"/>
    </row>
    <row r="3442" spans="1:19" customFormat="1" x14ac:dyDescent="0.45">
      <c r="A3442">
        <v>619767</v>
      </c>
      <c r="B3442" t="s">
        <v>22798</v>
      </c>
      <c r="C3442" t="s">
        <v>22799</v>
      </c>
      <c r="D3442">
        <v>2</v>
      </c>
      <c r="F3442" s="126"/>
      <c r="G3442" s="3">
        <v>0</v>
      </c>
      <c r="H3442" s="3">
        <v>0</v>
      </c>
      <c r="I3442" s="3">
        <v>0</v>
      </c>
      <c r="J3442" s="3">
        <v>0</v>
      </c>
      <c r="K3442" s="3">
        <f t="shared" si="124"/>
        <v>0</v>
      </c>
      <c r="L3442" s="3"/>
      <c r="M3442" s="3">
        <f t="shared" si="125"/>
        <v>0</v>
      </c>
      <c r="O3442" s="5"/>
      <c r="S3442" s="6"/>
    </row>
    <row r="3443" spans="1:19" customFormat="1" x14ac:dyDescent="0.45">
      <c r="A3443">
        <v>620075</v>
      </c>
      <c r="B3443" t="s">
        <v>22800</v>
      </c>
      <c r="C3443" t="s">
        <v>22801</v>
      </c>
      <c r="D3443">
        <v>1</v>
      </c>
      <c r="F3443" s="126"/>
      <c r="K3443" s="3">
        <f t="shared" si="124"/>
        <v>0</v>
      </c>
      <c r="L3443" s="3"/>
      <c r="M3443" s="3">
        <f t="shared" si="125"/>
        <v>0</v>
      </c>
      <c r="O3443" s="5"/>
      <c r="S3443" s="6"/>
    </row>
    <row r="3444" spans="1:19" customFormat="1" x14ac:dyDescent="0.45">
      <c r="A3444">
        <v>620330</v>
      </c>
      <c r="B3444" t="s">
        <v>22802</v>
      </c>
      <c r="C3444" t="s">
        <v>22803</v>
      </c>
      <c r="D3444">
        <v>3</v>
      </c>
      <c r="F3444" s="126"/>
      <c r="G3444" s="3">
        <v>0</v>
      </c>
      <c r="H3444" s="3">
        <v>0</v>
      </c>
      <c r="I3444" s="3">
        <v>0</v>
      </c>
      <c r="J3444" s="3">
        <v>0</v>
      </c>
      <c r="K3444" s="3">
        <f t="shared" si="124"/>
        <v>0</v>
      </c>
      <c r="L3444" s="3"/>
      <c r="M3444" s="3">
        <f t="shared" si="125"/>
        <v>0</v>
      </c>
      <c r="O3444" s="5"/>
      <c r="S3444" s="6"/>
    </row>
    <row r="3445" spans="1:19" customFormat="1" x14ac:dyDescent="0.45">
      <c r="A3445">
        <v>620434</v>
      </c>
      <c r="B3445" t="s">
        <v>22804</v>
      </c>
      <c r="C3445" t="s">
        <v>16331</v>
      </c>
      <c r="D3445">
        <v>1</v>
      </c>
      <c r="E3445" t="s">
        <v>16331</v>
      </c>
      <c r="F3445" s="126"/>
      <c r="G3445" s="7">
        <v>0</v>
      </c>
      <c r="H3445" s="7">
        <v>0</v>
      </c>
      <c r="I3445" s="7">
        <v>0</v>
      </c>
      <c r="J3445" s="7">
        <v>0</v>
      </c>
      <c r="K3445" s="3">
        <f t="shared" si="124"/>
        <v>0</v>
      </c>
      <c r="L3445" s="3"/>
      <c r="M3445" s="3">
        <f t="shared" si="125"/>
        <v>0</v>
      </c>
      <c r="O3445" s="5"/>
      <c r="S3445" s="6"/>
    </row>
    <row r="3446" spans="1:19" customFormat="1" x14ac:dyDescent="0.45">
      <c r="A3446">
        <v>621420</v>
      </c>
      <c r="B3446" t="s">
        <v>22805</v>
      </c>
      <c r="C3446" t="s">
        <v>22806</v>
      </c>
      <c r="D3446">
        <v>2</v>
      </c>
      <c r="F3446" s="126"/>
      <c r="G3446" s="3">
        <v>0</v>
      </c>
      <c r="H3446" s="3">
        <v>0</v>
      </c>
      <c r="I3446" s="3">
        <v>0</v>
      </c>
      <c r="J3446" s="3">
        <v>0</v>
      </c>
      <c r="K3446" s="3">
        <f t="shared" si="124"/>
        <v>0</v>
      </c>
      <c r="L3446" s="3"/>
      <c r="M3446" s="3">
        <f t="shared" si="125"/>
        <v>0</v>
      </c>
      <c r="O3446" s="5"/>
      <c r="S3446" s="6"/>
    </row>
    <row r="3447" spans="1:19" customFormat="1" x14ac:dyDescent="0.45">
      <c r="A3447">
        <v>621423</v>
      </c>
      <c r="B3447" t="s">
        <v>22807</v>
      </c>
      <c r="C3447" t="s">
        <v>16331</v>
      </c>
      <c r="D3447">
        <v>2</v>
      </c>
      <c r="E3447" t="s">
        <v>16331</v>
      </c>
      <c r="F3447" s="126"/>
      <c r="G3447" s="7">
        <v>0</v>
      </c>
      <c r="H3447" s="7">
        <v>0</v>
      </c>
      <c r="I3447" s="7">
        <v>0</v>
      </c>
      <c r="J3447" s="7">
        <v>0</v>
      </c>
      <c r="K3447" s="3">
        <f t="shared" si="124"/>
        <v>0</v>
      </c>
      <c r="L3447" s="3"/>
      <c r="M3447" s="3">
        <f t="shared" si="125"/>
        <v>0</v>
      </c>
      <c r="N3447" s="7"/>
      <c r="O3447" s="5"/>
      <c r="S3447" s="6"/>
    </row>
    <row r="3448" spans="1:19" customFormat="1" x14ac:dyDescent="0.45">
      <c r="A3448">
        <v>621436</v>
      </c>
      <c r="B3448" t="s">
        <v>22808</v>
      </c>
      <c r="C3448" t="s">
        <v>22809</v>
      </c>
      <c r="D3448">
        <v>1</v>
      </c>
      <c r="F3448" s="126"/>
      <c r="G3448" s="3">
        <v>0</v>
      </c>
      <c r="H3448" s="3">
        <v>0</v>
      </c>
      <c r="I3448" s="3">
        <v>0</v>
      </c>
      <c r="J3448" s="3">
        <v>0</v>
      </c>
      <c r="K3448" s="3">
        <f t="shared" si="124"/>
        <v>0</v>
      </c>
      <c r="L3448" s="3"/>
      <c r="M3448" s="3">
        <f t="shared" si="125"/>
        <v>0</v>
      </c>
      <c r="O3448" s="5"/>
      <c r="S3448" s="6"/>
    </row>
    <row r="3449" spans="1:19" customFormat="1" x14ac:dyDescent="0.45">
      <c r="A3449">
        <v>621596</v>
      </c>
      <c r="B3449" t="s">
        <v>22810</v>
      </c>
      <c r="C3449" t="s">
        <v>22811</v>
      </c>
      <c r="D3449">
        <v>5</v>
      </c>
      <c r="F3449" s="126"/>
      <c r="G3449" s="3">
        <v>0</v>
      </c>
      <c r="H3449" s="3">
        <v>0</v>
      </c>
      <c r="I3449" s="3">
        <v>0</v>
      </c>
      <c r="J3449" s="3">
        <v>0</v>
      </c>
      <c r="K3449" s="3">
        <f t="shared" si="124"/>
        <v>0</v>
      </c>
      <c r="L3449" s="3"/>
      <c r="M3449" s="3">
        <f t="shared" si="125"/>
        <v>0</v>
      </c>
      <c r="O3449" s="5"/>
      <c r="S3449" s="6"/>
    </row>
    <row r="3450" spans="1:19" customFormat="1" x14ac:dyDescent="0.45">
      <c r="A3450">
        <v>621884</v>
      </c>
      <c r="B3450" t="s">
        <v>22812</v>
      </c>
      <c r="C3450" t="s">
        <v>16331</v>
      </c>
      <c r="D3450">
        <v>23</v>
      </c>
      <c r="E3450" t="s">
        <v>16331</v>
      </c>
      <c r="F3450" s="126"/>
      <c r="G3450" s="7">
        <v>0</v>
      </c>
      <c r="H3450" s="7">
        <v>0</v>
      </c>
      <c r="I3450" s="7">
        <v>0</v>
      </c>
      <c r="J3450" s="7">
        <v>0</v>
      </c>
      <c r="K3450" s="3">
        <f t="shared" si="124"/>
        <v>0</v>
      </c>
      <c r="L3450" s="3"/>
      <c r="M3450" s="3">
        <f t="shared" si="125"/>
        <v>0</v>
      </c>
      <c r="O3450" s="5"/>
      <c r="S3450" s="6"/>
    </row>
    <row r="3451" spans="1:19" customFormat="1" x14ac:dyDescent="0.45">
      <c r="A3451">
        <v>622200</v>
      </c>
      <c r="B3451" t="s">
        <v>22813</v>
      </c>
      <c r="C3451" t="s">
        <v>22814</v>
      </c>
      <c r="D3451">
        <v>3</v>
      </c>
      <c r="F3451" s="126"/>
      <c r="G3451" s="7">
        <v>0</v>
      </c>
      <c r="H3451" s="7">
        <v>0</v>
      </c>
      <c r="I3451" s="7">
        <v>0</v>
      </c>
      <c r="J3451" s="7">
        <v>0</v>
      </c>
      <c r="K3451" s="3">
        <f t="shared" si="124"/>
        <v>0</v>
      </c>
      <c r="L3451" s="3"/>
      <c r="M3451" s="3">
        <f t="shared" si="125"/>
        <v>0</v>
      </c>
      <c r="O3451" s="5"/>
      <c r="S3451" s="6"/>
    </row>
    <row r="3452" spans="1:19" customFormat="1" x14ac:dyDescent="0.45">
      <c r="A3452">
        <v>622387</v>
      </c>
      <c r="B3452" t="s">
        <v>22815</v>
      </c>
      <c r="C3452" t="s">
        <v>22816</v>
      </c>
      <c r="D3452">
        <v>1</v>
      </c>
      <c r="F3452" s="126"/>
      <c r="G3452" s="3">
        <v>0</v>
      </c>
      <c r="H3452" s="3">
        <v>0</v>
      </c>
      <c r="I3452" s="3">
        <v>0</v>
      </c>
      <c r="J3452" s="3">
        <v>0</v>
      </c>
      <c r="K3452" s="3">
        <f t="shared" si="124"/>
        <v>0</v>
      </c>
      <c r="L3452" s="3"/>
      <c r="M3452" s="3">
        <f t="shared" si="125"/>
        <v>0</v>
      </c>
      <c r="O3452" s="5"/>
      <c r="S3452" s="6"/>
    </row>
    <row r="3453" spans="1:19" customFormat="1" x14ac:dyDescent="0.45">
      <c r="A3453">
        <v>622407</v>
      </c>
      <c r="B3453" t="s">
        <v>22817</v>
      </c>
      <c r="C3453" t="s">
        <v>22818</v>
      </c>
      <c r="D3453">
        <v>1</v>
      </c>
      <c r="F3453" s="126"/>
      <c r="G3453" s="7">
        <v>0</v>
      </c>
      <c r="H3453" s="7">
        <v>0</v>
      </c>
      <c r="I3453" s="7">
        <v>0</v>
      </c>
      <c r="J3453" s="7">
        <v>0</v>
      </c>
      <c r="K3453" s="3">
        <f t="shared" si="124"/>
        <v>0</v>
      </c>
      <c r="L3453" s="3"/>
      <c r="M3453" s="3">
        <f t="shared" si="125"/>
        <v>0</v>
      </c>
      <c r="O3453" s="5"/>
      <c r="S3453" s="6"/>
    </row>
    <row r="3454" spans="1:19" customFormat="1" x14ac:dyDescent="0.45">
      <c r="A3454">
        <v>622446</v>
      </c>
      <c r="B3454" t="s">
        <v>22819</v>
      </c>
      <c r="C3454" t="s">
        <v>22820</v>
      </c>
      <c r="D3454">
        <v>2</v>
      </c>
      <c r="F3454" s="126"/>
      <c r="G3454" s="3">
        <v>0</v>
      </c>
      <c r="H3454" s="3">
        <v>0</v>
      </c>
      <c r="I3454" s="3">
        <v>0</v>
      </c>
      <c r="J3454" s="3">
        <v>0</v>
      </c>
      <c r="K3454" s="3">
        <f t="shared" si="124"/>
        <v>0</v>
      </c>
      <c r="L3454" s="3"/>
      <c r="M3454" s="3">
        <f t="shared" si="125"/>
        <v>0</v>
      </c>
      <c r="O3454" s="5"/>
      <c r="S3454" s="6"/>
    </row>
    <row r="3455" spans="1:19" customFormat="1" x14ac:dyDescent="0.45">
      <c r="A3455">
        <v>622476</v>
      </c>
      <c r="B3455" t="s">
        <v>22821</v>
      </c>
      <c r="C3455" t="s">
        <v>22822</v>
      </c>
      <c r="D3455">
        <v>1</v>
      </c>
      <c r="F3455" s="126"/>
      <c r="G3455" s="3">
        <v>0</v>
      </c>
      <c r="H3455" s="3">
        <v>0</v>
      </c>
      <c r="I3455" s="3">
        <v>0</v>
      </c>
      <c r="J3455" s="3">
        <v>0</v>
      </c>
      <c r="K3455" s="3">
        <f t="shared" si="124"/>
        <v>0</v>
      </c>
      <c r="L3455" s="3"/>
      <c r="M3455" s="3">
        <f t="shared" si="125"/>
        <v>0</v>
      </c>
      <c r="O3455" s="5"/>
      <c r="S3455" s="6"/>
    </row>
    <row r="3456" spans="1:19" customFormat="1" x14ac:dyDescent="0.45">
      <c r="A3456">
        <v>622534</v>
      </c>
      <c r="B3456" t="s">
        <v>22823</v>
      </c>
      <c r="C3456" t="s">
        <v>22824</v>
      </c>
      <c r="D3456">
        <v>1</v>
      </c>
      <c r="F3456" s="126"/>
      <c r="G3456" s="3">
        <v>0</v>
      </c>
      <c r="H3456" s="3">
        <v>0</v>
      </c>
      <c r="I3456" s="3">
        <v>0</v>
      </c>
      <c r="J3456" s="3">
        <v>0</v>
      </c>
      <c r="K3456" s="3">
        <f t="shared" si="124"/>
        <v>0</v>
      </c>
      <c r="L3456" s="3"/>
      <c r="M3456" s="3">
        <f t="shared" si="125"/>
        <v>0</v>
      </c>
      <c r="O3456" s="5"/>
      <c r="S3456" s="6"/>
    </row>
    <row r="3457" spans="1:19" customFormat="1" x14ac:dyDescent="0.45">
      <c r="A3457">
        <v>622569</v>
      </c>
      <c r="B3457" t="s">
        <v>22825</v>
      </c>
      <c r="C3457" t="s">
        <v>22826</v>
      </c>
      <c r="D3457">
        <v>0</v>
      </c>
      <c r="E3457" t="s">
        <v>16334</v>
      </c>
      <c r="F3457" s="126"/>
      <c r="G3457" s="7">
        <v>0</v>
      </c>
      <c r="H3457" s="7">
        <v>0</v>
      </c>
      <c r="I3457" s="7">
        <v>0</v>
      </c>
      <c r="J3457" s="7">
        <v>0</v>
      </c>
      <c r="K3457" s="3">
        <f t="shared" si="124"/>
        <v>0</v>
      </c>
      <c r="L3457" s="3"/>
      <c r="M3457" s="3">
        <f t="shared" si="125"/>
        <v>0</v>
      </c>
      <c r="N3457" s="7"/>
      <c r="O3457" s="5"/>
      <c r="S3457" s="6"/>
    </row>
    <row r="3458" spans="1:19" customFormat="1" x14ac:dyDescent="0.45">
      <c r="A3458">
        <v>622662</v>
      </c>
      <c r="B3458" t="s">
        <v>22827</v>
      </c>
      <c r="C3458" t="s">
        <v>16331</v>
      </c>
      <c r="D3458">
        <v>1</v>
      </c>
      <c r="E3458" t="s">
        <v>16331</v>
      </c>
      <c r="F3458" s="126"/>
      <c r="K3458" s="3">
        <f t="shared" si="124"/>
        <v>0</v>
      </c>
      <c r="L3458" s="3"/>
      <c r="M3458" s="3">
        <f t="shared" si="125"/>
        <v>0</v>
      </c>
      <c r="O3458" s="5"/>
      <c r="S3458" s="6"/>
    </row>
    <row r="3459" spans="1:19" customFormat="1" x14ac:dyDescent="0.45">
      <c r="A3459">
        <v>622803</v>
      </c>
      <c r="B3459" t="s">
        <v>22828</v>
      </c>
      <c r="C3459" t="s">
        <v>22829</v>
      </c>
      <c r="D3459">
        <v>1</v>
      </c>
      <c r="F3459" s="126"/>
      <c r="G3459" s="3">
        <v>0</v>
      </c>
      <c r="H3459" s="3">
        <v>0</v>
      </c>
      <c r="I3459" s="3">
        <v>0</v>
      </c>
      <c r="J3459" s="3">
        <v>0</v>
      </c>
      <c r="K3459" s="3">
        <f t="shared" si="124"/>
        <v>0</v>
      </c>
      <c r="L3459" s="3"/>
      <c r="M3459" s="3">
        <f t="shared" si="125"/>
        <v>0</v>
      </c>
      <c r="O3459" s="5"/>
      <c r="S3459" s="6"/>
    </row>
    <row r="3460" spans="1:19" customFormat="1" x14ac:dyDescent="0.45">
      <c r="A3460">
        <v>623155</v>
      </c>
      <c r="B3460" t="s">
        <v>22830</v>
      </c>
      <c r="C3460" t="s">
        <v>22831</v>
      </c>
      <c r="D3460">
        <v>1</v>
      </c>
      <c r="F3460" s="126"/>
      <c r="G3460" s="7">
        <v>0</v>
      </c>
      <c r="H3460" s="7">
        <v>0</v>
      </c>
      <c r="I3460" s="7">
        <v>0</v>
      </c>
      <c r="J3460" s="7">
        <v>0</v>
      </c>
      <c r="K3460" s="3">
        <f t="shared" si="124"/>
        <v>0</v>
      </c>
      <c r="L3460" s="3"/>
      <c r="M3460" s="3">
        <f t="shared" si="125"/>
        <v>0</v>
      </c>
      <c r="O3460" s="5"/>
      <c r="S3460" s="6"/>
    </row>
    <row r="3461" spans="1:19" customFormat="1" x14ac:dyDescent="0.45">
      <c r="A3461">
        <v>623160</v>
      </c>
      <c r="B3461" t="s">
        <v>22832</v>
      </c>
      <c r="C3461" t="s">
        <v>16331</v>
      </c>
      <c r="D3461">
        <v>1</v>
      </c>
      <c r="E3461" t="s">
        <v>16331</v>
      </c>
      <c r="F3461" s="126"/>
      <c r="G3461" s="7">
        <v>0</v>
      </c>
      <c r="H3461" s="7">
        <v>0</v>
      </c>
      <c r="I3461" s="7">
        <v>0</v>
      </c>
      <c r="J3461" s="7">
        <v>0</v>
      </c>
      <c r="K3461" s="3">
        <f t="shared" si="124"/>
        <v>0</v>
      </c>
      <c r="L3461" s="3"/>
      <c r="M3461" s="3">
        <f t="shared" si="125"/>
        <v>0</v>
      </c>
      <c r="O3461" s="5"/>
      <c r="S3461" s="6"/>
    </row>
    <row r="3462" spans="1:19" customFormat="1" x14ac:dyDescent="0.45">
      <c r="A3462">
        <v>623190</v>
      </c>
      <c r="B3462" t="s">
        <v>22833</v>
      </c>
      <c r="C3462" t="s">
        <v>22834</v>
      </c>
      <c r="D3462">
        <v>2</v>
      </c>
      <c r="F3462" s="126"/>
      <c r="G3462" s="7">
        <v>0</v>
      </c>
      <c r="H3462" s="7">
        <v>0</v>
      </c>
      <c r="I3462" s="7">
        <v>0</v>
      </c>
      <c r="J3462" s="7">
        <v>0</v>
      </c>
      <c r="K3462" s="3">
        <f t="shared" si="124"/>
        <v>0</v>
      </c>
      <c r="L3462" s="3"/>
      <c r="M3462" s="3">
        <f t="shared" si="125"/>
        <v>0</v>
      </c>
      <c r="O3462" s="5"/>
      <c r="S3462" s="6"/>
    </row>
    <row r="3463" spans="1:19" customFormat="1" x14ac:dyDescent="0.45">
      <c r="A3463">
        <v>623680</v>
      </c>
      <c r="B3463" t="s">
        <v>22835</v>
      </c>
      <c r="C3463" t="s">
        <v>22836</v>
      </c>
      <c r="D3463">
        <v>2</v>
      </c>
      <c r="F3463" s="126"/>
      <c r="G3463" s="7">
        <v>0</v>
      </c>
      <c r="H3463" s="7">
        <v>0</v>
      </c>
      <c r="I3463" s="7">
        <v>0</v>
      </c>
      <c r="J3463" s="7">
        <v>0</v>
      </c>
      <c r="K3463" s="3">
        <f t="shared" si="124"/>
        <v>0</v>
      </c>
      <c r="L3463" s="3"/>
      <c r="M3463" s="3">
        <f t="shared" si="125"/>
        <v>0</v>
      </c>
      <c r="O3463" s="5"/>
      <c r="S3463" s="6"/>
    </row>
    <row r="3464" spans="1:19" customFormat="1" x14ac:dyDescent="0.45">
      <c r="A3464">
        <v>623682</v>
      </c>
      <c r="B3464" t="s">
        <v>22837</v>
      </c>
      <c r="C3464" t="s">
        <v>22838</v>
      </c>
      <c r="D3464">
        <v>0</v>
      </c>
      <c r="E3464" t="s">
        <v>16561</v>
      </c>
      <c r="F3464" s="126"/>
      <c r="G3464" s="3">
        <v>0</v>
      </c>
      <c r="H3464" s="3">
        <v>0</v>
      </c>
      <c r="I3464" s="3">
        <v>0</v>
      </c>
      <c r="J3464" s="3">
        <v>0</v>
      </c>
      <c r="K3464" s="3">
        <f t="shared" si="124"/>
        <v>0</v>
      </c>
      <c r="L3464" s="3"/>
      <c r="M3464" s="3">
        <f t="shared" si="125"/>
        <v>0</v>
      </c>
      <c r="O3464" s="5"/>
      <c r="S3464" s="6"/>
    </row>
    <row r="3465" spans="1:19" customFormat="1" x14ac:dyDescent="0.45">
      <c r="A3465">
        <v>623758</v>
      </c>
      <c r="B3465" t="s">
        <v>22839</v>
      </c>
      <c r="C3465" t="s">
        <v>22840</v>
      </c>
      <c r="D3465">
        <v>0</v>
      </c>
      <c r="E3465" t="s">
        <v>16561</v>
      </c>
      <c r="F3465" s="126"/>
      <c r="G3465" s="7">
        <v>0</v>
      </c>
      <c r="H3465" s="7">
        <v>0</v>
      </c>
      <c r="I3465" s="7">
        <v>0</v>
      </c>
      <c r="J3465" s="7">
        <v>0</v>
      </c>
      <c r="K3465" s="3">
        <f t="shared" si="124"/>
        <v>0</v>
      </c>
      <c r="L3465" s="3"/>
      <c r="M3465" s="3">
        <f t="shared" si="125"/>
        <v>0</v>
      </c>
      <c r="N3465" s="7"/>
      <c r="O3465" s="5"/>
      <c r="S3465" s="6"/>
    </row>
    <row r="3466" spans="1:19" customFormat="1" x14ac:dyDescent="0.45">
      <c r="A3466">
        <v>623847</v>
      </c>
      <c r="B3466" t="s">
        <v>22841</v>
      </c>
      <c r="C3466" t="s">
        <v>16331</v>
      </c>
      <c r="D3466">
        <v>1</v>
      </c>
      <c r="E3466" t="s">
        <v>16331</v>
      </c>
      <c r="F3466" s="126"/>
      <c r="G3466" s="7">
        <v>0</v>
      </c>
      <c r="H3466" s="7">
        <v>0</v>
      </c>
      <c r="I3466" s="7">
        <v>0</v>
      </c>
      <c r="J3466" s="7">
        <v>0</v>
      </c>
      <c r="K3466" s="3">
        <f t="shared" si="124"/>
        <v>0</v>
      </c>
      <c r="L3466" s="3"/>
      <c r="M3466" s="3">
        <f t="shared" si="125"/>
        <v>0</v>
      </c>
      <c r="O3466" s="5"/>
      <c r="S3466" s="6"/>
    </row>
    <row r="3467" spans="1:19" customFormat="1" x14ac:dyDescent="0.45">
      <c r="A3467">
        <v>623856</v>
      </c>
      <c r="B3467" t="s">
        <v>22842</v>
      </c>
      <c r="C3467" t="s">
        <v>22843</v>
      </c>
      <c r="D3467">
        <v>4</v>
      </c>
      <c r="F3467" s="126"/>
      <c r="G3467" s="3">
        <v>0</v>
      </c>
      <c r="H3467" s="3">
        <v>0</v>
      </c>
      <c r="I3467" s="3">
        <v>0</v>
      </c>
      <c r="J3467" s="3">
        <v>0</v>
      </c>
      <c r="K3467" s="3">
        <f t="shared" si="124"/>
        <v>0</v>
      </c>
      <c r="L3467" s="3"/>
      <c r="M3467" s="3">
        <f t="shared" si="125"/>
        <v>0</v>
      </c>
      <c r="O3467" s="5"/>
      <c r="S3467" s="6"/>
    </row>
    <row r="3468" spans="1:19" customFormat="1" x14ac:dyDescent="0.45">
      <c r="A3468">
        <v>623871</v>
      </c>
      <c r="B3468" t="s">
        <v>22844</v>
      </c>
      <c r="C3468" t="s">
        <v>22845</v>
      </c>
      <c r="D3468">
        <v>2</v>
      </c>
      <c r="F3468" s="126"/>
      <c r="G3468" s="7">
        <v>0</v>
      </c>
      <c r="H3468" s="7">
        <v>0</v>
      </c>
      <c r="I3468" s="7">
        <v>0</v>
      </c>
      <c r="J3468" s="7">
        <v>0</v>
      </c>
      <c r="K3468" s="3">
        <f t="shared" si="124"/>
        <v>0</v>
      </c>
      <c r="L3468" s="3"/>
      <c r="M3468" s="3">
        <f t="shared" si="125"/>
        <v>0</v>
      </c>
      <c r="O3468" s="5"/>
      <c r="S3468" s="6"/>
    </row>
    <row r="3469" spans="1:19" customFormat="1" x14ac:dyDescent="0.45">
      <c r="A3469">
        <v>623873</v>
      </c>
      <c r="B3469" t="s">
        <v>22846</v>
      </c>
      <c r="C3469" t="s">
        <v>22847</v>
      </c>
      <c r="D3469">
        <v>2</v>
      </c>
      <c r="F3469" s="126"/>
      <c r="G3469" s="3">
        <v>0</v>
      </c>
      <c r="H3469" s="3">
        <v>0</v>
      </c>
      <c r="I3469" s="3">
        <v>0</v>
      </c>
      <c r="J3469" s="3">
        <v>0</v>
      </c>
      <c r="K3469" s="3">
        <f t="shared" si="124"/>
        <v>0</v>
      </c>
      <c r="L3469" s="3"/>
      <c r="M3469" s="3">
        <f t="shared" si="125"/>
        <v>0</v>
      </c>
      <c r="O3469" s="5"/>
      <c r="S3469" s="6"/>
    </row>
    <row r="3470" spans="1:19" customFormat="1" x14ac:dyDescent="0.45">
      <c r="A3470">
        <v>623925</v>
      </c>
      <c r="B3470" t="s">
        <v>22848</v>
      </c>
      <c r="C3470" t="s">
        <v>22849</v>
      </c>
      <c r="D3470">
        <v>6</v>
      </c>
      <c r="F3470" s="126"/>
      <c r="K3470" s="3">
        <f t="shared" si="124"/>
        <v>0</v>
      </c>
      <c r="L3470" s="3"/>
      <c r="M3470" s="3">
        <f t="shared" si="125"/>
        <v>0</v>
      </c>
      <c r="O3470" s="5"/>
      <c r="S3470" s="6"/>
    </row>
    <row r="3471" spans="1:19" customFormat="1" x14ac:dyDescent="0.45">
      <c r="A3471" s="51">
        <v>623927</v>
      </c>
      <c r="B3471" s="51" t="s">
        <v>22850</v>
      </c>
      <c r="C3471" s="51" t="s">
        <v>20130</v>
      </c>
      <c r="D3471">
        <v>4</v>
      </c>
      <c r="F3471" s="126"/>
      <c r="G3471" s="54">
        <v>0</v>
      </c>
      <c r="H3471" s="54">
        <v>0</v>
      </c>
      <c r="I3471" s="54">
        <v>0</v>
      </c>
      <c r="J3471" s="54">
        <v>0</v>
      </c>
      <c r="K3471" s="3">
        <f t="shared" si="124"/>
        <v>0</v>
      </c>
      <c r="L3471" s="3"/>
      <c r="M3471" s="3">
        <f t="shared" si="125"/>
        <v>0</v>
      </c>
      <c r="N3471" s="51"/>
      <c r="O3471" s="51"/>
      <c r="Q3471" s="51"/>
      <c r="S3471" s="6"/>
    </row>
    <row r="3472" spans="1:19" customFormat="1" x14ac:dyDescent="0.45">
      <c r="A3472">
        <v>623940</v>
      </c>
      <c r="B3472" t="s">
        <v>22851</v>
      </c>
      <c r="C3472" t="s">
        <v>22852</v>
      </c>
      <c r="D3472">
        <v>7</v>
      </c>
      <c r="F3472" s="126"/>
      <c r="G3472" s="7">
        <v>0</v>
      </c>
      <c r="H3472" s="7">
        <v>0</v>
      </c>
      <c r="I3472" s="7">
        <v>0</v>
      </c>
      <c r="J3472" s="7">
        <v>0</v>
      </c>
      <c r="K3472" s="3">
        <f t="shared" si="124"/>
        <v>0</v>
      </c>
      <c r="L3472" s="3"/>
      <c r="M3472" s="3">
        <f t="shared" si="125"/>
        <v>0</v>
      </c>
      <c r="O3472" s="5"/>
      <c r="S3472" s="6"/>
    </row>
    <row r="3473" spans="1:19" customFormat="1" x14ac:dyDescent="0.45">
      <c r="A3473">
        <v>623947</v>
      </c>
      <c r="B3473" t="s">
        <v>22853</v>
      </c>
      <c r="C3473" s="2" t="s">
        <v>20326</v>
      </c>
      <c r="D3473">
        <v>2</v>
      </c>
      <c r="F3473" s="126"/>
      <c r="G3473" s="3">
        <v>0</v>
      </c>
      <c r="H3473" s="3">
        <v>0</v>
      </c>
      <c r="I3473" s="3">
        <v>0</v>
      </c>
      <c r="J3473" s="3">
        <v>0</v>
      </c>
      <c r="K3473" s="3">
        <f t="shared" si="124"/>
        <v>0</v>
      </c>
      <c r="L3473" s="3"/>
      <c r="M3473" s="3">
        <f t="shared" si="125"/>
        <v>0</v>
      </c>
      <c r="O3473" s="5"/>
      <c r="S3473" s="6"/>
    </row>
    <row r="3474" spans="1:19" customFormat="1" x14ac:dyDescent="0.45">
      <c r="A3474">
        <v>624006</v>
      </c>
      <c r="B3474" t="s">
        <v>22854</v>
      </c>
      <c r="C3474" t="s">
        <v>22855</v>
      </c>
      <c r="D3474">
        <v>2</v>
      </c>
      <c r="F3474" s="126"/>
      <c r="K3474" s="3">
        <f t="shared" si="124"/>
        <v>0</v>
      </c>
      <c r="L3474" s="3"/>
      <c r="M3474" s="3">
        <f t="shared" si="125"/>
        <v>0</v>
      </c>
      <c r="O3474" s="5"/>
      <c r="S3474" s="6"/>
    </row>
    <row r="3475" spans="1:19" customFormat="1" x14ac:dyDescent="0.45">
      <c r="A3475">
        <v>624042</v>
      </c>
      <c r="B3475" t="s">
        <v>22856</v>
      </c>
      <c r="C3475" t="s">
        <v>22857</v>
      </c>
      <c r="D3475">
        <v>3</v>
      </c>
      <c r="F3475" s="126"/>
      <c r="G3475" s="3">
        <v>0</v>
      </c>
      <c r="H3475" s="3">
        <v>0</v>
      </c>
      <c r="I3475" s="3">
        <v>0</v>
      </c>
      <c r="J3475" s="3">
        <v>0</v>
      </c>
      <c r="K3475" s="3">
        <f t="shared" si="124"/>
        <v>0</v>
      </c>
      <c r="L3475" s="3"/>
      <c r="M3475" s="3">
        <f t="shared" si="125"/>
        <v>0</v>
      </c>
      <c r="O3475" s="5"/>
      <c r="S3475" s="6"/>
    </row>
    <row r="3476" spans="1:19" customFormat="1" x14ac:dyDescent="0.45">
      <c r="A3476">
        <v>624085</v>
      </c>
      <c r="B3476" t="s">
        <v>22858</v>
      </c>
      <c r="C3476" t="s">
        <v>22859</v>
      </c>
      <c r="D3476">
        <v>2</v>
      </c>
      <c r="F3476" s="126"/>
      <c r="G3476" s="7">
        <v>0</v>
      </c>
      <c r="H3476" s="7">
        <v>0</v>
      </c>
      <c r="I3476" s="7">
        <v>0</v>
      </c>
      <c r="J3476" s="7">
        <v>0</v>
      </c>
      <c r="K3476" s="3">
        <f t="shared" si="124"/>
        <v>0</v>
      </c>
      <c r="L3476" s="3"/>
      <c r="M3476" s="3">
        <f t="shared" si="125"/>
        <v>0</v>
      </c>
      <c r="O3476" s="5"/>
      <c r="S3476" s="6"/>
    </row>
    <row r="3477" spans="1:19" customFormat="1" x14ac:dyDescent="0.45">
      <c r="A3477">
        <v>624087</v>
      </c>
      <c r="B3477" t="s">
        <v>22860</v>
      </c>
      <c r="C3477" t="s">
        <v>22861</v>
      </c>
      <c r="D3477">
        <v>1</v>
      </c>
      <c r="F3477" s="126"/>
      <c r="G3477" s="3">
        <v>0</v>
      </c>
      <c r="H3477" s="3">
        <v>0</v>
      </c>
      <c r="I3477" s="3">
        <v>0</v>
      </c>
      <c r="J3477" s="3">
        <v>0</v>
      </c>
      <c r="K3477" s="3">
        <f t="shared" si="124"/>
        <v>0</v>
      </c>
      <c r="L3477" s="3"/>
      <c r="M3477" s="3">
        <f t="shared" si="125"/>
        <v>0</v>
      </c>
      <c r="O3477" s="5"/>
      <c r="S3477" s="6"/>
    </row>
    <row r="3478" spans="1:19" customFormat="1" x14ac:dyDescent="0.45">
      <c r="A3478">
        <v>624186</v>
      </c>
      <c r="B3478" t="s">
        <v>22862</v>
      </c>
      <c r="C3478" t="s">
        <v>16331</v>
      </c>
      <c r="D3478">
        <v>1</v>
      </c>
      <c r="E3478" t="s">
        <v>16331</v>
      </c>
      <c r="F3478" s="126"/>
      <c r="K3478" s="3">
        <f t="shared" si="124"/>
        <v>0</v>
      </c>
      <c r="L3478" s="3"/>
      <c r="M3478" s="3">
        <f t="shared" si="125"/>
        <v>0</v>
      </c>
      <c r="O3478" s="5"/>
      <c r="S3478" s="6"/>
    </row>
    <row r="3479" spans="1:19" customFormat="1" x14ac:dyDescent="0.45">
      <c r="A3479">
        <v>624188</v>
      </c>
      <c r="B3479" t="s">
        <v>22863</v>
      </c>
      <c r="C3479" t="s">
        <v>16331</v>
      </c>
      <c r="D3479">
        <v>1</v>
      </c>
      <c r="E3479" t="s">
        <v>16331</v>
      </c>
      <c r="F3479" s="126"/>
      <c r="G3479" s="7">
        <v>0</v>
      </c>
      <c r="H3479" s="7">
        <v>0</v>
      </c>
      <c r="I3479" s="7">
        <v>0</v>
      </c>
      <c r="J3479" s="7">
        <v>0</v>
      </c>
      <c r="K3479" s="3">
        <f t="shared" si="124"/>
        <v>0</v>
      </c>
      <c r="L3479" s="3"/>
      <c r="M3479" s="3">
        <f t="shared" si="125"/>
        <v>0</v>
      </c>
      <c r="O3479" s="5"/>
      <c r="S3479" s="6"/>
    </row>
    <row r="3480" spans="1:19" customFormat="1" x14ac:dyDescent="0.45">
      <c r="A3480">
        <v>624196</v>
      </c>
      <c r="B3480" t="s">
        <v>22864</v>
      </c>
      <c r="C3480" t="s">
        <v>22865</v>
      </c>
      <c r="D3480">
        <v>0</v>
      </c>
      <c r="E3480" t="s">
        <v>16334</v>
      </c>
      <c r="F3480" s="126"/>
      <c r="G3480" s="7">
        <v>0</v>
      </c>
      <c r="H3480" s="7">
        <v>0</v>
      </c>
      <c r="I3480" s="7">
        <v>0</v>
      </c>
      <c r="J3480" s="7">
        <v>0</v>
      </c>
      <c r="K3480" s="3">
        <f t="shared" si="124"/>
        <v>0</v>
      </c>
      <c r="L3480" s="3"/>
      <c r="M3480" s="3">
        <f t="shared" si="125"/>
        <v>0</v>
      </c>
      <c r="O3480" s="5"/>
      <c r="S3480" s="6"/>
    </row>
    <row r="3481" spans="1:19" customFormat="1" x14ac:dyDescent="0.45">
      <c r="A3481">
        <v>624277</v>
      </c>
      <c r="B3481" t="s">
        <v>22866</v>
      </c>
      <c r="C3481" t="s">
        <v>19118</v>
      </c>
      <c r="D3481">
        <v>32</v>
      </c>
      <c r="F3481" s="126"/>
      <c r="G3481" s="7">
        <v>0</v>
      </c>
      <c r="H3481" s="7">
        <v>0</v>
      </c>
      <c r="I3481" s="7">
        <v>0</v>
      </c>
      <c r="J3481" s="7">
        <v>0</v>
      </c>
      <c r="K3481" s="3">
        <f t="shared" si="124"/>
        <v>0</v>
      </c>
      <c r="L3481" s="3"/>
      <c r="M3481" s="3">
        <f t="shared" si="125"/>
        <v>0</v>
      </c>
      <c r="O3481" s="5"/>
      <c r="S3481" s="6"/>
    </row>
    <row r="3482" spans="1:19" customFormat="1" x14ac:dyDescent="0.45">
      <c r="A3482">
        <v>624298</v>
      </c>
      <c r="B3482" t="s">
        <v>22867</v>
      </c>
      <c r="C3482" t="s">
        <v>22868</v>
      </c>
      <c r="D3482">
        <v>17</v>
      </c>
      <c r="F3482" s="126"/>
      <c r="G3482" s="7">
        <v>0</v>
      </c>
      <c r="H3482" s="7">
        <v>0</v>
      </c>
      <c r="I3482" s="7">
        <v>0</v>
      </c>
      <c r="J3482" s="7">
        <v>0</v>
      </c>
      <c r="K3482" s="3">
        <f t="shared" si="124"/>
        <v>0</v>
      </c>
      <c r="L3482" s="3"/>
      <c r="M3482" s="3">
        <f t="shared" si="125"/>
        <v>0</v>
      </c>
      <c r="N3482" s="7"/>
      <c r="O3482" s="5"/>
      <c r="S3482" s="6"/>
    </row>
    <row r="3483" spans="1:19" customFormat="1" x14ac:dyDescent="0.45">
      <c r="A3483">
        <v>624332</v>
      </c>
      <c r="B3483" t="s">
        <v>22869</v>
      </c>
      <c r="C3483" t="s">
        <v>22870</v>
      </c>
      <c r="D3483">
        <v>2</v>
      </c>
      <c r="F3483" s="126"/>
      <c r="G3483" s="7">
        <v>0</v>
      </c>
      <c r="H3483" s="7">
        <v>0</v>
      </c>
      <c r="I3483" s="7">
        <v>0</v>
      </c>
      <c r="J3483" s="7">
        <v>0</v>
      </c>
      <c r="K3483" s="3">
        <f t="shared" si="124"/>
        <v>0</v>
      </c>
      <c r="L3483" s="3"/>
      <c r="M3483" s="3">
        <f t="shared" si="125"/>
        <v>0</v>
      </c>
      <c r="N3483" s="7"/>
      <c r="O3483" s="5"/>
      <c r="S3483" s="6"/>
    </row>
    <row r="3484" spans="1:19" customFormat="1" x14ac:dyDescent="0.45">
      <c r="A3484">
        <v>624398</v>
      </c>
      <c r="B3484" t="s">
        <v>22871</v>
      </c>
      <c r="C3484" t="s">
        <v>22872</v>
      </c>
      <c r="D3484">
        <v>1</v>
      </c>
      <c r="F3484" s="126"/>
      <c r="G3484" s="7">
        <v>0</v>
      </c>
      <c r="H3484" s="7">
        <v>0</v>
      </c>
      <c r="I3484" s="7">
        <v>0</v>
      </c>
      <c r="J3484" s="7">
        <v>0</v>
      </c>
      <c r="K3484" s="3">
        <f t="shared" si="124"/>
        <v>0</v>
      </c>
      <c r="L3484" s="3"/>
      <c r="M3484" s="3">
        <f t="shared" si="125"/>
        <v>0</v>
      </c>
      <c r="O3484" s="5"/>
      <c r="S3484" s="6"/>
    </row>
    <row r="3485" spans="1:19" customFormat="1" x14ac:dyDescent="0.45">
      <c r="A3485">
        <v>624445</v>
      </c>
      <c r="B3485" t="s">
        <v>22873</v>
      </c>
      <c r="C3485" t="s">
        <v>22874</v>
      </c>
      <c r="D3485">
        <v>5</v>
      </c>
      <c r="F3485" s="126"/>
      <c r="G3485" s="7">
        <v>0</v>
      </c>
      <c r="H3485" s="7">
        <v>0</v>
      </c>
      <c r="I3485" s="7">
        <v>0</v>
      </c>
      <c r="J3485" s="7">
        <v>0</v>
      </c>
      <c r="K3485" s="3">
        <f t="shared" si="124"/>
        <v>0</v>
      </c>
      <c r="L3485" s="3"/>
      <c r="M3485" s="3">
        <f t="shared" si="125"/>
        <v>0</v>
      </c>
      <c r="O3485" s="5"/>
      <c r="S3485" s="6"/>
    </row>
    <row r="3486" spans="1:19" customFormat="1" x14ac:dyDescent="0.45">
      <c r="A3486">
        <v>624510</v>
      </c>
      <c r="B3486" t="s">
        <v>22875</v>
      </c>
      <c r="C3486" t="s">
        <v>22876</v>
      </c>
      <c r="D3486">
        <v>1</v>
      </c>
      <c r="F3486" s="126"/>
      <c r="G3486" s="3">
        <v>0</v>
      </c>
      <c r="H3486" s="3">
        <v>0</v>
      </c>
      <c r="I3486" s="3">
        <v>0</v>
      </c>
      <c r="J3486" s="3">
        <v>0</v>
      </c>
      <c r="K3486" s="3">
        <f t="shared" si="124"/>
        <v>0</v>
      </c>
      <c r="L3486" s="3"/>
      <c r="M3486" s="3">
        <f t="shared" si="125"/>
        <v>0</v>
      </c>
      <c r="O3486" s="5"/>
      <c r="S3486" s="6"/>
    </row>
    <row r="3487" spans="1:19" customFormat="1" x14ac:dyDescent="0.45">
      <c r="A3487">
        <v>624544</v>
      </c>
      <c r="B3487" t="s">
        <v>22877</v>
      </c>
      <c r="C3487" t="s">
        <v>16331</v>
      </c>
      <c r="D3487">
        <v>1</v>
      </c>
      <c r="E3487" t="s">
        <v>16331</v>
      </c>
      <c r="F3487" s="126"/>
      <c r="G3487" s="7">
        <v>0</v>
      </c>
      <c r="H3487" s="7">
        <v>0</v>
      </c>
      <c r="I3487" s="7">
        <v>0</v>
      </c>
      <c r="J3487" s="7">
        <v>0</v>
      </c>
      <c r="K3487" s="3">
        <f t="shared" si="124"/>
        <v>0</v>
      </c>
      <c r="L3487" s="3"/>
      <c r="M3487" s="3">
        <f t="shared" si="125"/>
        <v>0</v>
      </c>
      <c r="O3487" s="5"/>
      <c r="S3487" s="6"/>
    </row>
    <row r="3488" spans="1:19" customFormat="1" x14ac:dyDescent="0.45">
      <c r="A3488">
        <v>624546</v>
      </c>
      <c r="B3488" t="s">
        <v>22878</v>
      </c>
      <c r="C3488" t="s">
        <v>22879</v>
      </c>
      <c r="D3488">
        <v>20</v>
      </c>
      <c r="F3488" s="126"/>
      <c r="G3488" s="3">
        <v>0</v>
      </c>
      <c r="H3488" s="3">
        <v>0</v>
      </c>
      <c r="I3488" s="3">
        <v>0</v>
      </c>
      <c r="J3488" s="3">
        <v>0</v>
      </c>
      <c r="K3488" s="3">
        <f t="shared" si="124"/>
        <v>0</v>
      </c>
      <c r="L3488" s="3"/>
      <c r="M3488" s="3">
        <f t="shared" si="125"/>
        <v>0</v>
      </c>
      <c r="O3488" s="5"/>
      <c r="S3488" s="6"/>
    </row>
    <row r="3489" spans="1:19" customFormat="1" x14ac:dyDescent="0.45">
      <c r="A3489">
        <v>624547</v>
      </c>
      <c r="B3489" t="s">
        <v>22880</v>
      </c>
      <c r="C3489" t="s">
        <v>22881</v>
      </c>
      <c r="D3489">
        <v>3</v>
      </c>
      <c r="F3489" s="126"/>
      <c r="G3489" s="3">
        <v>0</v>
      </c>
      <c r="H3489" s="3">
        <v>0</v>
      </c>
      <c r="I3489" s="3">
        <v>0</v>
      </c>
      <c r="J3489" s="3">
        <v>0</v>
      </c>
      <c r="K3489" s="3">
        <f t="shared" si="124"/>
        <v>0</v>
      </c>
      <c r="L3489" s="3"/>
      <c r="M3489" s="3">
        <f t="shared" si="125"/>
        <v>0</v>
      </c>
      <c r="O3489" s="5"/>
      <c r="S3489" s="6"/>
    </row>
    <row r="3490" spans="1:19" customFormat="1" x14ac:dyDescent="0.45">
      <c r="A3490">
        <v>624548</v>
      </c>
      <c r="B3490" t="s">
        <v>22882</v>
      </c>
      <c r="C3490" t="s">
        <v>22883</v>
      </c>
      <c r="D3490">
        <v>3</v>
      </c>
      <c r="F3490" s="126"/>
      <c r="G3490" s="7">
        <v>0</v>
      </c>
      <c r="H3490" s="7">
        <v>0</v>
      </c>
      <c r="I3490" s="7">
        <v>0</v>
      </c>
      <c r="J3490" s="7">
        <v>0</v>
      </c>
      <c r="K3490" s="3">
        <f t="shared" ref="K3490:K3553" si="126">SUM(G3490:J3490)</f>
        <v>0</v>
      </c>
      <c r="L3490" s="3"/>
      <c r="M3490" s="3">
        <f t="shared" ref="M3490:M3553" si="127">K3490+F3490</f>
        <v>0</v>
      </c>
      <c r="O3490" s="5"/>
      <c r="S3490" s="6"/>
    </row>
    <row r="3491" spans="1:19" customFormat="1" x14ac:dyDescent="0.45">
      <c r="A3491">
        <v>624550</v>
      </c>
      <c r="B3491" t="s">
        <v>22884</v>
      </c>
      <c r="C3491" t="s">
        <v>22885</v>
      </c>
      <c r="D3491">
        <v>1</v>
      </c>
      <c r="F3491" s="126"/>
      <c r="G3491" s="3">
        <v>0</v>
      </c>
      <c r="H3491" s="3">
        <v>0</v>
      </c>
      <c r="I3491" s="3">
        <v>0</v>
      </c>
      <c r="J3491" s="3">
        <v>0</v>
      </c>
      <c r="K3491" s="3">
        <f t="shared" si="126"/>
        <v>0</v>
      </c>
      <c r="L3491" s="3"/>
      <c r="M3491" s="3">
        <f t="shared" si="127"/>
        <v>0</v>
      </c>
      <c r="O3491" s="5"/>
      <c r="S3491" s="6"/>
    </row>
    <row r="3492" spans="1:19" customFormat="1" x14ac:dyDescent="0.45">
      <c r="A3492">
        <v>624551</v>
      </c>
      <c r="B3492" t="s">
        <v>22886</v>
      </c>
      <c r="C3492" t="s">
        <v>22887</v>
      </c>
      <c r="D3492">
        <v>1</v>
      </c>
      <c r="F3492" s="126"/>
      <c r="G3492" s="7">
        <v>0</v>
      </c>
      <c r="H3492" s="7">
        <v>0</v>
      </c>
      <c r="I3492" s="7">
        <v>0</v>
      </c>
      <c r="J3492" s="7">
        <v>0</v>
      </c>
      <c r="K3492" s="3">
        <f t="shared" si="126"/>
        <v>0</v>
      </c>
      <c r="L3492" s="3"/>
      <c r="M3492" s="3">
        <f t="shared" si="127"/>
        <v>0</v>
      </c>
      <c r="N3492" s="7"/>
      <c r="O3492" s="5"/>
      <c r="S3492" s="6"/>
    </row>
    <row r="3493" spans="1:19" customFormat="1" x14ac:dyDescent="0.45">
      <c r="A3493">
        <v>624553</v>
      </c>
      <c r="B3493" t="s">
        <v>22888</v>
      </c>
      <c r="C3493" t="s">
        <v>16331</v>
      </c>
      <c r="D3493">
        <v>1</v>
      </c>
      <c r="E3493" t="s">
        <v>16331</v>
      </c>
      <c r="F3493" s="126"/>
      <c r="G3493" s="7">
        <v>0</v>
      </c>
      <c r="H3493" s="7">
        <v>0</v>
      </c>
      <c r="I3493" s="7">
        <v>0</v>
      </c>
      <c r="J3493" s="7">
        <v>0</v>
      </c>
      <c r="K3493" s="3">
        <f t="shared" si="126"/>
        <v>0</v>
      </c>
      <c r="L3493" s="3"/>
      <c r="M3493" s="3">
        <f t="shared" si="127"/>
        <v>0</v>
      </c>
      <c r="O3493" s="5"/>
      <c r="S3493" s="6"/>
    </row>
    <row r="3494" spans="1:19" customFormat="1" x14ac:dyDescent="0.45">
      <c r="A3494">
        <v>624554</v>
      </c>
      <c r="B3494" t="s">
        <v>22889</v>
      </c>
      <c r="C3494" t="s">
        <v>22890</v>
      </c>
      <c r="D3494">
        <v>1</v>
      </c>
      <c r="F3494" s="126"/>
      <c r="G3494" s="3">
        <v>0</v>
      </c>
      <c r="H3494" s="3">
        <v>0</v>
      </c>
      <c r="I3494" s="3">
        <v>0</v>
      </c>
      <c r="J3494" s="3">
        <v>0</v>
      </c>
      <c r="K3494" s="3">
        <f t="shared" si="126"/>
        <v>0</v>
      </c>
      <c r="L3494" s="3"/>
      <c r="M3494" s="3">
        <f t="shared" si="127"/>
        <v>0</v>
      </c>
      <c r="O3494" s="5"/>
      <c r="S3494" s="6"/>
    </row>
    <row r="3495" spans="1:19" customFormat="1" x14ac:dyDescent="0.45">
      <c r="A3495">
        <v>624561</v>
      </c>
      <c r="B3495" t="s">
        <v>22891</v>
      </c>
      <c r="C3495" t="s">
        <v>22892</v>
      </c>
      <c r="D3495">
        <v>1</v>
      </c>
      <c r="F3495" s="126"/>
      <c r="G3495" s="3">
        <v>0</v>
      </c>
      <c r="H3495" s="3">
        <v>0</v>
      </c>
      <c r="I3495" s="3">
        <v>0</v>
      </c>
      <c r="J3495" s="3">
        <v>0</v>
      </c>
      <c r="K3495" s="3">
        <f t="shared" si="126"/>
        <v>0</v>
      </c>
      <c r="L3495" s="3"/>
      <c r="M3495" s="3">
        <f t="shared" si="127"/>
        <v>0</v>
      </c>
      <c r="O3495" s="5"/>
      <c r="S3495" s="6"/>
    </row>
    <row r="3496" spans="1:19" customFormat="1" x14ac:dyDescent="0.45">
      <c r="A3496">
        <v>624563</v>
      </c>
      <c r="B3496" t="s">
        <v>22893</v>
      </c>
      <c r="C3496" t="s">
        <v>22894</v>
      </c>
      <c r="D3496">
        <v>14</v>
      </c>
      <c r="F3496" s="126"/>
      <c r="G3496" s="3">
        <v>0</v>
      </c>
      <c r="H3496" s="3">
        <v>0</v>
      </c>
      <c r="I3496" s="3">
        <v>0</v>
      </c>
      <c r="J3496" s="3">
        <v>0</v>
      </c>
      <c r="K3496" s="3">
        <f t="shared" si="126"/>
        <v>0</v>
      </c>
      <c r="L3496" s="3"/>
      <c r="M3496" s="3">
        <f t="shared" si="127"/>
        <v>0</v>
      </c>
      <c r="O3496" s="5"/>
      <c r="S3496" s="6"/>
    </row>
    <row r="3497" spans="1:19" customFormat="1" x14ac:dyDescent="0.45">
      <c r="A3497">
        <v>624566</v>
      </c>
      <c r="B3497" t="s">
        <v>22895</v>
      </c>
      <c r="C3497" t="s">
        <v>22896</v>
      </c>
      <c r="D3497">
        <v>6</v>
      </c>
      <c r="F3497" s="126"/>
      <c r="G3497" s="3">
        <v>0</v>
      </c>
      <c r="H3497" s="3">
        <v>0</v>
      </c>
      <c r="I3497" s="3">
        <v>0</v>
      </c>
      <c r="J3497" s="3">
        <v>0</v>
      </c>
      <c r="K3497" s="3">
        <f t="shared" si="126"/>
        <v>0</v>
      </c>
      <c r="L3497" s="3"/>
      <c r="M3497" s="3">
        <f t="shared" si="127"/>
        <v>0</v>
      </c>
      <c r="O3497" s="5"/>
      <c r="S3497" s="6"/>
    </row>
    <row r="3498" spans="1:19" customFormat="1" x14ac:dyDescent="0.45">
      <c r="A3498">
        <v>624568</v>
      </c>
      <c r="B3498" t="s">
        <v>22897</v>
      </c>
      <c r="C3498" t="s">
        <v>22898</v>
      </c>
      <c r="D3498">
        <v>1</v>
      </c>
      <c r="F3498" s="126"/>
      <c r="G3498" s="3">
        <v>0</v>
      </c>
      <c r="H3498" s="3">
        <v>0</v>
      </c>
      <c r="I3498" s="3">
        <v>0</v>
      </c>
      <c r="J3498" s="3">
        <v>0</v>
      </c>
      <c r="K3498" s="3">
        <f t="shared" si="126"/>
        <v>0</v>
      </c>
      <c r="L3498" s="3"/>
      <c r="M3498" s="3">
        <f t="shared" si="127"/>
        <v>0</v>
      </c>
      <c r="O3498" s="5"/>
      <c r="S3498" s="6"/>
    </row>
    <row r="3499" spans="1:19" customFormat="1" x14ac:dyDescent="0.45">
      <c r="A3499">
        <v>624574</v>
      </c>
      <c r="B3499" t="s">
        <v>22899</v>
      </c>
      <c r="C3499" t="s">
        <v>16331</v>
      </c>
      <c r="D3499">
        <v>1</v>
      </c>
      <c r="E3499" t="s">
        <v>16331</v>
      </c>
      <c r="F3499" s="126"/>
      <c r="G3499" s="7">
        <v>0</v>
      </c>
      <c r="H3499" s="7">
        <v>0</v>
      </c>
      <c r="I3499" s="7">
        <v>0</v>
      </c>
      <c r="J3499" s="7">
        <v>0</v>
      </c>
      <c r="K3499" s="3">
        <f t="shared" si="126"/>
        <v>0</v>
      </c>
      <c r="L3499" s="3"/>
      <c r="M3499" s="3">
        <f t="shared" si="127"/>
        <v>0</v>
      </c>
      <c r="O3499" s="5"/>
      <c r="S3499" s="6"/>
    </row>
    <row r="3500" spans="1:19" customFormat="1" x14ac:dyDescent="0.45">
      <c r="A3500">
        <v>624577</v>
      </c>
      <c r="B3500" t="s">
        <v>22900</v>
      </c>
      <c r="C3500" t="s">
        <v>22901</v>
      </c>
      <c r="D3500">
        <v>1</v>
      </c>
      <c r="F3500" s="126"/>
      <c r="G3500" s="7">
        <v>0</v>
      </c>
      <c r="H3500" s="7">
        <v>0</v>
      </c>
      <c r="I3500" s="7">
        <v>0</v>
      </c>
      <c r="J3500" s="7">
        <v>0</v>
      </c>
      <c r="K3500" s="3">
        <f t="shared" si="126"/>
        <v>0</v>
      </c>
      <c r="L3500" s="3"/>
      <c r="M3500" s="3">
        <f t="shared" si="127"/>
        <v>0</v>
      </c>
      <c r="O3500" s="5"/>
      <c r="S3500" s="6"/>
    </row>
    <row r="3501" spans="1:19" customFormat="1" x14ac:dyDescent="0.45">
      <c r="A3501">
        <v>624578</v>
      </c>
      <c r="B3501" t="s">
        <v>22902</v>
      </c>
      <c r="C3501" t="s">
        <v>22903</v>
      </c>
      <c r="D3501">
        <v>1</v>
      </c>
      <c r="F3501" s="126"/>
      <c r="G3501" s="3">
        <v>0</v>
      </c>
      <c r="H3501" s="3">
        <v>0</v>
      </c>
      <c r="I3501" s="3">
        <v>0</v>
      </c>
      <c r="J3501" s="3">
        <v>0</v>
      </c>
      <c r="K3501" s="3">
        <f t="shared" si="126"/>
        <v>0</v>
      </c>
      <c r="L3501" s="3"/>
      <c r="M3501" s="3">
        <f t="shared" si="127"/>
        <v>0</v>
      </c>
      <c r="O3501" s="5"/>
      <c r="S3501" s="6"/>
    </row>
    <row r="3502" spans="1:19" customFormat="1" x14ac:dyDescent="0.45">
      <c r="A3502">
        <v>624579</v>
      </c>
      <c r="B3502" t="s">
        <v>22904</v>
      </c>
      <c r="C3502" t="s">
        <v>22905</v>
      </c>
      <c r="D3502">
        <v>14</v>
      </c>
      <c r="F3502" s="126"/>
      <c r="G3502" s="3">
        <v>0</v>
      </c>
      <c r="H3502" s="3">
        <v>0</v>
      </c>
      <c r="I3502" s="3">
        <v>0</v>
      </c>
      <c r="J3502" s="3">
        <v>0</v>
      </c>
      <c r="K3502" s="3">
        <f t="shared" si="126"/>
        <v>0</v>
      </c>
      <c r="L3502" s="3"/>
      <c r="M3502" s="3">
        <f t="shared" si="127"/>
        <v>0</v>
      </c>
      <c r="O3502" s="5"/>
      <c r="S3502" s="6"/>
    </row>
    <row r="3503" spans="1:19" customFormat="1" x14ac:dyDescent="0.45">
      <c r="A3503">
        <v>624582</v>
      </c>
      <c r="B3503" t="s">
        <v>22906</v>
      </c>
      <c r="C3503" t="s">
        <v>22907</v>
      </c>
      <c r="D3503">
        <v>1</v>
      </c>
      <c r="F3503" s="126"/>
      <c r="H3503" s="7"/>
      <c r="K3503" s="3">
        <f t="shared" si="126"/>
        <v>0</v>
      </c>
      <c r="L3503" s="3"/>
      <c r="M3503" s="3">
        <f t="shared" si="127"/>
        <v>0</v>
      </c>
      <c r="O3503" s="5"/>
      <c r="S3503" s="6"/>
    </row>
    <row r="3504" spans="1:19" customFormat="1" x14ac:dyDescent="0.45">
      <c r="A3504">
        <v>624596</v>
      </c>
      <c r="B3504" t="s">
        <v>22908</v>
      </c>
      <c r="C3504" t="s">
        <v>16331</v>
      </c>
      <c r="D3504">
        <v>1</v>
      </c>
      <c r="E3504" t="s">
        <v>16331</v>
      </c>
      <c r="F3504" s="126"/>
      <c r="G3504" s="7">
        <v>0</v>
      </c>
      <c r="H3504" s="7">
        <v>0</v>
      </c>
      <c r="I3504" s="7">
        <v>0</v>
      </c>
      <c r="J3504" s="7">
        <v>0</v>
      </c>
      <c r="K3504" s="3">
        <f t="shared" si="126"/>
        <v>0</v>
      </c>
      <c r="L3504" s="3"/>
      <c r="M3504" s="3">
        <f t="shared" si="127"/>
        <v>0</v>
      </c>
      <c r="O3504" s="5"/>
      <c r="S3504" s="6"/>
    </row>
    <row r="3505" spans="1:24" customFormat="1" x14ac:dyDescent="0.45">
      <c r="A3505">
        <v>624638</v>
      </c>
      <c r="B3505" t="s">
        <v>22909</v>
      </c>
      <c r="C3505" t="s">
        <v>22910</v>
      </c>
      <c r="D3505">
        <v>1</v>
      </c>
      <c r="F3505" s="126"/>
      <c r="G3505" s="3">
        <v>0</v>
      </c>
      <c r="H3505" s="3">
        <v>0</v>
      </c>
      <c r="I3505" s="3">
        <v>0</v>
      </c>
      <c r="J3505" s="3">
        <v>0</v>
      </c>
      <c r="K3505" s="3">
        <f t="shared" si="126"/>
        <v>0</v>
      </c>
      <c r="L3505" s="3"/>
      <c r="M3505" s="3">
        <f t="shared" si="127"/>
        <v>0</v>
      </c>
      <c r="O3505" s="5"/>
      <c r="S3505" s="6"/>
    </row>
    <row r="3506" spans="1:24" customFormat="1" x14ac:dyDescent="0.45">
      <c r="A3506">
        <v>624670</v>
      </c>
      <c r="B3506" t="s">
        <v>22911</v>
      </c>
      <c r="C3506" t="s">
        <v>16331</v>
      </c>
      <c r="D3506">
        <v>1</v>
      </c>
      <c r="E3506" t="s">
        <v>16331</v>
      </c>
      <c r="F3506" s="126"/>
      <c r="G3506" s="7">
        <v>0</v>
      </c>
      <c r="H3506" s="7">
        <v>0</v>
      </c>
      <c r="I3506" s="7">
        <v>0</v>
      </c>
      <c r="J3506" s="7">
        <v>0</v>
      </c>
      <c r="K3506" s="3">
        <f t="shared" si="126"/>
        <v>0</v>
      </c>
      <c r="L3506" s="3"/>
      <c r="M3506" s="3">
        <f t="shared" si="127"/>
        <v>0</v>
      </c>
      <c r="O3506" s="5"/>
      <c r="S3506" s="6"/>
    </row>
    <row r="3507" spans="1:24" x14ac:dyDescent="0.45">
      <c r="A3507" s="124">
        <v>624680</v>
      </c>
      <c r="B3507" s="124" t="s">
        <v>22912</v>
      </c>
      <c r="C3507" s="125" t="s">
        <v>22913</v>
      </c>
      <c r="D3507" s="124">
        <v>1</v>
      </c>
      <c r="E3507" s="124" t="s">
        <v>16334</v>
      </c>
      <c r="F3507" s="126"/>
      <c r="G3507" s="126">
        <v>0</v>
      </c>
      <c r="H3507" s="126">
        <v>5.0000000000000001E-3</v>
      </c>
      <c r="I3507" s="126"/>
      <c r="J3507" s="126"/>
      <c r="K3507" s="126">
        <f t="shared" si="126"/>
        <v>5.0000000000000001E-3</v>
      </c>
      <c r="L3507" s="3"/>
      <c r="M3507" s="126">
        <f t="shared" si="127"/>
        <v>5.0000000000000001E-3</v>
      </c>
      <c r="N3507" s="124" t="s">
        <v>22914</v>
      </c>
      <c r="O3507" s="125" t="s">
        <v>22915</v>
      </c>
      <c r="Q3507" s="124">
        <f>103+48496</f>
        <v>48599</v>
      </c>
      <c r="R3507" s="124" t="s">
        <v>16348</v>
      </c>
      <c r="S3507" s="146">
        <v>18644</v>
      </c>
      <c r="T3507" s="129">
        <f>S3507/Q3507</f>
        <v>0.38362929278380214</v>
      </c>
      <c r="V3507" s="125" t="s">
        <v>22916</v>
      </c>
      <c r="X3507" s="124" t="s">
        <v>17790</v>
      </c>
    </row>
    <row r="3508" spans="1:24" customFormat="1" x14ac:dyDescent="0.45">
      <c r="A3508">
        <v>624799</v>
      </c>
      <c r="B3508" t="s">
        <v>22917</v>
      </c>
      <c r="C3508" t="s">
        <v>22918</v>
      </c>
      <c r="D3508">
        <v>2</v>
      </c>
      <c r="F3508" s="126"/>
      <c r="G3508" s="3">
        <v>0</v>
      </c>
      <c r="H3508" s="3">
        <v>0</v>
      </c>
      <c r="I3508" s="3">
        <v>0</v>
      </c>
      <c r="J3508" s="3">
        <v>0</v>
      </c>
      <c r="K3508" s="3">
        <f t="shared" si="126"/>
        <v>0</v>
      </c>
      <c r="L3508" s="3"/>
      <c r="M3508" s="3">
        <f t="shared" si="127"/>
        <v>0</v>
      </c>
      <c r="O3508" s="5"/>
      <c r="S3508" s="6"/>
    </row>
    <row r="3509" spans="1:24" customFormat="1" x14ac:dyDescent="0.45">
      <c r="A3509">
        <v>624888</v>
      </c>
      <c r="B3509" t="s">
        <v>22919</v>
      </c>
      <c r="C3509" t="s">
        <v>16331</v>
      </c>
      <c r="D3509">
        <v>2</v>
      </c>
      <c r="E3509" t="s">
        <v>16331</v>
      </c>
      <c r="F3509" s="126"/>
      <c r="G3509" s="7">
        <v>0</v>
      </c>
      <c r="H3509" s="7">
        <v>0</v>
      </c>
      <c r="I3509" s="7">
        <v>0</v>
      </c>
      <c r="J3509" s="7">
        <v>0</v>
      </c>
      <c r="K3509" s="3">
        <f t="shared" si="126"/>
        <v>0</v>
      </c>
      <c r="L3509" s="3"/>
      <c r="M3509" s="3">
        <f t="shared" si="127"/>
        <v>0</v>
      </c>
      <c r="O3509" s="5"/>
      <c r="S3509" s="6"/>
    </row>
    <row r="3510" spans="1:24" customFormat="1" x14ac:dyDescent="0.45">
      <c r="A3510">
        <v>624915</v>
      </c>
      <c r="B3510" t="s">
        <v>22920</v>
      </c>
      <c r="C3510" t="s">
        <v>22921</v>
      </c>
      <c r="D3510">
        <v>3</v>
      </c>
      <c r="F3510" s="126"/>
      <c r="G3510" s="3">
        <v>0</v>
      </c>
      <c r="H3510" s="3">
        <v>0</v>
      </c>
      <c r="I3510" s="3">
        <v>0</v>
      </c>
      <c r="J3510" s="3">
        <v>0</v>
      </c>
      <c r="K3510" s="3">
        <f t="shared" si="126"/>
        <v>0</v>
      </c>
      <c r="L3510" s="3"/>
      <c r="M3510" s="3">
        <f t="shared" si="127"/>
        <v>0</v>
      </c>
      <c r="O3510" s="5"/>
      <c r="S3510" s="6"/>
    </row>
    <row r="3511" spans="1:24" customFormat="1" x14ac:dyDescent="0.45">
      <c r="A3511">
        <v>624969</v>
      </c>
      <c r="B3511" t="s">
        <v>22922</v>
      </c>
      <c r="C3511" t="s">
        <v>16331</v>
      </c>
      <c r="D3511">
        <v>3</v>
      </c>
      <c r="E3511" t="s">
        <v>16331</v>
      </c>
      <c r="F3511" s="126"/>
      <c r="G3511" s="7">
        <v>0</v>
      </c>
      <c r="H3511" s="7">
        <v>0</v>
      </c>
      <c r="I3511" s="7">
        <v>0</v>
      </c>
      <c r="J3511" s="7">
        <v>0</v>
      </c>
      <c r="K3511" s="3">
        <f t="shared" si="126"/>
        <v>0</v>
      </c>
      <c r="L3511" s="3"/>
      <c r="M3511" s="3">
        <f t="shared" si="127"/>
        <v>0</v>
      </c>
      <c r="O3511" s="5"/>
      <c r="S3511" s="6"/>
    </row>
    <row r="3512" spans="1:24" customFormat="1" x14ac:dyDescent="0.45">
      <c r="A3512">
        <v>624976</v>
      </c>
      <c r="B3512" t="s">
        <v>22923</v>
      </c>
      <c r="C3512" t="s">
        <v>22924</v>
      </c>
      <c r="D3512">
        <v>5</v>
      </c>
      <c r="F3512" s="126"/>
      <c r="K3512" s="3">
        <f t="shared" si="126"/>
        <v>0</v>
      </c>
      <c r="L3512" s="3"/>
      <c r="M3512" s="3">
        <f t="shared" si="127"/>
        <v>0</v>
      </c>
      <c r="O3512" s="5"/>
      <c r="S3512" s="6"/>
    </row>
    <row r="3513" spans="1:24" customFormat="1" x14ac:dyDescent="0.45">
      <c r="A3513">
        <v>625055</v>
      </c>
      <c r="B3513" t="s">
        <v>22925</v>
      </c>
      <c r="C3513" s="2" t="s">
        <v>22926</v>
      </c>
      <c r="D3513">
        <v>2</v>
      </c>
      <c r="F3513" s="126"/>
      <c r="G3513" s="3">
        <v>0</v>
      </c>
      <c r="H3513" s="3">
        <v>0</v>
      </c>
      <c r="I3513" s="3">
        <v>0</v>
      </c>
      <c r="J3513" s="3">
        <v>0</v>
      </c>
      <c r="K3513" s="3">
        <f t="shared" si="126"/>
        <v>0</v>
      </c>
      <c r="L3513" s="3"/>
      <c r="M3513" s="3">
        <f t="shared" si="127"/>
        <v>0</v>
      </c>
      <c r="O3513" s="5"/>
      <c r="S3513" s="6"/>
    </row>
    <row r="3514" spans="1:24" customFormat="1" x14ac:dyDescent="0.45">
      <c r="A3514">
        <v>625105</v>
      </c>
      <c r="B3514" t="s">
        <v>22927</v>
      </c>
      <c r="C3514" t="s">
        <v>22928</v>
      </c>
      <c r="D3514">
        <v>4</v>
      </c>
      <c r="F3514" s="126"/>
      <c r="G3514" s="7">
        <v>0</v>
      </c>
      <c r="H3514" s="7">
        <v>0</v>
      </c>
      <c r="I3514" s="7">
        <v>0</v>
      </c>
      <c r="J3514" s="7">
        <v>0</v>
      </c>
      <c r="K3514" s="3">
        <f t="shared" si="126"/>
        <v>0</v>
      </c>
      <c r="L3514" s="3"/>
      <c r="M3514" s="3">
        <f t="shared" si="127"/>
        <v>0</v>
      </c>
      <c r="O3514" s="5"/>
      <c r="S3514" s="6"/>
    </row>
    <row r="3515" spans="1:24" customFormat="1" x14ac:dyDescent="0.45">
      <c r="A3515">
        <v>625144</v>
      </c>
      <c r="B3515" t="s">
        <v>22929</v>
      </c>
      <c r="C3515" t="s">
        <v>16331</v>
      </c>
      <c r="D3515">
        <v>1</v>
      </c>
      <c r="E3515" t="s">
        <v>16331</v>
      </c>
      <c r="F3515" s="126"/>
      <c r="G3515" s="7">
        <v>0</v>
      </c>
      <c r="H3515" s="7">
        <v>0</v>
      </c>
      <c r="I3515" s="7">
        <v>0</v>
      </c>
      <c r="J3515" s="7">
        <v>0</v>
      </c>
      <c r="K3515" s="3">
        <f t="shared" si="126"/>
        <v>0</v>
      </c>
      <c r="L3515" s="3"/>
      <c r="M3515" s="3">
        <f t="shared" si="127"/>
        <v>0</v>
      </c>
      <c r="O3515" s="5"/>
      <c r="S3515" s="6"/>
    </row>
    <row r="3516" spans="1:24" customFormat="1" x14ac:dyDescent="0.45">
      <c r="A3516">
        <v>625295</v>
      </c>
      <c r="B3516" t="s">
        <v>22930</v>
      </c>
      <c r="C3516" t="s">
        <v>22931</v>
      </c>
      <c r="D3516">
        <v>4</v>
      </c>
      <c r="F3516" s="126"/>
      <c r="K3516" s="3">
        <f t="shared" si="126"/>
        <v>0</v>
      </c>
      <c r="L3516" s="3"/>
      <c r="M3516" s="3">
        <f t="shared" si="127"/>
        <v>0</v>
      </c>
      <c r="O3516" s="5"/>
      <c r="S3516" s="6"/>
    </row>
    <row r="3517" spans="1:24" customFormat="1" x14ac:dyDescent="0.45">
      <c r="A3517">
        <v>625309</v>
      </c>
      <c r="B3517" t="s">
        <v>22932</v>
      </c>
      <c r="C3517" t="s">
        <v>16331</v>
      </c>
      <c r="D3517">
        <v>1</v>
      </c>
      <c r="E3517" t="s">
        <v>16331</v>
      </c>
      <c r="F3517" s="126"/>
      <c r="G3517" s="7">
        <v>0</v>
      </c>
      <c r="H3517" s="7">
        <v>0</v>
      </c>
      <c r="I3517" s="7">
        <v>0</v>
      </c>
      <c r="J3517" s="7">
        <v>0</v>
      </c>
      <c r="K3517" s="3">
        <f t="shared" si="126"/>
        <v>0</v>
      </c>
      <c r="L3517" s="3"/>
      <c r="M3517" s="3">
        <f t="shared" si="127"/>
        <v>0</v>
      </c>
      <c r="O3517" s="5"/>
      <c r="S3517" s="6"/>
    </row>
    <row r="3518" spans="1:24" customFormat="1" x14ac:dyDescent="0.45">
      <c r="A3518">
        <v>625327</v>
      </c>
      <c r="B3518" t="s">
        <v>22933</v>
      </c>
      <c r="C3518" t="s">
        <v>22934</v>
      </c>
      <c r="D3518">
        <v>3</v>
      </c>
      <c r="F3518" s="126"/>
      <c r="G3518" s="3">
        <v>0</v>
      </c>
      <c r="H3518" s="3">
        <v>0</v>
      </c>
      <c r="I3518" s="3">
        <v>0</v>
      </c>
      <c r="J3518" s="3">
        <v>0</v>
      </c>
      <c r="K3518" s="3">
        <f t="shared" si="126"/>
        <v>0</v>
      </c>
      <c r="L3518" s="3"/>
      <c r="M3518" s="3">
        <f t="shared" si="127"/>
        <v>0</v>
      </c>
      <c r="O3518" s="5"/>
      <c r="S3518" s="6"/>
    </row>
    <row r="3519" spans="1:24" customFormat="1" x14ac:dyDescent="0.45">
      <c r="A3519">
        <v>625333</v>
      </c>
      <c r="B3519" t="s">
        <v>22935</v>
      </c>
      <c r="C3519" t="s">
        <v>16331</v>
      </c>
      <c r="D3519">
        <v>1</v>
      </c>
      <c r="E3519" t="s">
        <v>16331</v>
      </c>
      <c r="F3519" s="126"/>
      <c r="G3519" s="7">
        <v>0</v>
      </c>
      <c r="H3519" s="7">
        <v>0</v>
      </c>
      <c r="I3519" s="7">
        <v>0</v>
      </c>
      <c r="J3519" s="7">
        <v>0</v>
      </c>
      <c r="K3519" s="3">
        <f t="shared" si="126"/>
        <v>0</v>
      </c>
      <c r="L3519" s="3"/>
      <c r="M3519" s="3">
        <f t="shared" si="127"/>
        <v>0</v>
      </c>
      <c r="O3519" s="5"/>
      <c r="S3519" s="6"/>
    </row>
    <row r="3520" spans="1:24" x14ac:dyDescent="0.45">
      <c r="A3520" s="124">
        <v>484988</v>
      </c>
      <c r="B3520" s="124" t="s">
        <v>22936</v>
      </c>
      <c r="C3520" s="125" t="s">
        <v>22937</v>
      </c>
      <c r="D3520" s="124">
        <v>2</v>
      </c>
      <c r="E3520" s="124" t="s">
        <v>16334</v>
      </c>
      <c r="F3520" s="126">
        <v>1.6999999999999999E-3</v>
      </c>
      <c r="G3520" s="126">
        <f>1.4%+0.9%</f>
        <v>2.3E-2</v>
      </c>
      <c r="H3520" s="126">
        <v>7.4999999999999997E-3</v>
      </c>
      <c r="I3520" s="127"/>
      <c r="J3520" s="127"/>
      <c r="K3520" s="126">
        <f t="shared" si="126"/>
        <v>3.0499999999999999E-2</v>
      </c>
      <c r="L3520" s="3"/>
      <c r="M3520" s="126">
        <f t="shared" si="127"/>
        <v>3.2199999999999999E-2</v>
      </c>
      <c r="O3520" s="131" t="s">
        <v>22938</v>
      </c>
      <c r="P3520" s="128" t="s">
        <v>26918</v>
      </c>
      <c r="Q3520" s="130">
        <f>85435+60756</f>
        <v>146191</v>
      </c>
      <c r="R3520" s="124" t="s">
        <v>16348</v>
      </c>
      <c r="S3520" s="132">
        <v>85435</v>
      </c>
      <c r="T3520" s="129">
        <f>S3520/Q3520</f>
        <v>0.58440670082289603</v>
      </c>
      <c r="V3520" s="125" t="s">
        <v>22939</v>
      </c>
    </row>
    <row r="3521" spans="1:19" customFormat="1" x14ac:dyDescent="0.45">
      <c r="A3521">
        <v>625340</v>
      </c>
      <c r="B3521" t="s">
        <v>22940</v>
      </c>
      <c r="C3521" t="s">
        <v>22941</v>
      </c>
      <c r="D3521">
        <v>1</v>
      </c>
      <c r="F3521" s="126"/>
      <c r="G3521" s="3">
        <v>0</v>
      </c>
      <c r="H3521" s="3">
        <v>0</v>
      </c>
      <c r="I3521" s="3">
        <v>0</v>
      </c>
      <c r="J3521" s="3">
        <v>0</v>
      </c>
      <c r="K3521" s="3">
        <f t="shared" si="126"/>
        <v>0</v>
      </c>
      <c r="L3521" s="3"/>
      <c r="M3521" s="3">
        <f t="shared" si="127"/>
        <v>0</v>
      </c>
      <c r="O3521" s="5"/>
      <c r="S3521" s="6"/>
    </row>
    <row r="3522" spans="1:19" customFormat="1" x14ac:dyDescent="0.45">
      <c r="A3522">
        <v>625541</v>
      </c>
      <c r="B3522" t="s">
        <v>22942</v>
      </c>
      <c r="C3522" t="s">
        <v>22943</v>
      </c>
      <c r="D3522">
        <v>3</v>
      </c>
      <c r="F3522" s="126"/>
      <c r="G3522" s="3"/>
      <c r="H3522" s="3"/>
      <c r="I3522" s="3"/>
      <c r="J3522" s="3"/>
      <c r="K3522" s="3">
        <f t="shared" si="126"/>
        <v>0</v>
      </c>
      <c r="L3522" s="3"/>
      <c r="M3522" s="3">
        <f t="shared" si="127"/>
        <v>0</v>
      </c>
      <c r="O3522" s="5"/>
      <c r="S3522" s="6"/>
    </row>
    <row r="3523" spans="1:19" customFormat="1" x14ac:dyDescent="0.45">
      <c r="A3523">
        <v>625913</v>
      </c>
      <c r="B3523" t="s">
        <v>22944</v>
      </c>
      <c r="C3523" t="s">
        <v>22945</v>
      </c>
      <c r="D3523">
        <v>3</v>
      </c>
      <c r="F3523" s="126"/>
      <c r="G3523" s="3">
        <v>0</v>
      </c>
      <c r="H3523" s="3">
        <v>0</v>
      </c>
      <c r="I3523" s="3">
        <v>0</v>
      </c>
      <c r="J3523" s="3">
        <v>0</v>
      </c>
      <c r="K3523" s="3">
        <f t="shared" si="126"/>
        <v>0</v>
      </c>
      <c r="L3523" s="3"/>
      <c r="M3523" s="3">
        <f t="shared" si="127"/>
        <v>0</v>
      </c>
      <c r="O3523" s="5"/>
      <c r="S3523" s="6"/>
    </row>
    <row r="3524" spans="1:19" customFormat="1" x14ac:dyDescent="0.45">
      <c r="A3524">
        <v>625914</v>
      </c>
      <c r="B3524" t="s">
        <v>22946</v>
      </c>
      <c r="C3524" t="s">
        <v>22947</v>
      </c>
      <c r="D3524">
        <v>1</v>
      </c>
      <c r="F3524" s="126"/>
      <c r="G3524" s="7">
        <v>0</v>
      </c>
      <c r="H3524" s="7">
        <v>0</v>
      </c>
      <c r="I3524" s="7">
        <v>0</v>
      </c>
      <c r="J3524" s="7">
        <v>0</v>
      </c>
      <c r="K3524" s="3">
        <f t="shared" si="126"/>
        <v>0</v>
      </c>
      <c r="L3524" s="3"/>
      <c r="M3524" s="3">
        <f t="shared" si="127"/>
        <v>0</v>
      </c>
      <c r="O3524" s="5"/>
      <c r="S3524" s="6"/>
    </row>
    <row r="3525" spans="1:19" customFormat="1" x14ac:dyDescent="0.45">
      <c r="A3525">
        <v>625939</v>
      </c>
      <c r="B3525" t="s">
        <v>22948</v>
      </c>
      <c r="C3525" t="s">
        <v>16331</v>
      </c>
      <c r="D3525">
        <v>1</v>
      </c>
      <c r="E3525" t="s">
        <v>16331</v>
      </c>
      <c r="F3525" s="126"/>
      <c r="G3525" s="7">
        <v>0</v>
      </c>
      <c r="H3525" s="7">
        <v>0</v>
      </c>
      <c r="I3525" s="7">
        <v>0</v>
      </c>
      <c r="J3525" s="7">
        <v>0</v>
      </c>
      <c r="K3525" s="3">
        <f t="shared" si="126"/>
        <v>0</v>
      </c>
      <c r="L3525" s="3"/>
      <c r="M3525" s="3">
        <f t="shared" si="127"/>
        <v>0</v>
      </c>
      <c r="O3525" s="5"/>
      <c r="S3525" s="6"/>
    </row>
    <row r="3526" spans="1:19" customFormat="1" x14ac:dyDescent="0.45">
      <c r="A3526">
        <v>626283</v>
      </c>
      <c r="B3526" t="s">
        <v>22949</v>
      </c>
      <c r="C3526" s="2" t="s">
        <v>22950</v>
      </c>
      <c r="D3526">
        <v>1</v>
      </c>
      <c r="F3526" s="126"/>
      <c r="G3526" s="3">
        <v>0</v>
      </c>
      <c r="H3526" s="3">
        <v>0</v>
      </c>
      <c r="I3526" s="3">
        <v>0</v>
      </c>
      <c r="J3526" s="3">
        <v>0</v>
      </c>
      <c r="K3526" s="3">
        <f t="shared" si="126"/>
        <v>0</v>
      </c>
      <c r="L3526" s="3"/>
      <c r="M3526" s="3">
        <f t="shared" si="127"/>
        <v>0</v>
      </c>
      <c r="O3526" s="5"/>
      <c r="S3526" s="6"/>
    </row>
    <row r="3527" spans="1:19" customFormat="1" x14ac:dyDescent="0.45">
      <c r="A3527">
        <v>626291</v>
      </c>
      <c r="B3527" t="s">
        <v>22951</v>
      </c>
      <c r="C3527" t="s">
        <v>22952</v>
      </c>
      <c r="D3527">
        <v>2</v>
      </c>
      <c r="F3527" s="126"/>
      <c r="G3527" s="7">
        <v>0</v>
      </c>
      <c r="H3527" s="7">
        <v>0</v>
      </c>
      <c r="I3527" s="7">
        <v>0</v>
      </c>
      <c r="J3527" s="7">
        <v>0</v>
      </c>
      <c r="K3527" s="3">
        <f t="shared" si="126"/>
        <v>0</v>
      </c>
      <c r="L3527" s="3"/>
      <c r="M3527" s="3">
        <f t="shared" si="127"/>
        <v>0</v>
      </c>
      <c r="O3527" s="5"/>
      <c r="S3527" s="6"/>
    </row>
    <row r="3528" spans="1:19" customFormat="1" x14ac:dyDescent="0.45">
      <c r="A3528">
        <v>626323</v>
      </c>
      <c r="B3528" t="s">
        <v>22953</v>
      </c>
      <c r="C3528" t="s">
        <v>22954</v>
      </c>
      <c r="D3528">
        <v>2</v>
      </c>
      <c r="F3528" s="126"/>
      <c r="G3528" s="7">
        <v>0</v>
      </c>
      <c r="H3528" s="7">
        <v>0</v>
      </c>
      <c r="I3528" s="7">
        <v>0</v>
      </c>
      <c r="J3528" s="7">
        <v>0</v>
      </c>
      <c r="K3528" s="3">
        <f t="shared" si="126"/>
        <v>0</v>
      </c>
      <c r="L3528" s="3"/>
      <c r="M3528" s="3">
        <f t="shared" si="127"/>
        <v>0</v>
      </c>
      <c r="O3528" s="5"/>
      <c r="S3528" s="6"/>
    </row>
    <row r="3529" spans="1:19" customFormat="1" x14ac:dyDescent="0.45">
      <c r="A3529">
        <v>626355</v>
      </c>
      <c r="B3529" t="s">
        <v>22955</v>
      </c>
      <c r="C3529" t="s">
        <v>22956</v>
      </c>
      <c r="D3529">
        <v>2</v>
      </c>
      <c r="F3529" s="126"/>
      <c r="G3529" s="7">
        <v>0</v>
      </c>
      <c r="H3529" s="7">
        <v>0</v>
      </c>
      <c r="I3529" s="7">
        <v>0</v>
      </c>
      <c r="J3529" s="7">
        <v>0</v>
      </c>
      <c r="K3529" s="3">
        <f t="shared" si="126"/>
        <v>0</v>
      </c>
      <c r="L3529" s="3"/>
      <c r="M3529" s="3">
        <f t="shared" si="127"/>
        <v>0</v>
      </c>
      <c r="N3529" s="7"/>
      <c r="O3529" s="5"/>
      <c r="S3529" s="6"/>
    </row>
    <row r="3530" spans="1:19" customFormat="1" x14ac:dyDescent="0.45">
      <c r="A3530">
        <v>626359</v>
      </c>
      <c r="B3530" t="s">
        <v>22957</v>
      </c>
      <c r="C3530" t="s">
        <v>22958</v>
      </c>
      <c r="D3530">
        <v>5</v>
      </c>
      <c r="F3530" s="126"/>
      <c r="G3530" s="3">
        <v>0</v>
      </c>
      <c r="H3530" s="3">
        <v>0</v>
      </c>
      <c r="I3530" s="3">
        <v>0</v>
      </c>
      <c r="J3530" s="3">
        <v>0</v>
      </c>
      <c r="K3530" s="3">
        <f t="shared" si="126"/>
        <v>0</v>
      </c>
      <c r="L3530" s="3"/>
      <c r="M3530" s="3">
        <f t="shared" si="127"/>
        <v>0</v>
      </c>
      <c r="O3530" s="5"/>
      <c r="S3530" s="6"/>
    </row>
    <row r="3531" spans="1:19" customFormat="1" x14ac:dyDescent="0.45">
      <c r="A3531">
        <v>626360</v>
      </c>
      <c r="B3531" t="s">
        <v>22959</v>
      </c>
      <c r="C3531" t="s">
        <v>16331</v>
      </c>
      <c r="D3531">
        <v>1</v>
      </c>
      <c r="E3531" t="s">
        <v>16331</v>
      </c>
      <c r="F3531" s="126"/>
      <c r="G3531" s="7">
        <v>0</v>
      </c>
      <c r="H3531" s="7">
        <v>0</v>
      </c>
      <c r="I3531" s="7">
        <v>0</v>
      </c>
      <c r="J3531" s="7">
        <v>0</v>
      </c>
      <c r="K3531" s="3">
        <f t="shared" si="126"/>
        <v>0</v>
      </c>
      <c r="L3531" s="3"/>
      <c r="M3531" s="3">
        <f t="shared" si="127"/>
        <v>0</v>
      </c>
      <c r="O3531" s="5"/>
      <c r="S3531" s="6"/>
    </row>
    <row r="3532" spans="1:19" customFormat="1" x14ac:dyDescent="0.45">
      <c r="A3532">
        <v>626431</v>
      </c>
      <c r="B3532" t="s">
        <v>22960</v>
      </c>
      <c r="C3532" t="s">
        <v>22961</v>
      </c>
      <c r="D3532">
        <v>4</v>
      </c>
      <c r="F3532" s="126"/>
      <c r="G3532" s="7">
        <v>0</v>
      </c>
      <c r="H3532" s="7">
        <v>0</v>
      </c>
      <c r="I3532" s="7">
        <v>0</v>
      </c>
      <c r="J3532" s="7">
        <v>0</v>
      </c>
      <c r="K3532" s="3">
        <f t="shared" si="126"/>
        <v>0</v>
      </c>
      <c r="L3532" s="3"/>
      <c r="M3532" s="3">
        <f t="shared" si="127"/>
        <v>0</v>
      </c>
      <c r="N3532" s="7"/>
      <c r="O3532" s="5"/>
      <c r="S3532" s="6"/>
    </row>
    <row r="3533" spans="1:19" customFormat="1" x14ac:dyDescent="0.45">
      <c r="A3533">
        <v>626603</v>
      </c>
      <c r="B3533" t="s">
        <v>22962</v>
      </c>
      <c r="C3533" t="s">
        <v>22963</v>
      </c>
      <c r="D3533">
        <v>1</v>
      </c>
      <c r="F3533" s="126"/>
      <c r="G3533" s="3">
        <v>0</v>
      </c>
      <c r="H3533" s="3">
        <v>0</v>
      </c>
      <c r="I3533" s="3">
        <v>0</v>
      </c>
      <c r="J3533" s="3">
        <v>0</v>
      </c>
      <c r="K3533" s="3">
        <f t="shared" si="126"/>
        <v>0</v>
      </c>
      <c r="L3533" s="3"/>
      <c r="M3533" s="3">
        <f t="shared" si="127"/>
        <v>0</v>
      </c>
      <c r="O3533" s="5"/>
      <c r="S3533" s="6"/>
    </row>
    <row r="3534" spans="1:19" customFormat="1" x14ac:dyDescent="0.45">
      <c r="A3534">
        <v>626661</v>
      </c>
      <c r="B3534" t="s">
        <v>22964</v>
      </c>
      <c r="C3534" t="s">
        <v>22965</v>
      </c>
      <c r="D3534">
        <v>3</v>
      </c>
      <c r="F3534" s="126"/>
      <c r="G3534" s="7">
        <v>0</v>
      </c>
      <c r="H3534" s="7">
        <v>0</v>
      </c>
      <c r="I3534" s="7">
        <v>0</v>
      </c>
      <c r="J3534" s="7">
        <v>0</v>
      </c>
      <c r="K3534" s="3">
        <f t="shared" si="126"/>
        <v>0</v>
      </c>
      <c r="L3534" s="3"/>
      <c r="M3534" s="3">
        <f t="shared" si="127"/>
        <v>0</v>
      </c>
      <c r="O3534" s="5"/>
      <c r="S3534" s="6"/>
    </row>
    <row r="3535" spans="1:19" customFormat="1" x14ac:dyDescent="0.45">
      <c r="A3535">
        <v>626922</v>
      </c>
      <c r="B3535" t="s">
        <v>22966</v>
      </c>
      <c r="C3535" t="s">
        <v>22967</v>
      </c>
      <c r="D3535">
        <v>1</v>
      </c>
      <c r="F3535" s="126"/>
      <c r="G3535" s="3">
        <v>0</v>
      </c>
      <c r="H3535" s="3">
        <v>0</v>
      </c>
      <c r="I3535" s="3">
        <v>0</v>
      </c>
      <c r="J3535" s="3">
        <v>0</v>
      </c>
      <c r="K3535" s="3">
        <f t="shared" si="126"/>
        <v>0</v>
      </c>
      <c r="L3535" s="3"/>
      <c r="M3535" s="3">
        <f t="shared" si="127"/>
        <v>0</v>
      </c>
      <c r="O3535" s="5"/>
      <c r="S3535" s="6"/>
    </row>
    <row r="3536" spans="1:19" customFormat="1" x14ac:dyDescent="0.45">
      <c r="A3536">
        <v>627030</v>
      </c>
      <c r="B3536" t="s">
        <v>22968</v>
      </c>
      <c r="C3536" t="s">
        <v>22969</v>
      </c>
      <c r="D3536">
        <v>4</v>
      </c>
      <c r="F3536" s="126"/>
      <c r="G3536" s="3">
        <v>0</v>
      </c>
      <c r="H3536" s="3">
        <v>0</v>
      </c>
      <c r="I3536" s="3">
        <v>0</v>
      </c>
      <c r="J3536" s="3">
        <v>0</v>
      </c>
      <c r="K3536" s="3">
        <f t="shared" si="126"/>
        <v>0</v>
      </c>
      <c r="L3536" s="3"/>
      <c r="M3536" s="3">
        <f t="shared" si="127"/>
        <v>0</v>
      </c>
      <c r="O3536" s="5"/>
      <c r="S3536" s="6"/>
    </row>
    <row r="3537" spans="1:19" customFormat="1" x14ac:dyDescent="0.45">
      <c r="A3537">
        <v>627056</v>
      </c>
      <c r="B3537" t="s">
        <v>22970</v>
      </c>
      <c r="C3537" t="s">
        <v>22971</v>
      </c>
      <c r="D3537">
        <v>1</v>
      </c>
      <c r="F3537" s="126"/>
      <c r="G3537" s="3">
        <v>0</v>
      </c>
      <c r="H3537" s="3">
        <v>0</v>
      </c>
      <c r="I3537" s="3">
        <v>0</v>
      </c>
      <c r="J3537" s="3">
        <v>0</v>
      </c>
      <c r="K3537" s="3">
        <f t="shared" si="126"/>
        <v>0</v>
      </c>
      <c r="L3537" s="3"/>
      <c r="M3537" s="3">
        <f t="shared" si="127"/>
        <v>0</v>
      </c>
      <c r="O3537" s="5"/>
      <c r="S3537" s="6"/>
    </row>
    <row r="3538" spans="1:19" customFormat="1" x14ac:dyDescent="0.45">
      <c r="A3538">
        <v>627353</v>
      </c>
      <c r="B3538" t="s">
        <v>22972</v>
      </c>
      <c r="C3538" t="s">
        <v>16331</v>
      </c>
      <c r="D3538">
        <v>2</v>
      </c>
      <c r="E3538" t="s">
        <v>16331</v>
      </c>
      <c r="F3538" s="126"/>
      <c r="K3538" s="3">
        <f t="shared" si="126"/>
        <v>0</v>
      </c>
      <c r="L3538" s="3"/>
      <c r="M3538" s="3">
        <f t="shared" si="127"/>
        <v>0</v>
      </c>
      <c r="O3538" s="5"/>
      <c r="S3538" s="6"/>
    </row>
    <row r="3539" spans="1:19" customFormat="1" x14ac:dyDescent="0.45">
      <c r="A3539">
        <v>627414</v>
      </c>
      <c r="B3539" t="s">
        <v>22973</v>
      </c>
      <c r="C3539" t="s">
        <v>22974</v>
      </c>
      <c r="D3539">
        <v>1</v>
      </c>
      <c r="F3539" s="126"/>
      <c r="G3539" s="3"/>
      <c r="H3539" s="3"/>
      <c r="I3539" s="3"/>
      <c r="J3539" s="3"/>
      <c r="K3539" s="3">
        <f t="shared" si="126"/>
        <v>0</v>
      </c>
      <c r="L3539" s="3"/>
      <c r="M3539" s="3">
        <f t="shared" si="127"/>
        <v>0</v>
      </c>
      <c r="O3539" s="5"/>
      <c r="S3539" s="6"/>
    </row>
    <row r="3540" spans="1:19" customFormat="1" x14ac:dyDescent="0.45">
      <c r="A3540">
        <v>627428</v>
      </c>
      <c r="B3540" t="s">
        <v>22975</v>
      </c>
      <c r="C3540" t="s">
        <v>22976</v>
      </c>
      <c r="D3540">
        <v>1</v>
      </c>
      <c r="F3540" s="126"/>
      <c r="G3540" s="3">
        <v>0</v>
      </c>
      <c r="H3540" s="3">
        <v>0</v>
      </c>
      <c r="I3540" s="3">
        <v>0</v>
      </c>
      <c r="J3540" s="3">
        <v>0</v>
      </c>
      <c r="K3540" s="3">
        <f t="shared" si="126"/>
        <v>0</v>
      </c>
      <c r="L3540" s="3"/>
      <c r="M3540" s="3">
        <f t="shared" si="127"/>
        <v>0</v>
      </c>
      <c r="O3540" s="5"/>
      <c r="S3540" s="6"/>
    </row>
    <row r="3541" spans="1:19" customFormat="1" x14ac:dyDescent="0.45">
      <c r="A3541">
        <v>627465</v>
      </c>
      <c r="B3541" t="s">
        <v>22977</v>
      </c>
      <c r="C3541" t="s">
        <v>22978</v>
      </c>
      <c r="D3541">
        <v>1</v>
      </c>
      <c r="F3541" s="126"/>
      <c r="G3541" s="7">
        <v>0</v>
      </c>
      <c r="H3541" s="7">
        <v>0</v>
      </c>
      <c r="I3541" s="7">
        <v>0</v>
      </c>
      <c r="J3541" s="7">
        <v>0</v>
      </c>
      <c r="K3541" s="3">
        <f t="shared" si="126"/>
        <v>0</v>
      </c>
      <c r="L3541" s="3"/>
      <c r="M3541" s="3">
        <f t="shared" si="127"/>
        <v>0</v>
      </c>
      <c r="O3541" s="5"/>
      <c r="S3541" s="6"/>
    </row>
    <row r="3542" spans="1:19" customFormat="1" x14ac:dyDescent="0.45">
      <c r="A3542">
        <v>627635</v>
      </c>
      <c r="B3542" t="s">
        <v>22979</v>
      </c>
      <c r="C3542" t="s">
        <v>22980</v>
      </c>
      <c r="D3542">
        <v>5</v>
      </c>
      <c r="F3542" s="126"/>
      <c r="G3542" s="3">
        <v>0</v>
      </c>
      <c r="H3542" s="3">
        <v>0</v>
      </c>
      <c r="I3542" s="3">
        <v>0</v>
      </c>
      <c r="J3542" s="3">
        <v>0</v>
      </c>
      <c r="K3542" s="3">
        <f t="shared" si="126"/>
        <v>0</v>
      </c>
      <c r="L3542" s="3"/>
      <c r="M3542" s="3">
        <f t="shared" si="127"/>
        <v>0</v>
      </c>
      <c r="O3542" s="5"/>
      <c r="S3542" s="6"/>
    </row>
    <row r="3543" spans="1:19" customFormat="1" x14ac:dyDescent="0.45">
      <c r="A3543">
        <v>627636</v>
      </c>
      <c r="B3543" t="s">
        <v>22981</v>
      </c>
      <c r="C3543" t="s">
        <v>22982</v>
      </c>
      <c r="D3543">
        <v>5</v>
      </c>
      <c r="F3543" s="126"/>
      <c r="G3543" s="7">
        <v>0</v>
      </c>
      <c r="H3543" s="7">
        <v>0</v>
      </c>
      <c r="I3543" s="7">
        <v>0</v>
      </c>
      <c r="J3543" s="7">
        <v>0</v>
      </c>
      <c r="K3543" s="3">
        <f t="shared" si="126"/>
        <v>0</v>
      </c>
      <c r="L3543" s="3"/>
      <c r="M3543" s="3">
        <f t="shared" si="127"/>
        <v>0</v>
      </c>
      <c r="O3543" s="5"/>
      <c r="S3543" s="6"/>
    </row>
    <row r="3544" spans="1:19" customFormat="1" x14ac:dyDescent="0.45">
      <c r="A3544">
        <v>627644</v>
      </c>
      <c r="B3544" t="s">
        <v>22983</v>
      </c>
      <c r="C3544" t="s">
        <v>16331</v>
      </c>
      <c r="D3544">
        <v>0</v>
      </c>
      <c r="E3544" t="s">
        <v>16331</v>
      </c>
      <c r="F3544" s="126"/>
      <c r="G3544" s="7">
        <v>0</v>
      </c>
      <c r="H3544" s="7">
        <v>0</v>
      </c>
      <c r="I3544" s="7">
        <v>0</v>
      </c>
      <c r="J3544" s="7">
        <v>0</v>
      </c>
      <c r="K3544" s="3">
        <f t="shared" si="126"/>
        <v>0</v>
      </c>
      <c r="L3544" s="3"/>
      <c r="M3544" s="3">
        <f t="shared" si="127"/>
        <v>0</v>
      </c>
      <c r="O3544" s="5"/>
      <c r="S3544" s="6"/>
    </row>
    <row r="3545" spans="1:19" customFormat="1" x14ac:dyDescent="0.45">
      <c r="A3545">
        <v>627664</v>
      </c>
      <c r="B3545" t="s">
        <v>22984</v>
      </c>
      <c r="C3545" t="s">
        <v>16331</v>
      </c>
      <c r="D3545">
        <v>5</v>
      </c>
      <c r="E3545" t="s">
        <v>16331</v>
      </c>
      <c r="F3545" s="126"/>
      <c r="G3545" s="7">
        <v>0</v>
      </c>
      <c r="H3545" s="7">
        <v>0</v>
      </c>
      <c r="I3545" s="7">
        <v>0</v>
      </c>
      <c r="J3545" s="7">
        <v>0</v>
      </c>
      <c r="K3545" s="3">
        <f t="shared" si="126"/>
        <v>0</v>
      </c>
      <c r="L3545" s="3"/>
      <c r="M3545" s="3">
        <f t="shared" si="127"/>
        <v>0</v>
      </c>
      <c r="O3545" s="5"/>
      <c r="S3545" s="6"/>
    </row>
    <row r="3546" spans="1:19" customFormat="1" x14ac:dyDescent="0.45">
      <c r="A3546">
        <v>627671</v>
      </c>
      <c r="B3546" t="s">
        <v>22985</v>
      </c>
      <c r="C3546" t="s">
        <v>16410</v>
      </c>
      <c r="D3546">
        <v>0</v>
      </c>
      <c r="E3546" t="s">
        <v>16561</v>
      </c>
      <c r="F3546" s="126"/>
      <c r="G3546" s="7">
        <v>0</v>
      </c>
      <c r="H3546" s="7">
        <v>0</v>
      </c>
      <c r="I3546" s="7">
        <v>0</v>
      </c>
      <c r="J3546" s="7">
        <v>0</v>
      </c>
      <c r="K3546" s="3">
        <f t="shared" si="126"/>
        <v>0</v>
      </c>
      <c r="L3546" s="3"/>
      <c r="M3546" s="3">
        <f t="shared" si="127"/>
        <v>0</v>
      </c>
      <c r="N3546" s="7"/>
      <c r="O3546" s="5"/>
      <c r="S3546" s="6"/>
    </row>
    <row r="3547" spans="1:19" customFormat="1" x14ac:dyDescent="0.45">
      <c r="A3547">
        <v>627697</v>
      </c>
      <c r="B3547" t="s">
        <v>22986</v>
      </c>
      <c r="C3547" t="s">
        <v>22987</v>
      </c>
      <c r="D3547">
        <v>0</v>
      </c>
      <c r="E3547" t="s">
        <v>16561</v>
      </c>
      <c r="F3547" s="126"/>
      <c r="G3547" s="7">
        <v>0</v>
      </c>
      <c r="H3547" s="7">
        <v>0</v>
      </c>
      <c r="I3547" s="7">
        <v>0</v>
      </c>
      <c r="J3547" s="7">
        <v>0</v>
      </c>
      <c r="K3547" s="3">
        <f t="shared" si="126"/>
        <v>0</v>
      </c>
      <c r="L3547" s="3"/>
      <c r="M3547" s="3">
        <f t="shared" si="127"/>
        <v>0</v>
      </c>
      <c r="N3547" s="7"/>
      <c r="O3547" s="5"/>
      <c r="S3547" s="6"/>
    </row>
    <row r="3548" spans="1:19" customFormat="1" x14ac:dyDescent="0.45">
      <c r="A3548">
        <v>627725</v>
      </c>
      <c r="B3548" t="s">
        <v>22988</v>
      </c>
      <c r="C3548" t="s">
        <v>22989</v>
      </c>
      <c r="D3548">
        <v>2</v>
      </c>
      <c r="F3548" s="126"/>
      <c r="G3548" s="3">
        <v>0</v>
      </c>
      <c r="H3548" s="3">
        <v>0</v>
      </c>
      <c r="I3548" s="3">
        <v>0</v>
      </c>
      <c r="J3548" s="3">
        <v>0</v>
      </c>
      <c r="K3548" s="3">
        <f t="shared" si="126"/>
        <v>0</v>
      </c>
      <c r="L3548" s="3"/>
      <c r="M3548" s="3">
        <f t="shared" si="127"/>
        <v>0</v>
      </c>
      <c r="O3548" s="5"/>
      <c r="S3548" s="6"/>
    </row>
    <row r="3549" spans="1:19" customFormat="1" x14ac:dyDescent="0.45">
      <c r="A3549">
        <v>627747</v>
      </c>
      <c r="B3549" t="s">
        <v>22990</v>
      </c>
      <c r="C3549" t="s">
        <v>22991</v>
      </c>
      <c r="D3549">
        <v>1</v>
      </c>
      <c r="F3549" s="126"/>
      <c r="G3549" s="3">
        <v>0</v>
      </c>
      <c r="H3549" s="3">
        <v>0</v>
      </c>
      <c r="I3549" s="3">
        <v>0</v>
      </c>
      <c r="J3549" s="3">
        <v>0</v>
      </c>
      <c r="K3549" s="3">
        <f t="shared" si="126"/>
        <v>0</v>
      </c>
      <c r="L3549" s="3"/>
      <c r="M3549" s="3">
        <f t="shared" si="127"/>
        <v>0</v>
      </c>
      <c r="O3549" s="5"/>
      <c r="S3549" s="6"/>
    </row>
    <row r="3550" spans="1:19" customFormat="1" x14ac:dyDescent="0.45">
      <c r="A3550">
        <v>627757</v>
      </c>
      <c r="B3550" t="s">
        <v>22992</v>
      </c>
      <c r="C3550" t="s">
        <v>16331</v>
      </c>
      <c r="D3550">
        <v>4</v>
      </c>
      <c r="E3550" t="s">
        <v>16331</v>
      </c>
      <c r="F3550" s="126"/>
      <c r="G3550" s="7">
        <v>0</v>
      </c>
      <c r="H3550" s="7">
        <v>0</v>
      </c>
      <c r="I3550" s="7">
        <v>0</v>
      </c>
      <c r="J3550" s="7">
        <v>0</v>
      </c>
      <c r="K3550" s="3">
        <f t="shared" si="126"/>
        <v>0</v>
      </c>
      <c r="L3550" s="3"/>
      <c r="M3550" s="3">
        <f t="shared" si="127"/>
        <v>0</v>
      </c>
      <c r="O3550" s="5"/>
      <c r="S3550" s="6"/>
    </row>
    <row r="3551" spans="1:19" customFormat="1" x14ac:dyDescent="0.45">
      <c r="A3551">
        <v>627831</v>
      </c>
      <c r="B3551" t="s">
        <v>22993</v>
      </c>
      <c r="C3551" t="s">
        <v>22994</v>
      </c>
      <c r="D3551">
        <v>1</v>
      </c>
      <c r="F3551" s="126"/>
      <c r="G3551" s="3">
        <v>0</v>
      </c>
      <c r="H3551" s="3">
        <v>0</v>
      </c>
      <c r="I3551" s="3">
        <v>0</v>
      </c>
      <c r="J3551" s="3">
        <v>0</v>
      </c>
      <c r="K3551" s="3">
        <f t="shared" si="126"/>
        <v>0</v>
      </c>
      <c r="L3551" s="3"/>
      <c r="M3551" s="3">
        <f t="shared" si="127"/>
        <v>0</v>
      </c>
      <c r="O3551" s="5"/>
      <c r="S3551" s="6"/>
    </row>
    <row r="3552" spans="1:19" customFormat="1" x14ac:dyDescent="0.45">
      <c r="A3552">
        <v>627917</v>
      </c>
      <c r="B3552" t="s">
        <v>22995</v>
      </c>
      <c r="C3552" t="s">
        <v>16331</v>
      </c>
      <c r="D3552">
        <v>6</v>
      </c>
      <c r="E3552" t="s">
        <v>16331</v>
      </c>
      <c r="F3552" s="126"/>
      <c r="G3552" s="7">
        <v>0</v>
      </c>
      <c r="H3552" s="7">
        <v>0</v>
      </c>
      <c r="I3552" s="7">
        <v>0</v>
      </c>
      <c r="J3552" s="7">
        <v>0</v>
      </c>
      <c r="K3552" s="3">
        <f t="shared" si="126"/>
        <v>0</v>
      </c>
      <c r="L3552" s="3"/>
      <c r="M3552" s="3">
        <f t="shared" si="127"/>
        <v>0</v>
      </c>
      <c r="O3552" s="5"/>
      <c r="S3552" s="6"/>
    </row>
    <row r="3553" spans="1:19" customFormat="1" x14ac:dyDescent="0.45">
      <c r="A3553">
        <v>627920</v>
      </c>
      <c r="B3553" t="s">
        <v>22996</v>
      </c>
      <c r="C3553" t="s">
        <v>16331</v>
      </c>
      <c r="D3553">
        <v>1</v>
      </c>
      <c r="E3553" t="s">
        <v>16331</v>
      </c>
      <c r="F3553" s="126"/>
      <c r="K3553" s="3">
        <f t="shared" si="126"/>
        <v>0</v>
      </c>
      <c r="L3553" s="3"/>
      <c r="M3553" s="3">
        <f t="shared" si="127"/>
        <v>0</v>
      </c>
      <c r="O3553" s="5"/>
      <c r="S3553" s="6"/>
    </row>
    <row r="3554" spans="1:19" customFormat="1" x14ac:dyDescent="0.45">
      <c r="A3554">
        <v>627944</v>
      </c>
      <c r="B3554" t="s">
        <v>22997</v>
      </c>
      <c r="C3554" t="s">
        <v>22998</v>
      </c>
      <c r="D3554">
        <v>2</v>
      </c>
      <c r="F3554" s="126"/>
      <c r="G3554" s="3">
        <v>0</v>
      </c>
      <c r="H3554" s="3">
        <v>0</v>
      </c>
      <c r="I3554" s="3">
        <v>0</v>
      </c>
      <c r="J3554" s="3">
        <v>0</v>
      </c>
      <c r="K3554" s="3">
        <f t="shared" ref="K3554:K3617" si="128">SUM(G3554:J3554)</f>
        <v>0</v>
      </c>
      <c r="L3554" s="3"/>
      <c r="M3554" s="3">
        <f t="shared" ref="M3554:M3617" si="129">K3554+F3554</f>
        <v>0</v>
      </c>
      <c r="O3554" s="5"/>
      <c r="S3554" s="6"/>
    </row>
    <row r="3555" spans="1:19" customFormat="1" x14ac:dyDescent="0.45">
      <c r="A3555">
        <v>627954</v>
      </c>
      <c r="B3555" t="s">
        <v>22999</v>
      </c>
      <c r="C3555" t="s">
        <v>16331</v>
      </c>
      <c r="D3555">
        <v>2</v>
      </c>
      <c r="E3555" t="s">
        <v>16331</v>
      </c>
      <c r="F3555" s="126"/>
      <c r="G3555" s="7">
        <v>0</v>
      </c>
      <c r="H3555" s="7">
        <v>0</v>
      </c>
      <c r="I3555" s="7">
        <v>0</v>
      </c>
      <c r="J3555" s="7">
        <v>0</v>
      </c>
      <c r="K3555" s="3">
        <f t="shared" si="128"/>
        <v>0</v>
      </c>
      <c r="L3555" s="3"/>
      <c r="M3555" s="3">
        <f t="shared" si="129"/>
        <v>0</v>
      </c>
      <c r="O3555" s="5"/>
      <c r="S3555" s="6"/>
    </row>
    <row r="3556" spans="1:19" customFormat="1" x14ac:dyDescent="0.45">
      <c r="A3556">
        <v>627955</v>
      </c>
      <c r="B3556" t="s">
        <v>23000</v>
      </c>
      <c r="C3556" t="s">
        <v>23001</v>
      </c>
      <c r="D3556">
        <v>3</v>
      </c>
      <c r="F3556" s="126"/>
      <c r="G3556" s="3">
        <v>0</v>
      </c>
      <c r="H3556" s="3">
        <v>0</v>
      </c>
      <c r="I3556" s="3">
        <v>0</v>
      </c>
      <c r="J3556" s="3">
        <v>0</v>
      </c>
      <c r="K3556" s="3">
        <f t="shared" si="128"/>
        <v>0</v>
      </c>
      <c r="L3556" s="3"/>
      <c r="M3556" s="3">
        <f t="shared" si="129"/>
        <v>0</v>
      </c>
      <c r="O3556" s="5"/>
      <c r="S3556" s="6"/>
    </row>
    <row r="3557" spans="1:19" customFormat="1" x14ac:dyDescent="0.45">
      <c r="A3557">
        <v>627974</v>
      </c>
      <c r="B3557" t="s">
        <v>23002</v>
      </c>
      <c r="C3557" t="s">
        <v>23003</v>
      </c>
      <c r="D3557">
        <v>1</v>
      </c>
      <c r="F3557" s="126"/>
      <c r="G3557" s="3">
        <v>0</v>
      </c>
      <c r="H3557" s="3">
        <v>0</v>
      </c>
      <c r="I3557" s="3">
        <v>0</v>
      </c>
      <c r="J3557" s="3">
        <v>0</v>
      </c>
      <c r="K3557" s="3">
        <f t="shared" si="128"/>
        <v>0</v>
      </c>
      <c r="L3557" s="3"/>
      <c r="M3557" s="3">
        <f t="shared" si="129"/>
        <v>0</v>
      </c>
      <c r="O3557" s="5"/>
      <c r="S3557" s="6"/>
    </row>
    <row r="3558" spans="1:19" customFormat="1" x14ac:dyDescent="0.45">
      <c r="A3558">
        <v>627978</v>
      </c>
      <c r="B3558" t="s">
        <v>23004</v>
      </c>
      <c r="C3558" t="s">
        <v>23005</v>
      </c>
      <c r="D3558">
        <v>1</v>
      </c>
      <c r="F3558" s="126"/>
      <c r="G3558" s="7">
        <v>0</v>
      </c>
      <c r="H3558" s="7">
        <v>0</v>
      </c>
      <c r="I3558" s="7">
        <v>0</v>
      </c>
      <c r="J3558" s="7">
        <v>0</v>
      </c>
      <c r="K3558" s="3">
        <f t="shared" si="128"/>
        <v>0</v>
      </c>
      <c r="L3558" s="3"/>
      <c r="M3558" s="3">
        <f t="shared" si="129"/>
        <v>0</v>
      </c>
      <c r="O3558" s="5"/>
      <c r="S3558" s="6"/>
    </row>
    <row r="3559" spans="1:19" customFormat="1" x14ac:dyDescent="0.45">
      <c r="A3559">
        <v>628230</v>
      </c>
      <c r="B3559" t="s">
        <v>23006</v>
      </c>
      <c r="C3559" t="s">
        <v>23007</v>
      </c>
      <c r="D3559">
        <v>5</v>
      </c>
      <c r="F3559" s="126"/>
      <c r="G3559" s="3">
        <v>0</v>
      </c>
      <c r="H3559" s="3">
        <v>0</v>
      </c>
      <c r="I3559" s="3">
        <v>0</v>
      </c>
      <c r="J3559" s="3">
        <v>0</v>
      </c>
      <c r="K3559" s="3">
        <f t="shared" si="128"/>
        <v>0</v>
      </c>
      <c r="L3559" s="3"/>
      <c r="M3559" s="3">
        <f t="shared" si="129"/>
        <v>0</v>
      </c>
      <c r="O3559" s="5"/>
      <c r="S3559" s="6"/>
    </row>
    <row r="3560" spans="1:19" customFormat="1" x14ac:dyDescent="0.45">
      <c r="A3560">
        <v>628264</v>
      </c>
      <c r="B3560" t="s">
        <v>23008</v>
      </c>
      <c r="C3560" t="s">
        <v>16331</v>
      </c>
      <c r="D3560">
        <v>1</v>
      </c>
      <c r="E3560" t="s">
        <v>16331</v>
      </c>
      <c r="F3560" s="126"/>
      <c r="K3560" s="3">
        <f t="shared" si="128"/>
        <v>0</v>
      </c>
      <c r="L3560" s="3"/>
      <c r="M3560" s="3">
        <f t="shared" si="129"/>
        <v>0</v>
      </c>
      <c r="O3560" s="5"/>
      <c r="S3560" s="6"/>
    </row>
    <row r="3561" spans="1:19" customFormat="1" x14ac:dyDescent="0.45">
      <c r="A3561">
        <v>628296</v>
      </c>
      <c r="B3561" t="s">
        <v>23009</v>
      </c>
      <c r="C3561" t="s">
        <v>16331</v>
      </c>
      <c r="D3561">
        <v>1</v>
      </c>
      <c r="E3561" t="s">
        <v>16331</v>
      </c>
      <c r="F3561" s="126"/>
      <c r="G3561" s="7">
        <v>0</v>
      </c>
      <c r="H3561" s="7">
        <v>0</v>
      </c>
      <c r="I3561" s="7">
        <v>0</v>
      </c>
      <c r="J3561" s="7">
        <v>0</v>
      </c>
      <c r="K3561" s="3">
        <f t="shared" si="128"/>
        <v>0</v>
      </c>
      <c r="L3561" s="3"/>
      <c r="M3561" s="3">
        <f t="shared" si="129"/>
        <v>0</v>
      </c>
      <c r="O3561" s="5"/>
      <c r="S3561" s="6"/>
    </row>
    <row r="3562" spans="1:19" customFormat="1" x14ac:dyDescent="0.45">
      <c r="A3562">
        <v>628547</v>
      </c>
      <c r="B3562" t="s">
        <v>23010</v>
      </c>
      <c r="C3562" t="s">
        <v>23011</v>
      </c>
      <c r="D3562">
        <v>1</v>
      </c>
      <c r="F3562" s="126"/>
      <c r="G3562" s="7">
        <v>0</v>
      </c>
      <c r="H3562" s="7">
        <v>0</v>
      </c>
      <c r="I3562" s="7">
        <v>0</v>
      </c>
      <c r="J3562" s="7">
        <v>0</v>
      </c>
      <c r="K3562" s="3">
        <f t="shared" si="128"/>
        <v>0</v>
      </c>
      <c r="L3562" s="3"/>
      <c r="M3562" s="3">
        <f t="shared" si="129"/>
        <v>0</v>
      </c>
      <c r="N3562" s="7"/>
      <c r="O3562" s="5"/>
      <c r="S3562" s="6"/>
    </row>
    <row r="3563" spans="1:19" customFormat="1" x14ac:dyDescent="0.45">
      <c r="A3563">
        <v>628553</v>
      </c>
      <c r="B3563" t="s">
        <v>23012</v>
      </c>
      <c r="C3563" t="s">
        <v>23013</v>
      </c>
      <c r="D3563">
        <v>2</v>
      </c>
      <c r="F3563" s="126"/>
      <c r="G3563" s="7">
        <v>0</v>
      </c>
      <c r="H3563" s="7">
        <v>0</v>
      </c>
      <c r="I3563" s="7">
        <v>0</v>
      </c>
      <c r="J3563" s="7">
        <v>0</v>
      </c>
      <c r="K3563" s="3">
        <f t="shared" si="128"/>
        <v>0</v>
      </c>
      <c r="L3563" s="3"/>
      <c r="M3563" s="3">
        <f t="shared" si="129"/>
        <v>0</v>
      </c>
      <c r="N3563" s="7"/>
      <c r="O3563" s="5"/>
      <c r="S3563" s="6"/>
    </row>
    <row r="3564" spans="1:19" customFormat="1" x14ac:dyDescent="0.45">
      <c r="A3564">
        <v>628562</v>
      </c>
      <c r="B3564" t="s">
        <v>23014</v>
      </c>
      <c r="C3564" t="s">
        <v>16331</v>
      </c>
      <c r="D3564">
        <v>1</v>
      </c>
      <c r="E3564" t="s">
        <v>16331</v>
      </c>
      <c r="F3564" s="126"/>
      <c r="K3564" s="3">
        <f t="shared" si="128"/>
        <v>0</v>
      </c>
      <c r="L3564" s="3"/>
      <c r="M3564" s="3">
        <f t="shared" si="129"/>
        <v>0</v>
      </c>
      <c r="O3564" s="5"/>
      <c r="S3564" s="6"/>
    </row>
    <row r="3565" spans="1:19" customFormat="1" x14ac:dyDescent="0.45">
      <c r="A3565">
        <v>628609</v>
      </c>
      <c r="B3565" t="s">
        <v>23015</v>
      </c>
      <c r="C3565" t="s">
        <v>16331</v>
      </c>
      <c r="D3565">
        <v>1</v>
      </c>
      <c r="E3565" t="s">
        <v>16331</v>
      </c>
      <c r="F3565" s="126"/>
      <c r="G3565" s="7">
        <v>0</v>
      </c>
      <c r="H3565" s="7">
        <v>0</v>
      </c>
      <c r="I3565" s="7">
        <v>0</v>
      </c>
      <c r="J3565" s="7">
        <v>0</v>
      </c>
      <c r="K3565" s="3">
        <f t="shared" si="128"/>
        <v>0</v>
      </c>
      <c r="L3565" s="3"/>
      <c r="M3565" s="3">
        <f t="shared" si="129"/>
        <v>0</v>
      </c>
      <c r="O3565" s="5"/>
      <c r="S3565" s="6"/>
    </row>
    <row r="3566" spans="1:19" customFormat="1" x14ac:dyDescent="0.45">
      <c r="A3566">
        <v>628835</v>
      </c>
      <c r="B3566" t="s">
        <v>23016</v>
      </c>
      <c r="C3566" t="s">
        <v>23017</v>
      </c>
      <c r="D3566">
        <v>1</v>
      </c>
      <c r="F3566" s="126"/>
      <c r="G3566" s="3"/>
      <c r="H3566" s="3"/>
      <c r="I3566" s="3"/>
      <c r="J3566" s="3"/>
      <c r="K3566" s="3">
        <f t="shared" si="128"/>
        <v>0</v>
      </c>
      <c r="L3566" s="3"/>
      <c r="M3566" s="3">
        <f t="shared" si="129"/>
        <v>0</v>
      </c>
      <c r="O3566" s="5"/>
      <c r="S3566" s="6"/>
    </row>
    <row r="3567" spans="1:19" customFormat="1" x14ac:dyDescent="0.45">
      <c r="A3567">
        <v>628846</v>
      </c>
      <c r="B3567" t="s">
        <v>23018</v>
      </c>
      <c r="C3567" t="s">
        <v>23019</v>
      </c>
      <c r="D3567">
        <v>1</v>
      </c>
      <c r="F3567" s="126"/>
      <c r="G3567" s="3">
        <v>0</v>
      </c>
      <c r="H3567" s="3">
        <v>0</v>
      </c>
      <c r="I3567" s="3">
        <v>0</v>
      </c>
      <c r="J3567" s="3">
        <v>0</v>
      </c>
      <c r="K3567" s="3">
        <f t="shared" si="128"/>
        <v>0</v>
      </c>
      <c r="L3567" s="3"/>
      <c r="M3567" s="3">
        <f t="shared" si="129"/>
        <v>0</v>
      </c>
      <c r="O3567" s="5"/>
      <c r="S3567" s="6"/>
    </row>
    <row r="3568" spans="1:19" customFormat="1" x14ac:dyDescent="0.45">
      <c r="A3568">
        <v>628867</v>
      </c>
      <c r="B3568" t="s">
        <v>23020</v>
      </c>
      <c r="C3568" t="s">
        <v>23021</v>
      </c>
      <c r="D3568">
        <v>2</v>
      </c>
      <c r="F3568" s="126"/>
      <c r="G3568" s="7">
        <v>0</v>
      </c>
      <c r="H3568" s="7">
        <v>0</v>
      </c>
      <c r="I3568" s="7">
        <v>0</v>
      </c>
      <c r="J3568" s="7">
        <v>0</v>
      </c>
      <c r="K3568" s="3">
        <f t="shared" si="128"/>
        <v>0</v>
      </c>
      <c r="L3568" s="3"/>
      <c r="M3568" s="3">
        <f t="shared" si="129"/>
        <v>0</v>
      </c>
      <c r="N3568" s="7"/>
      <c r="O3568" s="5"/>
      <c r="S3568" s="6"/>
    </row>
    <row r="3569" spans="1:24" customFormat="1" x14ac:dyDescent="0.45">
      <c r="A3569">
        <v>628872</v>
      </c>
      <c r="B3569" t="s">
        <v>23022</v>
      </c>
      <c r="C3569" t="s">
        <v>23023</v>
      </c>
      <c r="D3569">
        <v>3</v>
      </c>
      <c r="F3569" s="126"/>
      <c r="G3569" s="3">
        <v>0</v>
      </c>
      <c r="H3569" s="3">
        <v>0</v>
      </c>
      <c r="I3569" s="3">
        <v>0</v>
      </c>
      <c r="J3569" s="3">
        <v>0</v>
      </c>
      <c r="K3569" s="3">
        <f t="shared" si="128"/>
        <v>0</v>
      </c>
      <c r="L3569" s="3"/>
      <c r="M3569" s="3">
        <f t="shared" si="129"/>
        <v>0</v>
      </c>
      <c r="O3569" s="5"/>
      <c r="S3569" s="6"/>
    </row>
    <row r="3570" spans="1:24" customFormat="1" x14ac:dyDescent="0.45">
      <c r="A3570">
        <v>628902</v>
      </c>
      <c r="B3570" t="s">
        <v>23024</v>
      </c>
      <c r="C3570" t="s">
        <v>23025</v>
      </c>
      <c r="D3570">
        <v>2</v>
      </c>
      <c r="F3570" s="126"/>
      <c r="G3570" s="3">
        <v>0</v>
      </c>
      <c r="H3570" s="3">
        <v>0</v>
      </c>
      <c r="I3570" s="3">
        <v>0</v>
      </c>
      <c r="J3570" s="3">
        <v>0</v>
      </c>
      <c r="K3570" s="3">
        <f t="shared" si="128"/>
        <v>0</v>
      </c>
      <c r="L3570" s="3"/>
      <c r="M3570" s="3">
        <f t="shared" si="129"/>
        <v>0</v>
      </c>
      <c r="O3570" s="5"/>
      <c r="S3570" s="6"/>
    </row>
    <row r="3571" spans="1:24" customFormat="1" x14ac:dyDescent="0.45">
      <c r="A3571">
        <v>628911</v>
      </c>
      <c r="B3571" t="s">
        <v>23026</v>
      </c>
      <c r="C3571" t="s">
        <v>16331</v>
      </c>
      <c r="D3571">
        <v>1</v>
      </c>
      <c r="E3571" t="s">
        <v>16331</v>
      </c>
      <c r="F3571" s="126"/>
      <c r="G3571" s="7">
        <v>0</v>
      </c>
      <c r="H3571" s="7">
        <v>0</v>
      </c>
      <c r="I3571" s="7">
        <v>0</v>
      </c>
      <c r="J3571" s="7">
        <v>0</v>
      </c>
      <c r="K3571" s="3">
        <f t="shared" si="128"/>
        <v>0</v>
      </c>
      <c r="L3571" s="3"/>
      <c r="M3571" s="3">
        <f t="shared" si="129"/>
        <v>0</v>
      </c>
      <c r="O3571" s="5"/>
      <c r="S3571" s="6"/>
    </row>
    <row r="3572" spans="1:24" customFormat="1" x14ac:dyDescent="0.45">
      <c r="A3572">
        <v>628929</v>
      </c>
      <c r="B3572" t="s">
        <v>23027</v>
      </c>
      <c r="C3572" t="s">
        <v>16331</v>
      </c>
      <c r="D3572">
        <v>1</v>
      </c>
      <c r="E3572" t="s">
        <v>16331</v>
      </c>
      <c r="F3572" s="126"/>
      <c r="G3572" s="7">
        <v>0</v>
      </c>
      <c r="H3572" s="7">
        <v>0</v>
      </c>
      <c r="I3572" s="7">
        <v>0</v>
      </c>
      <c r="J3572" s="7">
        <v>0</v>
      </c>
      <c r="K3572" s="3">
        <f t="shared" si="128"/>
        <v>0</v>
      </c>
      <c r="L3572" s="3"/>
      <c r="M3572" s="3">
        <f t="shared" si="129"/>
        <v>0</v>
      </c>
      <c r="O3572" s="5"/>
      <c r="S3572" s="6"/>
    </row>
    <row r="3573" spans="1:24" customFormat="1" x14ac:dyDescent="0.45">
      <c r="A3573">
        <v>628979</v>
      </c>
      <c r="B3573" t="s">
        <v>23028</v>
      </c>
      <c r="C3573" t="s">
        <v>23029</v>
      </c>
      <c r="D3573">
        <v>1</v>
      </c>
      <c r="F3573" s="126"/>
      <c r="G3573" s="3">
        <v>0</v>
      </c>
      <c r="H3573" s="3">
        <v>0</v>
      </c>
      <c r="I3573" s="3">
        <v>0</v>
      </c>
      <c r="J3573" s="3">
        <v>0</v>
      </c>
      <c r="K3573" s="3">
        <f t="shared" si="128"/>
        <v>0</v>
      </c>
      <c r="L3573" s="3"/>
      <c r="M3573" s="3">
        <f t="shared" si="129"/>
        <v>0</v>
      </c>
      <c r="O3573" s="5"/>
      <c r="S3573" s="6"/>
    </row>
    <row r="3574" spans="1:24" customFormat="1" x14ac:dyDescent="0.45">
      <c r="A3574">
        <v>628982</v>
      </c>
      <c r="B3574" t="s">
        <v>23030</v>
      </c>
      <c r="C3574" t="s">
        <v>18196</v>
      </c>
      <c r="D3574">
        <v>1</v>
      </c>
      <c r="F3574" s="126"/>
      <c r="G3574" s="3"/>
      <c r="H3574" s="3"/>
      <c r="I3574" s="3"/>
      <c r="J3574" s="3"/>
      <c r="K3574" s="3">
        <f t="shared" si="128"/>
        <v>0</v>
      </c>
      <c r="L3574" s="3"/>
      <c r="M3574" s="3">
        <f t="shared" si="129"/>
        <v>0</v>
      </c>
      <c r="O3574" s="5"/>
      <c r="S3574" s="6"/>
      <c r="T3574" s="10"/>
    </row>
    <row r="3575" spans="1:24" customFormat="1" x14ac:dyDescent="0.45">
      <c r="A3575">
        <v>629098</v>
      </c>
      <c r="B3575" t="s">
        <v>23031</v>
      </c>
      <c r="C3575" t="s">
        <v>23032</v>
      </c>
      <c r="D3575">
        <v>0</v>
      </c>
      <c r="E3575" t="s">
        <v>16334</v>
      </c>
      <c r="F3575" s="126"/>
      <c r="G3575" s="3"/>
      <c r="H3575" s="3"/>
      <c r="I3575" s="3"/>
      <c r="J3575" s="3"/>
      <c r="K3575" s="3">
        <f t="shared" si="128"/>
        <v>0</v>
      </c>
      <c r="L3575" s="3"/>
      <c r="M3575" s="3">
        <f t="shared" si="129"/>
        <v>0</v>
      </c>
      <c r="O3575" s="5"/>
      <c r="S3575" s="6"/>
    </row>
    <row r="3576" spans="1:24" customFormat="1" x14ac:dyDescent="0.45">
      <c r="A3576">
        <v>629100</v>
      </c>
      <c r="B3576" t="s">
        <v>23033</v>
      </c>
      <c r="C3576" t="s">
        <v>23034</v>
      </c>
      <c r="D3576">
        <v>0</v>
      </c>
      <c r="E3576" t="s">
        <v>16334</v>
      </c>
      <c r="F3576" s="126"/>
      <c r="G3576" s="3"/>
      <c r="H3576" s="3"/>
      <c r="I3576" s="3"/>
      <c r="J3576" s="3"/>
      <c r="K3576" s="3">
        <f t="shared" si="128"/>
        <v>0</v>
      </c>
      <c r="L3576" s="3"/>
      <c r="M3576" s="3">
        <f t="shared" si="129"/>
        <v>0</v>
      </c>
      <c r="O3576" s="5"/>
      <c r="S3576" s="6"/>
    </row>
    <row r="3577" spans="1:24" customFormat="1" x14ac:dyDescent="0.45">
      <c r="A3577">
        <v>629324</v>
      </c>
      <c r="B3577" t="s">
        <v>23035</v>
      </c>
      <c r="C3577" t="s">
        <v>16331</v>
      </c>
      <c r="D3577">
        <v>2</v>
      </c>
      <c r="E3577" t="s">
        <v>16331</v>
      </c>
      <c r="F3577" s="126"/>
      <c r="G3577" s="7">
        <v>0</v>
      </c>
      <c r="H3577" s="7">
        <v>0</v>
      </c>
      <c r="I3577" s="7">
        <v>0</v>
      </c>
      <c r="J3577" s="7">
        <v>0</v>
      </c>
      <c r="K3577" s="3">
        <f t="shared" si="128"/>
        <v>0</v>
      </c>
      <c r="L3577" s="3"/>
      <c r="M3577" s="3">
        <f t="shared" si="129"/>
        <v>0</v>
      </c>
      <c r="O3577" s="5"/>
      <c r="S3577" s="6"/>
    </row>
    <row r="3578" spans="1:24" x14ac:dyDescent="0.45">
      <c r="A3578" s="124">
        <v>576165</v>
      </c>
      <c r="B3578" s="124" t="s">
        <v>23036</v>
      </c>
      <c r="C3578" s="124" t="s">
        <v>23037</v>
      </c>
      <c r="D3578" s="124">
        <v>10</v>
      </c>
      <c r="E3578" s="124" t="s">
        <v>16334</v>
      </c>
      <c r="F3578" s="126">
        <v>1.6999999999999999E-3</v>
      </c>
      <c r="G3578" s="126">
        <v>0</v>
      </c>
      <c r="H3578" s="126">
        <v>0</v>
      </c>
      <c r="I3578" s="127">
        <f>3%</f>
        <v>0.03</v>
      </c>
      <c r="J3578" s="127">
        <v>0.01</v>
      </c>
      <c r="K3578" s="126">
        <f t="shared" si="128"/>
        <v>0.04</v>
      </c>
      <c r="L3578" s="3"/>
      <c r="M3578" s="126">
        <f t="shared" si="129"/>
        <v>4.1700000000000001E-2</v>
      </c>
      <c r="N3578" s="124" t="s">
        <v>23038</v>
      </c>
      <c r="O3578" s="131" t="s">
        <v>23039</v>
      </c>
      <c r="P3578" s="128" t="s">
        <v>26918</v>
      </c>
      <c r="Q3578" s="130">
        <f>158976+112005</f>
        <v>270981</v>
      </c>
      <c r="R3578" s="124" t="s">
        <v>16348</v>
      </c>
      <c r="S3578" s="132">
        <v>158976</v>
      </c>
      <c r="T3578" s="129">
        <f>S3578/Q3578</f>
        <v>0.58666843800856883</v>
      </c>
      <c r="V3578" s="125" t="s">
        <v>23040</v>
      </c>
    </row>
    <row r="3579" spans="1:24" customFormat="1" x14ac:dyDescent="0.45">
      <c r="A3579">
        <v>629436</v>
      </c>
      <c r="B3579" t="s">
        <v>23041</v>
      </c>
      <c r="C3579" t="s">
        <v>16331</v>
      </c>
      <c r="D3579">
        <v>1</v>
      </c>
      <c r="E3579" t="s">
        <v>16331</v>
      </c>
      <c r="F3579" s="126"/>
      <c r="G3579" s="7">
        <v>0</v>
      </c>
      <c r="H3579" s="7">
        <v>0</v>
      </c>
      <c r="I3579" s="7">
        <v>0</v>
      </c>
      <c r="J3579" s="7">
        <v>0</v>
      </c>
      <c r="K3579" s="3">
        <f t="shared" si="128"/>
        <v>0</v>
      </c>
      <c r="L3579" s="3"/>
      <c r="M3579" s="3">
        <f t="shared" si="129"/>
        <v>0</v>
      </c>
      <c r="O3579" s="5"/>
      <c r="S3579" s="6"/>
    </row>
    <row r="3580" spans="1:24" customFormat="1" x14ac:dyDescent="0.45">
      <c r="A3580">
        <v>629454</v>
      </c>
      <c r="B3580" t="s">
        <v>23042</v>
      </c>
      <c r="C3580" t="s">
        <v>23043</v>
      </c>
      <c r="D3580">
        <v>4</v>
      </c>
      <c r="F3580" s="126"/>
      <c r="G3580" s="3"/>
      <c r="H3580" s="3"/>
      <c r="I3580" s="3"/>
      <c r="J3580" s="3"/>
      <c r="K3580" s="3">
        <f t="shared" si="128"/>
        <v>0</v>
      </c>
      <c r="L3580" s="3"/>
      <c r="M3580" s="3">
        <f t="shared" si="129"/>
        <v>0</v>
      </c>
      <c r="O3580" s="5"/>
      <c r="S3580" s="6"/>
    </row>
    <row r="3581" spans="1:24" customFormat="1" x14ac:dyDescent="0.45">
      <c r="A3581">
        <v>629519</v>
      </c>
      <c r="B3581" t="s">
        <v>23044</v>
      </c>
      <c r="C3581" t="s">
        <v>23045</v>
      </c>
      <c r="D3581">
        <v>2</v>
      </c>
      <c r="F3581" s="126"/>
      <c r="G3581" s="3">
        <v>0</v>
      </c>
      <c r="H3581" s="3">
        <v>0</v>
      </c>
      <c r="I3581" s="3">
        <v>0</v>
      </c>
      <c r="J3581" s="3">
        <v>0</v>
      </c>
      <c r="K3581" s="3">
        <f t="shared" si="128"/>
        <v>0</v>
      </c>
      <c r="L3581" s="3"/>
      <c r="M3581" s="3">
        <f t="shared" si="129"/>
        <v>0</v>
      </c>
      <c r="O3581" s="5"/>
      <c r="S3581" s="6"/>
    </row>
    <row r="3582" spans="1:24" x14ac:dyDescent="0.45">
      <c r="A3582" s="124">
        <v>150571</v>
      </c>
      <c r="B3582" s="124" t="s">
        <v>23046</v>
      </c>
      <c r="C3582" s="125" t="s">
        <v>23047</v>
      </c>
      <c r="D3582" s="124">
        <v>2</v>
      </c>
      <c r="E3582" s="124" t="s">
        <v>16334</v>
      </c>
      <c r="F3582" s="126">
        <v>1.6999999999999999E-3</v>
      </c>
      <c r="G3582" s="135">
        <v>0</v>
      </c>
      <c r="H3582" s="135">
        <v>0</v>
      </c>
      <c r="I3582" s="127">
        <v>2.5000000000000001E-2</v>
      </c>
      <c r="J3582" s="127">
        <v>5.0000000000000001E-3</v>
      </c>
      <c r="K3582" s="126">
        <f t="shared" si="128"/>
        <v>3.0000000000000002E-2</v>
      </c>
      <c r="L3582" s="3"/>
      <c r="M3582" s="126">
        <f t="shared" si="129"/>
        <v>3.1699999999999999E-2</v>
      </c>
      <c r="N3582" s="147"/>
      <c r="O3582" s="125" t="s">
        <v>23048</v>
      </c>
      <c r="P3582" s="128" t="s">
        <v>26918</v>
      </c>
      <c r="Q3582" s="130">
        <f>57131+145798</f>
        <v>202929</v>
      </c>
      <c r="R3582" s="124" t="s">
        <v>16348</v>
      </c>
      <c r="S3582" s="130">
        <v>18471</v>
      </c>
      <c r="T3582" s="129">
        <f>S3582/Q3582</f>
        <v>9.1021983058113917E-2</v>
      </c>
      <c r="V3582" s="125" t="s">
        <v>23049</v>
      </c>
    </row>
    <row r="3583" spans="1:24" x14ac:dyDescent="0.45">
      <c r="A3583" s="124">
        <v>706988</v>
      </c>
      <c r="B3583" s="124" t="s">
        <v>23050</v>
      </c>
      <c r="C3583" s="125" t="s">
        <v>23051</v>
      </c>
      <c r="D3583" s="124">
        <v>9</v>
      </c>
      <c r="E3583" s="124" t="s">
        <v>16417</v>
      </c>
      <c r="F3583" s="126">
        <f>(0.1%+0.45%)/2</f>
        <v>2.7500000000000003E-3</v>
      </c>
      <c r="G3583" s="126">
        <v>1.0999999999999999E-2</v>
      </c>
      <c r="H3583" s="126"/>
      <c r="I3583" s="127">
        <v>0</v>
      </c>
      <c r="J3583" s="127"/>
      <c r="K3583" s="126">
        <f t="shared" si="128"/>
        <v>1.0999999999999999E-2</v>
      </c>
      <c r="L3583" s="3"/>
      <c r="M3583" s="126">
        <f t="shared" si="129"/>
        <v>1.375E-2</v>
      </c>
      <c r="N3583" s="124" t="s">
        <v>23052</v>
      </c>
      <c r="O3583" s="125" t="s">
        <v>23053</v>
      </c>
      <c r="Q3583" s="130">
        <f>6943921+846039</f>
        <v>7789960</v>
      </c>
      <c r="R3583" s="130" t="s">
        <v>16348</v>
      </c>
      <c r="S3583" s="130">
        <v>6943921</v>
      </c>
      <c r="T3583" s="129">
        <f>S3583/Q3583</f>
        <v>0.89139366569276346</v>
      </c>
      <c r="V3583" s="125" t="s">
        <v>23054</v>
      </c>
      <c r="X3583" s="124" t="s">
        <v>23055</v>
      </c>
    </row>
    <row r="3584" spans="1:24" customFormat="1" x14ac:dyDescent="0.45">
      <c r="A3584">
        <v>629578</v>
      </c>
      <c r="B3584" t="s">
        <v>23056</v>
      </c>
      <c r="C3584" t="s">
        <v>23057</v>
      </c>
      <c r="D3584">
        <v>1</v>
      </c>
      <c r="F3584" s="126"/>
      <c r="G3584" s="3">
        <v>0</v>
      </c>
      <c r="H3584" s="3">
        <v>0</v>
      </c>
      <c r="I3584" s="3">
        <v>0</v>
      </c>
      <c r="J3584" s="3">
        <v>0</v>
      </c>
      <c r="K3584" s="3">
        <f t="shared" si="128"/>
        <v>0</v>
      </c>
      <c r="L3584" s="3"/>
      <c r="M3584" s="3">
        <f t="shared" si="129"/>
        <v>0</v>
      </c>
      <c r="O3584" s="5"/>
      <c r="S3584" s="6"/>
    </row>
    <row r="3585" spans="1:24" customFormat="1" x14ac:dyDescent="0.45">
      <c r="A3585">
        <v>629592</v>
      </c>
      <c r="B3585" t="s">
        <v>23058</v>
      </c>
      <c r="C3585" t="s">
        <v>23059</v>
      </c>
      <c r="D3585">
        <v>4</v>
      </c>
      <c r="F3585" s="126"/>
      <c r="G3585" s="3">
        <v>0</v>
      </c>
      <c r="H3585" s="3">
        <v>0</v>
      </c>
      <c r="I3585" s="3">
        <v>0</v>
      </c>
      <c r="J3585" s="3">
        <v>0</v>
      </c>
      <c r="K3585" s="3">
        <f t="shared" si="128"/>
        <v>0</v>
      </c>
      <c r="L3585" s="3"/>
      <c r="M3585" s="3">
        <f t="shared" si="129"/>
        <v>0</v>
      </c>
      <c r="O3585" s="5"/>
      <c r="S3585" s="6"/>
    </row>
    <row r="3586" spans="1:24" customFormat="1" x14ac:dyDescent="0.45">
      <c r="A3586">
        <v>629624</v>
      </c>
      <c r="B3586" t="s">
        <v>23060</v>
      </c>
      <c r="C3586" t="s">
        <v>23061</v>
      </c>
      <c r="D3586">
        <v>3</v>
      </c>
      <c r="F3586" s="126"/>
      <c r="G3586" s="3">
        <v>0</v>
      </c>
      <c r="H3586" s="3">
        <v>0</v>
      </c>
      <c r="I3586" s="3">
        <v>0</v>
      </c>
      <c r="J3586" s="3">
        <v>0</v>
      </c>
      <c r="K3586" s="3">
        <f t="shared" si="128"/>
        <v>0</v>
      </c>
      <c r="L3586" s="3"/>
      <c r="M3586" s="3">
        <f t="shared" si="129"/>
        <v>0</v>
      </c>
      <c r="O3586" s="5"/>
      <c r="S3586" s="6"/>
    </row>
    <row r="3587" spans="1:24" x14ac:dyDescent="0.45">
      <c r="A3587" s="124">
        <v>778951</v>
      </c>
      <c r="B3587" s="124" t="s">
        <v>23062</v>
      </c>
      <c r="C3587" s="124" t="s">
        <v>23063</v>
      </c>
      <c r="D3587" s="124">
        <v>11</v>
      </c>
      <c r="E3587" s="124" t="s">
        <v>16334</v>
      </c>
      <c r="F3587" s="126">
        <v>1.6999999999999999E-3</v>
      </c>
      <c r="G3587" s="126"/>
      <c r="H3587" s="126">
        <v>9.4999999999999998E-3</v>
      </c>
      <c r="I3587" s="127"/>
      <c r="J3587" s="127"/>
      <c r="K3587" s="126">
        <f t="shared" si="128"/>
        <v>9.4999999999999998E-3</v>
      </c>
      <c r="L3587" s="3"/>
      <c r="M3587" s="126">
        <f t="shared" si="129"/>
        <v>1.12E-2</v>
      </c>
      <c r="N3587" s="124" t="s">
        <v>23064</v>
      </c>
      <c r="O3587" s="125" t="s">
        <v>23065</v>
      </c>
      <c r="P3587" s="128" t="s">
        <v>26918</v>
      </c>
      <c r="Q3587" s="130">
        <f>1536285+566489</f>
        <v>2102774</v>
      </c>
      <c r="R3587" s="124" t="s">
        <v>16348</v>
      </c>
      <c r="S3587" s="130">
        <v>1536285</v>
      </c>
      <c r="T3587" s="129">
        <f>S3587/Q3587</f>
        <v>0.73059919896289383</v>
      </c>
      <c r="V3587" s="125" t="s">
        <v>23066</v>
      </c>
      <c r="X3587" s="124" t="s">
        <v>23067</v>
      </c>
    </row>
    <row r="3588" spans="1:24" customFormat="1" x14ac:dyDescent="0.45">
      <c r="A3588">
        <v>629639</v>
      </c>
      <c r="B3588" t="s">
        <v>23068</v>
      </c>
      <c r="C3588" s="2" t="s">
        <v>23069</v>
      </c>
      <c r="D3588">
        <v>3</v>
      </c>
      <c r="F3588" s="126"/>
      <c r="G3588" s="3">
        <v>0</v>
      </c>
      <c r="H3588" s="3">
        <v>0</v>
      </c>
      <c r="I3588" s="3">
        <v>0</v>
      </c>
      <c r="J3588" s="3">
        <v>0</v>
      </c>
      <c r="K3588" s="3">
        <f t="shared" si="128"/>
        <v>0</v>
      </c>
      <c r="L3588" s="3"/>
      <c r="M3588" s="3">
        <f t="shared" si="129"/>
        <v>0</v>
      </c>
      <c r="O3588" s="5"/>
      <c r="S3588" s="6"/>
    </row>
    <row r="3589" spans="1:24" customFormat="1" x14ac:dyDescent="0.45">
      <c r="A3589">
        <v>629678</v>
      </c>
      <c r="B3589" t="s">
        <v>23070</v>
      </c>
      <c r="C3589" t="s">
        <v>16331</v>
      </c>
      <c r="D3589">
        <v>1</v>
      </c>
      <c r="E3589" t="s">
        <v>16331</v>
      </c>
      <c r="F3589" s="126"/>
      <c r="K3589" s="3">
        <f t="shared" si="128"/>
        <v>0</v>
      </c>
      <c r="L3589" s="3"/>
      <c r="M3589" s="3">
        <f t="shared" si="129"/>
        <v>0</v>
      </c>
      <c r="O3589" s="5"/>
      <c r="S3589" s="6"/>
    </row>
    <row r="3590" spans="1:24" customFormat="1" x14ac:dyDescent="0.45">
      <c r="A3590">
        <v>629716</v>
      </c>
      <c r="B3590" t="s">
        <v>23071</v>
      </c>
      <c r="C3590" t="s">
        <v>16331</v>
      </c>
      <c r="D3590">
        <v>1</v>
      </c>
      <c r="E3590" t="s">
        <v>16331</v>
      </c>
      <c r="F3590" s="126"/>
      <c r="G3590" s="7">
        <v>0</v>
      </c>
      <c r="H3590" s="7">
        <v>0</v>
      </c>
      <c r="I3590" s="7">
        <v>0</v>
      </c>
      <c r="J3590" s="7">
        <v>0</v>
      </c>
      <c r="K3590" s="3">
        <f t="shared" si="128"/>
        <v>0</v>
      </c>
      <c r="L3590" s="3"/>
      <c r="M3590" s="3">
        <f t="shared" si="129"/>
        <v>0</v>
      </c>
      <c r="O3590" s="5"/>
      <c r="S3590" s="6"/>
    </row>
    <row r="3591" spans="1:24" customFormat="1" x14ac:dyDescent="0.45">
      <c r="A3591">
        <v>629749</v>
      </c>
      <c r="B3591" t="s">
        <v>23072</v>
      </c>
      <c r="C3591" t="s">
        <v>23073</v>
      </c>
      <c r="D3591">
        <v>48</v>
      </c>
      <c r="F3591" s="126"/>
      <c r="G3591" s="3">
        <v>0</v>
      </c>
      <c r="H3591" s="3">
        <v>0</v>
      </c>
      <c r="I3591" s="3">
        <v>0</v>
      </c>
      <c r="J3591" s="3">
        <v>0</v>
      </c>
      <c r="K3591" s="3">
        <f t="shared" si="128"/>
        <v>0</v>
      </c>
      <c r="L3591" s="3"/>
      <c r="M3591" s="3">
        <f t="shared" si="129"/>
        <v>0</v>
      </c>
      <c r="O3591" s="5"/>
      <c r="S3591" s="6"/>
    </row>
    <row r="3592" spans="1:24" customFormat="1" x14ac:dyDescent="0.45">
      <c r="A3592">
        <v>629938</v>
      </c>
      <c r="B3592" t="s">
        <v>23074</v>
      </c>
      <c r="C3592" t="s">
        <v>23075</v>
      </c>
      <c r="D3592">
        <v>2</v>
      </c>
      <c r="F3592" s="126"/>
      <c r="G3592" s="7">
        <v>0</v>
      </c>
      <c r="H3592" s="7">
        <v>0</v>
      </c>
      <c r="I3592" s="7">
        <v>0</v>
      </c>
      <c r="J3592" s="7">
        <v>0</v>
      </c>
      <c r="K3592" s="3">
        <f t="shared" si="128"/>
        <v>0</v>
      </c>
      <c r="L3592" s="3"/>
      <c r="M3592" s="3">
        <f t="shared" si="129"/>
        <v>0</v>
      </c>
      <c r="O3592" s="5"/>
      <c r="S3592" s="6"/>
    </row>
    <row r="3593" spans="1:24" customFormat="1" x14ac:dyDescent="0.45">
      <c r="A3593">
        <v>629940</v>
      </c>
      <c r="B3593" t="s">
        <v>23076</v>
      </c>
      <c r="C3593" t="s">
        <v>23077</v>
      </c>
      <c r="D3593">
        <v>3</v>
      </c>
      <c r="F3593" s="126"/>
      <c r="G3593" s="7">
        <v>0</v>
      </c>
      <c r="H3593" s="7">
        <v>0</v>
      </c>
      <c r="I3593" s="7">
        <v>0</v>
      </c>
      <c r="J3593" s="7">
        <v>0</v>
      </c>
      <c r="K3593" s="3">
        <f t="shared" si="128"/>
        <v>0</v>
      </c>
      <c r="L3593" s="3"/>
      <c r="M3593" s="3">
        <f t="shared" si="129"/>
        <v>0</v>
      </c>
      <c r="O3593" s="5"/>
      <c r="S3593" s="6"/>
    </row>
    <row r="3594" spans="1:24" customFormat="1" x14ac:dyDescent="0.45">
      <c r="A3594">
        <v>629965</v>
      </c>
      <c r="B3594" t="s">
        <v>23078</v>
      </c>
      <c r="C3594" t="s">
        <v>23079</v>
      </c>
      <c r="D3594">
        <v>1</v>
      </c>
      <c r="F3594" s="126"/>
      <c r="G3594" s="3">
        <v>0</v>
      </c>
      <c r="H3594" s="3">
        <v>0</v>
      </c>
      <c r="I3594" s="3">
        <v>0</v>
      </c>
      <c r="J3594" s="3">
        <v>0</v>
      </c>
      <c r="K3594" s="3">
        <f t="shared" si="128"/>
        <v>0</v>
      </c>
      <c r="L3594" s="3"/>
      <c r="M3594" s="3">
        <f t="shared" si="129"/>
        <v>0</v>
      </c>
      <c r="O3594" s="5"/>
      <c r="S3594" s="6"/>
    </row>
    <row r="3595" spans="1:24" customFormat="1" x14ac:dyDescent="0.45">
      <c r="A3595">
        <v>629971</v>
      </c>
      <c r="B3595" t="s">
        <v>23080</v>
      </c>
      <c r="C3595" t="s">
        <v>23081</v>
      </c>
      <c r="D3595">
        <v>4</v>
      </c>
      <c r="F3595" s="126"/>
      <c r="G3595" s="3">
        <v>0</v>
      </c>
      <c r="H3595" s="3">
        <v>0</v>
      </c>
      <c r="I3595" s="3">
        <v>0</v>
      </c>
      <c r="J3595" s="3">
        <v>0</v>
      </c>
      <c r="K3595" s="3">
        <f t="shared" si="128"/>
        <v>0</v>
      </c>
      <c r="L3595" s="3"/>
      <c r="M3595" s="3">
        <f t="shared" si="129"/>
        <v>0</v>
      </c>
      <c r="O3595" s="5"/>
      <c r="S3595" s="6"/>
    </row>
    <row r="3596" spans="1:24" customFormat="1" x14ac:dyDescent="0.45">
      <c r="A3596">
        <v>629975</v>
      </c>
      <c r="B3596" t="s">
        <v>23082</v>
      </c>
      <c r="C3596" t="s">
        <v>23083</v>
      </c>
      <c r="D3596">
        <v>2</v>
      </c>
      <c r="F3596" s="126"/>
      <c r="G3596" s="3">
        <v>0</v>
      </c>
      <c r="H3596" s="3">
        <v>0</v>
      </c>
      <c r="I3596" s="3">
        <v>0</v>
      </c>
      <c r="J3596" s="3">
        <v>0</v>
      </c>
      <c r="K3596" s="3">
        <f t="shared" si="128"/>
        <v>0</v>
      </c>
      <c r="L3596" s="3"/>
      <c r="M3596" s="3">
        <f t="shared" si="129"/>
        <v>0</v>
      </c>
      <c r="O3596" s="5"/>
      <c r="S3596" s="6"/>
    </row>
    <row r="3597" spans="1:24" customFormat="1" x14ac:dyDescent="0.45">
      <c r="A3597">
        <v>629977</v>
      </c>
      <c r="B3597" t="s">
        <v>23084</v>
      </c>
      <c r="C3597" t="s">
        <v>23085</v>
      </c>
      <c r="D3597">
        <v>1</v>
      </c>
      <c r="F3597" s="126"/>
      <c r="G3597" s="7">
        <v>0</v>
      </c>
      <c r="H3597" s="7">
        <v>0</v>
      </c>
      <c r="I3597" s="7">
        <v>0</v>
      </c>
      <c r="J3597" s="7">
        <v>0</v>
      </c>
      <c r="K3597" s="3">
        <f t="shared" si="128"/>
        <v>0</v>
      </c>
      <c r="L3597" s="3"/>
      <c r="M3597" s="3">
        <f t="shared" si="129"/>
        <v>0</v>
      </c>
      <c r="N3597" s="7"/>
      <c r="O3597" s="5"/>
      <c r="S3597" s="6"/>
    </row>
    <row r="3598" spans="1:24" customFormat="1" x14ac:dyDescent="0.45">
      <c r="A3598">
        <v>630120</v>
      </c>
      <c r="B3598" t="s">
        <v>23086</v>
      </c>
      <c r="C3598" t="s">
        <v>23087</v>
      </c>
      <c r="D3598">
        <v>1</v>
      </c>
      <c r="F3598" s="126"/>
      <c r="G3598" s="7">
        <v>0</v>
      </c>
      <c r="H3598" s="7">
        <v>0</v>
      </c>
      <c r="I3598" s="7">
        <v>0</v>
      </c>
      <c r="J3598" s="7">
        <v>0</v>
      </c>
      <c r="K3598" s="3">
        <f t="shared" si="128"/>
        <v>0</v>
      </c>
      <c r="L3598" s="3"/>
      <c r="M3598" s="3">
        <f t="shared" si="129"/>
        <v>0</v>
      </c>
      <c r="O3598" s="5"/>
      <c r="S3598" s="6"/>
    </row>
    <row r="3599" spans="1:24" customFormat="1" x14ac:dyDescent="0.45">
      <c r="A3599">
        <v>630155</v>
      </c>
      <c r="B3599" t="s">
        <v>23088</v>
      </c>
      <c r="C3599" t="s">
        <v>23089</v>
      </c>
      <c r="D3599">
        <v>1</v>
      </c>
      <c r="F3599" s="126"/>
      <c r="G3599" s="3">
        <v>0</v>
      </c>
      <c r="H3599" s="3">
        <v>0</v>
      </c>
      <c r="I3599" s="3">
        <v>0</v>
      </c>
      <c r="J3599" s="3">
        <v>0</v>
      </c>
      <c r="K3599" s="3">
        <f t="shared" si="128"/>
        <v>0</v>
      </c>
      <c r="L3599" s="3"/>
      <c r="M3599" s="3">
        <f t="shared" si="129"/>
        <v>0</v>
      </c>
      <c r="O3599" s="5"/>
      <c r="S3599" s="6"/>
    </row>
    <row r="3600" spans="1:24" customFormat="1" x14ac:dyDescent="0.45">
      <c r="A3600">
        <v>630275</v>
      </c>
      <c r="B3600" t="s">
        <v>23090</v>
      </c>
      <c r="C3600" t="s">
        <v>23091</v>
      </c>
      <c r="D3600">
        <v>2</v>
      </c>
      <c r="F3600" s="126"/>
      <c r="G3600" s="7">
        <v>0</v>
      </c>
      <c r="H3600" s="7">
        <v>0</v>
      </c>
      <c r="I3600" s="7">
        <v>0</v>
      </c>
      <c r="J3600" s="7">
        <v>0</v>
      </c>
      <c r="K3600" s="3">
        <f t="shared" si="128"/>
        <v>0</v>
      </c>
      <c r="L3600" s="3"/>
      <c r="M3600" s="3">
        <f t="shared" si="129"/>
        <v>0</v>
      </c>
      <c r="O3600" s="5"/>
      <c r="S3600" s="6"/>
    </row>
    <row r="3601" spans="1:19" customFormat="1" x14ac:dyDescent="0.45">
      <c r="A3601">
        <v>630282</v>
      </c>
      <c r="B3601" t="s">
        <v>23092</v>
      </c>
      <c r="C3601" t="s">
        <v>23093</v>
      </c>
      <c r="D3601">
        <v>1</v>
      </c>
      <c r="F3601" s="126"/>
      <c r="G3601" s="3">
        <v>0</v>
      </c>
      <c r="H3601" s="3">
        <v>0</v>
      </c>
      <c r="I3601" s="3">
        <v>0</v>
      </c>
      <c r="J3601" s="3">
        <v>0</v>
      </c>
      <c r="K3601" s="3">
        <f t="shared" si="128"/>
        <v>0</v>
      </c>
      <c r="L3601" s="3"/>
      <c r="M3601" s="3">
        <f t="shared" si="129"/>
        <v>0</v>
      </c>
      <c r="O3601" s="5"/>
      <c r="S3601" s="6"/>
    </row>
    <row r="3602" spans="1:19" customFormat="1" x14ac:dyDescent="0.45">
      <c r="A3602">
        <v>630333</v>
      </c>
      <c r="B3602" t="s">
        <v>23094</v>
      </c>
      <c r="C3602" t="s">
        <v>23095</v>
      </c>
      <c r="D3602">
        <v>6</v>
      </c>
      <c r="F3602" s="126"/>
      <c r="G3602" s="3">
        <v>0</v>
      </c>
      <c r="H3602" s="3">
        <v>0</v>
      </c>
      <c r="I3602" s="3">
        <v>0</v>
      </c>
      <c r="J3602" s="3">
        <v>0</v>
      </c>
      <c r="K3602" s="3">
        <f t="shared" si="128"/>
        <v>0</v>
      </c>
      <c r="L3602" s="3"/>
      <c r="M3602" s="3">
        <f t="shared" si="129"/>
        <v>0</v>
      </c>
      <c r="O3602" s="5"/>
      <c r="S3602" s="6"/>
    </row>
    <row r="3603" spans="1:19" customFormat="1" x14ac:dyDescent="0.45">
      <c r="A3603">
        <v>630436</v>
      </c>
      <c r="B3603" t="s">
        <v>23096</v>
      </c>
      <c r="C3603" t="s">
        <v>16331</v>
      </c>
      <c r="D3603">
        <v>2</v>
      </c>
      <c r="E3603" t="s">
        <v>16331</v>
      </c>
      <c r="F3603" s="126"/>
      <c r="K3603" s="3">
        <f t="shared" si="128"/>
        <v>0</v>
      </c>
      <c r="L3603" s="3"/>
      <c r="M3603" s="3">
        <f t="shared" si="129"/>
        <v>0</v>
      </c>
      <c r="O3603" s="5"/>
      <c r="S3603" s="6"/>
    </row>
    <row r="3604" spans="1:19" customFormat="1" x14ac:dyDescent="0.45">
      <c r="A3604">
        <v>630530</v>
      </c>
      <c r="B3604" t="s">
        <v>23097</v>
      </c>
      <c r="C3604" t="s">
        <v>16331</v>
      </c>
      <c r="D3604">
        <v>5</v>
      </c>
      <c r="E3604" t="s">
        <v>16331</v>
      </c>
      <c r="F3604" s="126"/>
      <c r="G3604" s="7">
        <v>0</v>
      </c>
      <c r="H3604" s="7">
        <v>0</v>
      </c>
      <c r="I3604" s="7">
        <v>0</v>
      </c>
      <c r="J3604" s="7">
        <v>0</v>
      </c>
      <c r="K3604" s="3">
        <f t="shared" si="128"/>
        <v>0</v>
      </c>
      <c r="L3604" s="3"/>
      <c r="M3604" s="3">
        <f t="shared" si="129"/>
        <v>0</v>
      </c>
      <c r="O3604" s="5"/>
      <c r="S3604" s="6"/>
    </row>
    <row r="3605" spans="1:19" customFormat="1" x14ac:dyDescent="0.45">
      <c r="A3605">
        <v>630542</v>
      </c>
      <c r="B3605" t="s">
        <v>23098</v>
      </c>
      <c r="C3605" t="s">
        <v>23099</v>
      </c>
      <c r="D3605">
        <v>1</v>
      </c>
      <c r="F3605" s="126"/>
      <c r="G3605" s="3">
        <v>0</v>
      </c>
      <c r="H3605" s="3">
        <v>0</v>
      </c>
      <c r="I3605" s="3">
        <v>0</v>
      </c>
      <c r="J3605" s="3">
        <v>0</v>
      </c>
      <c r="K3605" s="3">
        <f t="shared" si="128"/>
        <v>0</v>
      </c>
      <c r="L3605" s="3"/>
      <c r="M3605" s="3">
        <f t="shared" si="129"/>
        <v>0</v>
      </c>
      <c r="O3605" s="5"/>
      <c r="S3605" s="6"/>
    </row>
    <row r="3606" spans="1:19" customFormat="1" x14ac:dyDescent="0.45">
      <c r="A3606">
        <v>630545</v>
      </c>
      <c r="B3606" t="s">
        <v>23100</v>
      </c>
      <c r="C3606" t="s">
        <v>23101</v>
      </c>
      <c r="D3606">
        <v>2</v>
      </c>
      <c r="F3606" s="126"/>
      <c r="G3606" s="3">
        <v>0</v>
      </c>
      <c r="H3606" s="3">
        <v>0</v>
      </c>
      <c r="I3606" s="3">
        <v>0</v>
      </c>
      <c r="J3606" s="3">
        <v>0</v>
      </c>
      <c r="K3606" s="3">
        <f t="shared" si="128"/>
        <v>0</v>
      </c>
      <c r="L3606" s="3"/>
      <c r="M3606" s="3">
        <f t="shared" si="129"/>
        <v>0</v>
      </c>
      <c r="O3606" s="5"/>
      <c r="S3606" s="6"/>
    </row>
    <row r="3607" spans="1:19" customFormat="1" x14ac:dyDescent="0.45">
      <c r="A3607">
        <v>630623</v>
      </c>
      <c r="B3607" t="s">
        <v>23102</v>
      </c>
      <c r="C3607" t="s">
        <v>16331</v>
      </c>
      <c r="D3607">
        <v>5</v>
      </c>
      <c r="E3607" t="s">
        <v>16331</v>
      </c>
      <c r="F3607" s="126"/>
      <c r="G3607" s="7">
        <v>0</v>
      </c>
      <c r="H3607" s="7">
        <v>0</v>
      </c>
      <c r="I3607" s="7">
        <v>0</v>
      </c>
      <c r="J3607" s="7">
        <v>0</v>
      </c>
      <c r="K3607" s="3">
        <f t="shared" si="128"/>
        <v>0</v>
      </c>
      <c r="L3607" s="3"/>
      <c r="M3607" s="3">
        <f t="shared" si="129"/>
        <v>0</v>
      </c>
      <c r="O3607" s="5"/>
      <c r="S3607" s="6"/>
    </row>
    <row r="3608" spans="1:19" customFormat="1" x14ac:dyDescent="0.45">
      <c r="A3608">
        <v>630986</v>
      </c>
      <c r="B3608" t="s">
        <v>23103</v>
      </c>
      <c r="C3608" t="s">
        <v>23104</v>
      </c>
      <c r="D3608">
        <v>1</v>
      </c>
      <c r="F3608" s="126"/>
      <c r="G3608" s="7">
        <v>0</v>
      </c>
      <c r="H3608" s="7">
        <v>0</v>
      </c>
      <c r="I3608" s="7">
        <v>0</v>
      </c>
      <c r="J3608" s="7">
        <v>0</v>
      </c>
      <c r="K3608" s="3">
        <f t="shared" si="128"/>
        <v>0</v>
      </c>
      <c r="L3608" s="3"/>
      <c r="M3608" s="3">
        <f t="shared" si="129"/>
        <v>0</v>
      </c>
      <c r="O3608" s="5"/>
      <c r="S3608" s="6"/>
    </row>
    <row r="3609" spans="1:19" customFormat="1" x14ac:dyDescent="0.45">
      <c r="A3609">
        <v>630996</v>
      </c>
      <c r="B3609" t="s">
        <v>23105</v>
      </c>
      <c r="C3609" t="s">
        <v>23106</v>
      </c>
      <c r="D3609">
        <v>1</v>
      </c>
      <c r="F3609" s="126"/>
      <c r="G3609" s="7">
        <v>0</v>
      </c>
      <c r="H3609" s="7">
        <v>0</v>
      </c>
      <c r="I3609" s="7">
        <v>0</v>
      </c>
      <c r="J3609" s="7">
        <v>0</v>
      </c>
      <c r="K3609" s="3">
        <f t="shared" si="128"/>
        <v>0</v>
      </c>
      <c r="L3609" s="3"/>
      <c r="M3609" s="3">
        <f t="shared" si="129"/>
        <v>0</v>
      </c>
      <c r="O3609" s="5"/>
      <c r="S3609" s="6"/>
    </row>
    <row r="3610" spans="1:19" customFormat="1" x14ac:dyDescent="0.45">
      <c r="A3610">
        <v>630999</v>
      </c>
      <c r="B3610" t="s">
        <v>23107</v>
      </c>
      <c r="C3610" t="s">
        <v>23108</v>
      </c>
      <c r="D3610">
        <v>2</v>
      </c>
      <c r="F3610" s="126"/>
      <c r="G3610" s="3"/>
      <c r="H3610" s="3"/>
      <c r="I3610" s="3"/>
      <c r="J3610" s="3"/>
      <c r="K3610" s="3">
        <f t="shared" si="128"/>
        <v>0</v>
      </c>
      <c r="L3610" s="3"/>
      <c r="M3610" s="3">
        <f t="shared" si="129"/>
        <v>0</v>
      </c>
      <c r="O3610" s="5"/>
      <c r="S3610" s="6"/>
    </row>
    <row r="3611" spans="1:19" customFormat="1" x14ac:dyDescent="0.45">
      <c r="A3611">
        <v>631108</v>
      </c>
      <c r="B3611" t="s">
        <v>23109</v>
      </c>
      <c r="C3611" t="s">
        <v>23110</v>
      </c>
      <c r="D3611">
        <v>1</v>
      </c>
      <c r="F3611" s="126"/>
      <c r="G3611" s="7">
        <v>0</v>
      </c>
      <c r="H3611" s="7">
        <v>0</v>
      </c>
      <c r="I3611" s="7">
        <v>0</v>
      </c>
      <c r="J3611" s="7">
        <v>0</v>
      </c>
      <c r="K3611" s="3">
        <f t="shared" si="128"/>
        <v>0</v>
      </c>
      <c r="L3611" s="3"/>
      <c r="M3611" s="3">
        <f t="shared" si="129"/>
        <v>0</v>
      </c>
      <c r="O3611" s="5"/>
      <c r="S3611" s="6"/>
    </row>
    <row r="3612" spans="1:19" customFormat="1" x14ac:dyDescent="0.45">
      <c r="A3612">
        <v>631113</v>
      </c>
      <c r="B3612" t="s">
        <v>23111</v>
      </c>
      <c r="C3612" t="s">
        <v>23112</v>
      </c>
      <c r="D3612">
        <v>2</v>
      </c>
      <c r="F3612" s="126"/>
      <c r="G3612" s="3">
        <v>0</v>
      </c>
      <c r="H3612" s="3">
        <v>0</v>
      </c>
      <c r="I3612" s="3">
        <v>0</v>
      </c>
      <c r="J3612" s="3">
        <v>0</v>
      </c>
      <c r="K3612" s="3">
        <f t="shared" si="128"/>
        <v>0</v>
      </c>
      <c r="L3612" s="3"/>
      <c r="M3612" s="3">
        <f t="shared" si="129"/>
        <v>0</v>
      </c>
      <c r="O3612" s="5"/>
      <c r="S3612" s="6"/>
    </row>
    <row r="3613" spans="1:19" customFormat="1" x14ac:dyDescent="0.45">
      <c r="A3613">
        <v>631218</v>
      </c>
      <c r="B3613" t="s">
        <v>23113</v>
      </c>
      <c r="C3613" t="s">
        <v>23114</v>
      </c>
      <c r="D3613">
        <v>5</v>
      </c>
      <c r="F3613" s="126"/>
      <c r="G3613" s="3"/>
      <c r="H3613" s="3"/>
      <c r="I3613" s="3"/>
      <c r="J3613" s="3"/>
      <c r="K3613" s="3">
        <f t="shared" si="128"/>
        <v>0</v>
      </c>
      <c r="L3613" s="3"/>
      <c r="M3613" s="3">
        <f t="shared" si="129"/>
        <v>0</v>
      </c>
      <c r="O3613" s="5"/>
      <c r="S3613" s="6"/>
    </row>
    <row r="3614" spans="1:19" customFormat="1" x14ac:dyDescent="0.45">
      <c r="A3614">
        <v>631345</v>
      </c>
      <c r="B3614" t="s">
        <v>23115</v>
      </c>
      <c r="C3614" t="s">
        <v>16331</v>
      </c>
      <c r="D3614">
        <v>1</v>
      </c>
      <c r="E3614" t="s">
        <v>16331</v>
      </c>
      <c r="F3614" s="126"/>
      <c r="K3614" s="3">
        <f t="shared" si="128"/>
        <v>0</v>
      </c>
      <c r="L3614" s="3"/>
      <c r="M3614" s="3">
        <f t="shared" si="129"/>
        <v>0</v>
      </c>
      <c r="O3614" s="5"/>
      <c r="S3614" s="6"/>
    </row>
    <row r="3615" spans="1:19" customFormat="1" x14ac:dyDescent="0.45">
      <c r="A3615">
        <v>631765</v>
      </c>
      <c r="B3615" t="s">
        <v>23116</v>
      </c>
      <c r="C3615" t="s">
        <v>23117</v>
      </c>
      <c r="D3615">
        <v>2</v>
      </c>
      <c r="F3615" s="126"/>
      <c r="G3615" s="3">
        <v>0</v>
      </c>
      <c r="H3615" s="3">
        <v>0</v>
      </c>
      <c r="I3615" s="3">
        <v>0</v>
      </c>
      <c r="J3615" s="3">
        <v>0</v>
      </c>
      <c r="K3615" s="3">
        <f t="shared" si="128"/>
        <v>0</v>
      </c>
      <c r="L3615" s="3"/>
      <c r="M3615" s="3">
        <f t="shared" si="129"/>
        <v>0</v>
      </c>
      <c r="O3615" s="5"/>
      <c r="S3615" s="6"/>
    </row>
    <row r="3616" spans="1:19" customFormat="1" x14ac:dyDescent="0.45">
      <c r="A3616">
        <v>631829</v>
      </c>
      <c r="B3616" t="s">
        <v>23118</v>
      </c>
      <c r="C3616" t="s">
        <v>23119</v>
      </c>
      <c r="D3616">
        <v>1</v>
      </c>
      <c r="F3616" s="126"/>
      <c r="G3616" s="3"/>
      <c r="H3616" s="3"/>
      <c r="I3616" s="3"/>
      <c r="J3616" s="3"/>
      <c r="K3616" s="3">
        <f t="shared" si="128"/>
        <v>0</v>
      </c>
      <c r="L3616" s="3"/>
      <c r="M3616" s="3">
        <f t="shared" si="129"/>
        <v>0</v>
      </c>
      <c r="O3616" s="5"/>
      <c r="S3616" s="6"/>
    </row>
    <row r="3617" spans="1:23" customFormat="1" x14ac:dyDescent="0.45">
      <c r="A3617">
        <v>632101</v>
      </c>
      <c r="B3617" t="s">
        <v>23120</v>
      </c>
      <c r="C3617" t="s">
        <v>23121</v>
      </c>
      <c r="D3617">
        <v>5</v>
      </c>
      <c r="F3617" s="126"/>
      <c r="G3617" s="3"/>
      <c r="H3617" s="3"/>
      <c r="I3617" s="3"/>
      <c r="J3617" s="3"/>
      <c r="K3617" s="3">
        <f t="shared" si="128"/>
        <v>0</v>
      </c>
      <c r="L3617" s="3"/>
      <c r="M3617" s="3">
        <f t="shared" si="129"/>
        <v>0</v>
      </c>
      <c r="O3617" s="5"/>
      <c r="S3617" s="6"/>
    </row>
    <row r="3618" spans="1:23" customFormat="1" x14ac:dyDescent="0.45">
      <c r="A3618">
        <v>646955</v>
      </c>
      <c r="B3618" t="s">
        <v>23122</v>
      </c>
      <c r="C3618" t="s">
        <v>23123</v>
      </c>
      <c r="D3618">
        <v>2</v>
      </c>
      <c r="F3618" s="126"/>
      <c r="G3618" s="3">
        <v>0</v>
      </c>
      <c r="H3618" s="3">
        <v>0</v>
      </c>
      <c r="I3618" s="3">
        <v>0</v>
      </c>
      <c r="J3618" s="3">
        <v>0</v>
      </c>
      <c r="K3618" s="3">
        <f t="shared" ref="K3618:K3681" si="130">SUM(G3618:J3618)</f>
        <v>0</v>
      </c>
      <c r="L3618" s="3"/>
      <c r="M3618" s="3">
        <f t="shared" ref="M3618:M3681" si="131">K3618+F3618</f>
        <v>0</v>
      </c>
      <c r="O3618" s="5"/>
      <c r="S3618" s="6"/>
    </row>
    <row r="3619" spans="1:23" customFormat="1" x14ac:dyDescent="0.45">
      <c r="A3619">
        <v>647006</v>
      </c>
      <c r="B3619" t="s">
        <v>23124</v>
      </c>
      <c r="C3619" t="s">
        <v>16331</v>
      </c>
      <c r="D3619">
        <v>1</v>
      </c>
      <c r="E3619" t="s">
        <v>16331</v>
      </c>
      <c r="F3619" s="126"/>
      <c r="G3619" s="7">
        <v>0</v>
      </c>
      <c r="H3619" s="7">
        <v>0</v>
      </c>
      <c r="I3619" s="7">
        <v>0</v>
      </c>
      <c r="J3619" s="7">
        <v>0</v>
      </c>
      <c r="K3619" s="3">
        <f t="shared" si="130"/>
        <v>0</v>
      </c>
      <c r="L3619" s="3"/>
      <c r="M3619" s="3">
        <f t="shared" si="131"/>
        <v>0</v>
      </c>
      <c r="O3619" s="5"/>
      <c r="S3619" s="6"/>
    </row>
    <row r="3620" spans="1:23" customFormat="1" x14ac:dyDescent="0.45">
      <c r="A3620">
        <v>647058</v>
      </c>
      <c r="B3620" t="s">
        <v>23125</v>
      </c>
      <c r="C3620" t="s">
        <v>23126</v>
      </c>
      <c r="D3620">
        <v>1</v>
      </c>
      <c r="F3620" s="126"/>
      <c r="G3620" s="7">
        <v>0</v>
      </c>
      <c r="H3620" s="7">
        <v>0</v>
      </c>
      <c r="I3620" s="7">
        <v>0</v>
      </c>
      <c r="J3620" s="7">
        <v>0</v>
      </c>
      <c r="K3620" s="3">
        <f t="shared" si="130"/>
        <v>0</v>
      </c>
      <c r="L3620" s="3"/>
      <c r="M3620" s="3">
        <f t="shared" si="131"/>
        <v>0</v>
      </c>
      <c r="O3620" s="5"/>
      <c r="S3620" s="6"/>
    </row>
    <row r="3621" spans="1:23" customFormat="1" x14ac:dyDescent="0.45">
      <c r="A3621">
        <v>647059</v>
      </c>
      <c r="B3621" t="s">
        <v>23127</v>
      </c>
      <c r="C3621" t="s">
        <v>16331</v>
      </c>
      <c r="D3621">
        <v>1</v>
      </c>
      <c r="E3621" t="s">
        <v>16331</v>
      </c>
      <c r="F3621" s="126"/>
      <c r="G3621" s="7">
        <v>0</v>
      </c>
      <c r="H3621" s="7">
        <v>0</v>
      </c>
      <c r="I3621" s="7">
        <v>0</v>
      </c>
      <c r="J3621" s="7">
        <v>0</v>
      </c>
      <c r="K3621" s="3">
        <f t="shared" si="130"/>
        <v>0</v>
      </c>
      <c r="L3621" s="3"/>
      <c r="M3621" s="3">
        <f t="shared" si="131"/>
        <v>0</v>
      </c>
      <c r="O3621" s="5"/>
      <c r="S3621" s="6"/>
    </row>
    <row r="3622" spans="1:23" customFormat="1" x14ac:dyDescent="0.45">
      <c r="A3622">
        <v>647062</v>
      </c>
      <c r="B3622" t="s">
        <v>23128</v>
      </c>
      <c r="C3622" t="s">
        <v>23129</v>
      </c>
      <c r="D3622">
        <v>1</v>
      </c>
      <c r="F3622" s="126"/>
      <c r="G3622" s="7">
        <v>0</v>
      </c>
      <c r="H3622" s="7">
        <v>0</v>
      </c>
      <c r="I3622" s="7">
        <v>0</v>
      </c>
      <c r="J3622" s="7">
        <v>0</v>
      </c>
      <c r="K3622" s="3">
        <f t="shared" si="130"/>
        <v>0</v>
      </c>
      <c r="L3622" s="3"/>
      <c r="M3622" s="3">
        <f t="shared" si="131"/>
        <v>0</v>
      </c>
      <c r="O3622" s="5"/>
      <c r="S3622" s="6"/>
    </row>
    <row r="3623" spans="1:23" customFormat="1" x14ac:dyDescent="0.45">
      <c r="A3623">
        <v>647091</v>
      </c>
      <c r="B3623" t="s">
        <v>23130</v>
      </c>
      <c r="C3623" t="s">
        <v>23131</v>
      </c>
      <c r="D3623">
        <v>5</v>
      </c>
      <c r="F3623" s="126"/>
      <c r="G3623" s="7">
        <v>0</v>
      </c>
      <c r="H3623" s="7">
        <v>0</v>
      </c>
      <c r="I3623" s="7">
        <v>0</v>
      </c>
      <c r="J3623" s="7">
        <v>0</v>
      </c>
      <c r="K3623" s="3">
        <f t="shared" si="130"/>
        <v>0</v>
      </c>
      <c r="L3623" s="3"/>
      <c r="M3623" s="3">
        <f t="shared" si="131"/>
        <v>0</v>
      </c>
      <c r="O3623" s="5"/>
      <c r="S3623" s="6"/>
    </row>
    <row r="3624" spans="1:23" customFormat="1" x14ac:dyDescent="0.45">
      <c r="A3624">
        <v>647097</v>
      </c>
      <c r="B3624" t="s">
        <v>23132</v>
      </c>
      <c r="C3624" t="s">
        <v>16331</v>
      </c>
      <c r="D3624">
        <v>3</v>
      </c>
      <c r="E3624" t="s">
        <v>16331</v>
      </c>
      <c r="F3624" s="126"/>
      <c r="K3624" s="3">
        <f t="shared" si="130"/>
        <v>0</v>
      </c>
      <c r="L3624" s="3"/>
      <c r="M3624" s="3">
        <f t="shared" si="131"/>
        <v>0</v>
      </c>
      <c r="O3624" s="5"/>
      <c r="S3624" s="6"/>
    </row>
    <row r="3625" spans="1:23" customFormat="1" x14ac:dyDescent="0.45">
      <c r="A3625">
        <v>647122</v>
      </c>
      <c r="B3625" t="s">
        <v>23133</v>
      </c>
      <c r="C3625" t="s">
        <v>23134</v>
      </c>
      <c r="D3625">
        <v>2</v>
      </c>
      <c r="F3625" s="126"/>
      <c r="K3625" s="3">
        <f t="shared" si="130"/>
        <v>0</v>
      </c>
      <c r="L3625" s="3"/>
      <c r="M3625" s="3">
        <f t="shared" si="131"/>
        <v>0</v>
      </c>
      <c r="O3625" s="5"/>
      <c r="S3625" s="6"/>
    </row>
    <row r="3626" spans="1:23" customFormat="1" x14ac:dyDescent="0.45">
      <c r="A3626">
        <v>647157</v>
      </c>
      <c r="B3626" t="s">
        <v>23135</v>
      </c>
      <c r="C3626" t="s">
        <v>23136</v>
      </c>
      <c r="D3626">
        <v>6</v>
      </c>
      <c r="F3626" s="126"/>
      <c r="G3626" s="3">
        <v>0</v>
      </c>
      <c r="H3626" s="3">
        <v>0</v>
      </c>
      <c r="I3626" s="3">
        <v>0</v>
      </c>
      <c r="J3626" s="3">
        <v>0</v>
      </c>
      <c r="K3626" s="3">
        <f t="shared" si="130"/>
        <v>0</v>
      </c>
      <c r="L3626" s="3"/>
      <c r="M3626" s="3">
        <f t="shared" si="131"/>
        <v>0</v>
      </c>
      <c r="O3626" s="5"/>
      <c r="S3626" s="6"/>
    </row>
    <row r="3627" spans="1:23" customFormat="1" x14ac:dyDescent="0.45">
      <c r="A3627">
        <v>647191</v>
      </c>
      <c r="B3627" t="s">
        <v>23137</v>
      </c>
      <c r="C3627" t="s">
        <v>23138</v>
      </c>
      <c r="D3627">
        <v>2</v>
      </c>
      <c r="F3627" s="126"/>
      <c r="G3627" s="3">
        <v>0</v>
      </c>
      <c r="H3627" s="3">
        <v>0</v>
      </c>
      <c r="I3627" s="3">
        <v>0</v>
      </c>
      <c r="J3627" s="3">
        <v>0</v>
      </c>
      <c r="K3627" s="3">
        <f t="shared" si="130"/>
        <v>0</v>
      </c>
      <c r="L3627" s="3"/>
      <c r="M3627" s="3">
        <f t="shared" si="131"/>
        <v>0</v>
      </c>
      <c r="O3627" s="5"/>
      <c r="S3627" s="6"/>
    </row>
    <row r="3628" spans="1:23" customFormat="1" x14ac:dyDescent="0.45">
      <c r="A3628">
        <v>647463</v>
      </c>
      <c r="B3628" t="s">
        <v>23139</v>
      </c>
      <c r="C3628" t="s">
        <v>23140</v>
      </c>
      <c r="D3628">
        <v>0</v>
      </c>
      <c r="E3628" t="s">
        <v>16334</v>
      </c>
      <c r="F3628" s="126"/>
      <c r="G3628" s="3">
        <v>0</v>
      </c>
      <c r="H3628" s="3">
        <v>0</v>
      </c>
      <c r="I3628" s="3">
        <v>0</v>
      </c>
      <c r="J3628" s="3">
        <v>0</v>
      </c>
      <c r="K3628" s="3">
        <f t="shared" si="130"/>
        <v>0</v>
      </c>
      <c r="L3628" s="3"/>
      <c r="M3628" s="3">
        <f t="shared" si="131"/>
        <v>0</v>
      </c>
      <c r="O3628" s="5"/>
      <c r="S3628" s="6"/>
    </row>
    <row r="3629" spans="1:23" customFormat="1" x14ac:dyDescent="0.45">
      <c r="A3629">
        <v>647497</v>
      </c>
      <c r="B3629" t="s">
        <v>23141</v>
      </c>
      <c r="C3629" t="s">
        <v>23142</v>
      </c>
      <c r="D3629">
        <v>3</v>
      </c>
      <c r="F3629" s="126"/>
      <c r="G3629" s="3">
        <v>0</v>
      </c>
      <c r="H3629" s="3">
        <v>0</v>
      </c>
      <c r="I3629" s="3">
        <v>0</v>
      </c>
      <c r="J3629" s="3">
        <v>0</v>
      </c>
      <c r="K3629" s="3">
        <f t="shared" si="130"/>
        <v>0</v>
      </c>
      <c r="L3629" s="3"/>
      <c r="M3629" s="3">
        <f t="shared" si="131"/>
        <v>0</v>
      </c>
      <c r="O3629" s="5"/>
      <c r="S3629" s="6"/>
    </row>
    <row r="3630" spans="1:23" customFormat="1" x14ac:dyDescent="0.45">
      <c r="A3630">
        <v>647921</v>
      </c>
      <c r="B3630" t="s">
        <v>23143</v>
      </c>
      <c r="C3630" t="s">
        <v>23144</v>
      </c>
      <c r="D3630">
        <v>1</v>
      </c>
      <c r="F3630" s="126"/>
      <c r="G3630" s="3">
        <v>0</v>
      </c>
      <c r="H3630" s="3">
        <v>0</v>
      </c>
      <c r="I3630" s="3">
        <v>0</v>
      </c>
      <c r="J3630" s="3">
        <v>0</v>
      </c>
      <c r="K3630" s="3">
        <f t="shared" si="130"/>
        <v>0</v>
      </c>
      <c r="L3630" s="3"/>
      <c r="M3630" s="3">
        <f t="shared" si="131"/>
        <v>0</v>
      </c>
      <c r="O3630" s="5"/>
      <c r="S3630" s="6"/>
    </row>
    <row r="3631" spans="1:23" x14ac:dyDescent="0.45">
      <c r="A3631" s="124">
        <v>548525</v>
      </c>
      <c r="B3631" s="124" t="s">
        <v>23145</v>
      </c>
      <c r="C3631" s="124" t="s">
        <v>23146</v>
      </c>
      <c r="D3631" s="124">
        <v>1</v>
      </c>
      <c r="E3631" s="124" t="s">
        <v>16334</v>
      </c>
      <c r="F3631" s="126">
        <v>1.6999999999999999E-3</v>
      </c>
      <c r="G3631" s="126">
        <f>1995/100000</f>
        <v>1.9949999999999999E-2</v>
      </c>
      <c r="H3631" s="126">
        <v>2.5000000000000001E-2</v>
      </c>
      <c r="I3631" s="127">
        <v>0</v>
      </c>
      <c r="J3631" s="127">
        <v>0</v>
      </c>
      <c r="K3631" s="126">
        <f t="shared" si="130"/>
        <v>4.4950000000000004E-2</v>
      </c>
      <c r="L3631" s="3"/>
      <c r="M3631" s="126">
        <f t="shared" si="131"/>
        <v>4.6650000000000004E-2</v>
      </c>
      <c r="O3631" s="131" t="s">
        <v>23147</v>
      </c>
      <c r="P3631" s="128" t="s">
        <v>26918</v>
      </c>
      <c r="Q3631" s="130">
        <f>324883+110953</f>
        <v>435836</v>
      </c>
      <c r="R3631" s="124" t="s">
        <v>16348</v>
      </c>
      <c r="S3631" s="132">
        <v>321460</v>
      </c>
      <c r="T3631" s="129">
        <f>S3631/Q3631</f>
        <v>0.73757101294982519</v>
      </c>
      <c r="V3631" s="125" t="s">
        <v>23148</v>
      </c>
      <c r="W3631" s="124" t="s">
        <v>17021</v>
      </c>
    </row>
    <row r="3632" spans="1:23" customFormat="1" x14ac:dyDescent="0.45">
      <c r="A3632">
        <v>648084</v>
      </c>
      <c r="B3632" t="s">
        <v>23149</v>
      </c>
      <c r="C3632" t="s">
        <v>23150</v>
      </c>
      <c r="D3632">
        <v>0</v>
      </c>
      <c r="E3632" t="s">
        <v>16334</v>
      </c>
      <c r="F3632" s="126"/>
      <c r="G3632" s="7">
        <v>0</v>
      </c>
      <c r="H3632" s="7">
        <v>0</v>
      </c>
      <c r="I3632" s="7">
        <v>0</v>
      </c>
      <c r="J3632" s="7">
        <v>0</v>
      </c>
      <c r="K3632" s="3">
        <f t="shared" si="130"/>
        <v>0</v>
      </c>
      <c r="L3632" s="3"/>
      <c r="M3632" s="3">
        <f t="shared" si="131"/>
        <v>0</v>
      </c>
      <c r="O3632" s="5"/>
      <c r="S3632" s="6"/>
    </row>
    <row r="3633" spans="1:19" customFormat="1" x14ac:dyDescent="0.45">
      <c r="A3633">
        <v>648953</v>
      </c>
      <c r="B3633" t="s">
        <v>23151</v>
      </c>
      <c r="C3633" t="s">
        <v>23152</v>
      </c>
      <c r="D3633">
        <v>0</v>
      </c>
      <c r="E3633" t="s">
        <v>16561</v>
      </c>
      <c r="F3633" s="126"/>
      <c r="G3633" s="7">
        <v>0</v>
      </c>
      <c r="H3633" s="7">
        <v>0</v>
      </c>
      <c r="I3633" s="7">
        <v>0</v>
      </c>
      <c r="J3633" s="7">
        <v>0</v>
      </c>
      <c r="K3633" s="3">
        <f t="shared" si="130"/>
        <v>0</v>
      </c>
      <c r="L3633" s="3"/>
      <c r="M3633" s="3">
        <f t="shared" si="131"/>
        <v>0</v>
      </c>
      <c r="N3633" s="7"/>
      <c r="O3633" s="5"/>
      <c r="S3633" s="6"/>
    </row>
    <row r="3634" spans="1:19" customFormat="1" x14ac:dyDescent="0.45">
      <c r="A3634">
        <v>648965</v>
      </c>
      <c r="B3634" t="s">
        <v>23153</v>
      </c>
      <c r="C3634" t="s">
        <v>16331</v>
      </c>
      <c r="D3634">
        <v>1</v>
      </c>
      <c r="E3634" t="s">
        <v>16331</v>
      </c>
      <c r="F3634" s="126"/>
      <c r="K3634" s="3">
        <f t="shared" si="130"/>
        <v>0</v>
      </c>
      <c r="L3634" s="3"/>
      <c r="M3634" s="3">
        <f t="shared" si="131"/>
        <v>0</v>
      </c>
      <c r="O3634" s="5"/>
      <c r="S3634" s="6"/>
    </row>
    <row r="3635" spans="1:19" customFormat="1" x14ac:dyDescent="0.45">
      <c r="A3635">
        <v>649170</v>
      </c>
      <c r="B3635" t="s">
        <v>23154</v>
      </c>
      <c r="C3635" t="s">
        <v>16331</v>
      </c>
      <c r="D3635">
        <v>11</v>
      </c>
      <c r="E3635" t="s">
        <v>16331</v>
      </c>
      <c r="F3635" s="126"/>
      <c r="K3635" s="3">
        <f t="shared" si="130"/>
        <v>0</v>
      </c>
      <c r="L3635" s="3"/>
      <c r="M3635" s="3">
        <f t="shared" si="131"/>
        <v>0</v>
      </c>
      <c r="O3635" s="5"/>
      <c r="S3635" s="6"/>
    </row>
    <row r="3636" spans="1:19" customFormat="1" x14ac:dyDescent="0.45">
      <c r="A3636">
        <v>649186</v>
      </c>
      <c r="B3636" t="s">
        <v>23155</v>
      </c>
      <c r="C3636" t="s">
        <v>23156</v>
      </c>
      <c r="D3636">
        <v>1</v>
      </c>
      <c r="F3636" s="126"/>
      <c r="G3636" s="7">
        <v>0</v>
      </c>
      <c r="H3636" s="7">
        <v>0</v>
      </c>
      <c r="I3636" s="7">
        <v>0</v>
      </c>
      <c r="J3636" s="7">
        <v>0</v>
      </c>
      <c r="K3636" s="3">
        <f t="shared" si="130"/>
        <v>0</v>
      </c>
      <c r="L3636" s="3"/>
      <c r="M3636" s="3">
        <f t="shared" si="131"/>
        <v>0</v>
      </c>
      <c r="O3636" s="5"/>
      <c r="S3636" s="6"/>
    </row>
    <row r="3637" spans="1:19" customFormat="1" x14ac:dyDescent="0.45">
      <c r="A3637">
        <v>649674</v>
      </c>
      <c r="B3637" t="s">
        <v>23157</v>
      </c>
      <c r="C3637" t="s">
        <v>23158</v>
      </c>
      <c r="D3637">
        <v>1</v>
      </c>
      <c r="F3637" s="126"/>
      <c r="G3637" s="7">
        <v>0</v>
      </c>
      <c r="H3637" s="7">
        <v>0</v>
      </c>
      <c r="I3637" s="7">
        <v>0</v>
      </c>
      <c r="J3637" s="7">
        <v>0</v>
      </c>
      <c r="K3637" s="3">
        <f t="shared" si="130"/>
        <v>0</v>
      </c>
      <c r="L3637" s="3"/>
      <c r="M3637" s="3">
        <f t="shared" si="131"/>
        <v>0</v>
      </c>
      <c r="O3637" s="5"/>
      <c r="S3637" s="6"/>
    </row>
    <row r="3638" spans="1:19" customFormat="1" x14ac:dyDescent="0.45">
      <c r="A3638">
        <v>649801</v>
      </c>
      <c r="B3638" t="s">
        <v>23159</v>
      </c>
      <c r="C3638" t="s">
        <v>23160</v>
      </c>
      <c r="D3638">
        <v>1</v>
      </c>
      <c r="F3638" s="126"/>
      <c r="G3638" s="3"/>
      <c r="H3638" s="3"/>
      <c r="I3638" s="3"/>
      <c r="J3638" s="3"/>
      <c r="K3638" s="3">
        <f t="shared" si="130"/>
        <v>0</v>
      </c>
      <c r="L3638" s="3"/>
      <c r="M3638" s="3">
        <f t="shared" si="131"/>
        <v>0</v>
      </c>
      <c r="O3638" s="5"/>
      <c r="S3638" s="6"/>
    </row>
    <row r="3639" spans="1:19" customFormat="1" x14ac:dyDescent="0.45">
      <c r="A3639">
        <v>650075</v>
      </c>
      <c r="B3639" t="s">
        <v>23161</v>
      </c>
      <c r="C3639" t="s">
        <v>23162</v>
      </c>
      <c r="D3639">
        <v>3</v>
      </c>
      <c r="F3639" s="126"/>
      <c r="G3639" s="7">
        <v>0</v>
      </c>
      <c r="H3639" s="7">
        <v>0</v>
      </c>
      <c r="I3639" s="7">
        <v>0</v>
      </c>
      <c r="J3639" s="7">
        <v>0</v>
      </c>
      <c r="K3639" s="3">
        <f t="shared" si="130"/>
        <v>0</v>
      </c>
      <c r="L3639" s="3"/>
      <c r="M3639" s="3">
        <f t="shared" si="131"/>
        <v>0</v>
      </c>
      <c r="O3639" s="5"/>
      <c r="S3639" s="6"/>
    </row>
    <row r="3640" spans="1:19" customFormat="1" x14ac:dyDescent="0.45">
      <c r="A3640">
        <v>650099</v>
      </c>
      <c r="B3640" t="s">
        <v>23163</v>
      </c>
      <c r="C3640" t="s">
        <v>23164</v>
      </c>
      <c r="D3640">
        <v>0</v>
      </c>
      <c r="E3640" t="s">
        <v>16561</v>
      </c>
      <c r="F3640" s="126"/>
      <c r="G3640" s="7">
        <v>0</v>
      </c>
      <c r="H3640" s="7">
        <v>0</v>
      </c>
      <c r="I3640" s="7">
        <v>0</v>
      </c>
      <c r="J3640" s="7">
        <v>0</v>
      </c>
      <c r="K3640" s="3">
        <f t="shared" si="130"/>
        <v>0</v>
      </c>
      <c r="L3640" s="3"/>
      <c r="M3640" s="3">
        <f t="shared" si="131"/>
        <v>0</v>
      </c>
      <c r="N3640" s="7"/>
      <c r="O3640" s="5"/>
      <c r="S3640" s="6"/>
    </row>
    <row r="3641" spans="1:19" customFormat="1" x14ac:dyDescent="0.45">
      <c r="A3641">
        <v>650100</v>
      </c>
      <c r="B3641" t="s">
        <v>23165</v>
      </c>
      <c r="C3641" t="s">
        <v>23166</v>
      </c>
      <c r="D3641">
        <v>2</v>
      </c>
      <c r="F3641" s="126"/>
      <c r="G3641" s="3">
        <v>0</v>
      </c>
      <c r="H3641" s="3">
        <v>0</v>
      </c>
      <c r="I3641" s="3">
        <v>0</v>
      </c>
      <c r="J3641" s="3">
        <v>0</v>
      </c>
      <c r="K3641" s="3">
        <f t="shared" si="130"/>
        <v>0</v>
      </c>
      <c r="L3641" s="3"/>
      <c r="M3641" s="3">
        <f t="shared" si="131"/>
        <v>0</v>
      </c>
      <c r="O3641" s="5"/>
      <c r="S3641" s="6"/>
    </row>
    <row r="3642" spans="1:19" customFormat="1" x14ac:dyDescent="0.45">
      <c r="A3642">
        <v>650205</v>
      </c>
      <c r="B3642" t="s">
        <v>23167</v>
      </c>
      <c r="C3642" t="s">
        <v>23168</v>
      </c>
      <c r="D3642">
        <v>0</v>
      </c>
      <c r="E3642" t="s">
        <v>16561</v>
      </c>
      <c r="F3642" s="126"/>
      <c r="G3642" s="7">
        <v>0</v>
      </c>
      <c r="H3642" s="7">
        <v>0</v>
      </c>
      <c r="I3642" s="7">
        <v>0</v>
      </c>
      <c r="J3642" s="7">
        <v>0</v>
      </c>
      <c r="K3642" s="3">
        <f t="shared" si="130"/>
        <v>0</v>
      </c>
      <c r="L3642" s="3"/>
      <c r="M3642" s="3">
        <f t="shared" si="131"/>
        <v>0</v>
      </c>
      <c r="N3642" s="7"/>
      <c r="O3642" s="5"/>
      <c r="S3642" s="6"/>
    </row>
    <row r="3643" spans="1:19" customFormat="1" x14ac:dyDescent="0.45">
      <c r="A3643">
        <v>650237</v>
      </c>
      <c r="B3643" t="s">
        <v>23169</v>
      </c>
      <c r="C3643" t="s">
        <v>23170</v>
      </c>
      <c r="D3643">
        <v>1</v>
      </c>
      <c r="F3643" s="126"/>
      <c r="G3643" s="3">
        <v>0</v>
      </c>
      <c r="H3643" s="3">
        <v>0</v>
      </c>
      <c r="I3643" s="3">
        <v>0</v>
      </c>
      <c r="J3643" s="3">
        <v>0</v>
      </c>
      <c r="K3643" s="3">
        <f t="shared" si="130"/>
        <v>0</v>
      </c>
      <c r="L3643" s="3"/>
      <c r="M3643" s="3">
        <f t="shared" si="131"/>
        <v>0</v>
      </c>
      <c r="O3643" s="5"/>
      <c r="S3643" s="6"/>
    </row>
    <row r="3644" spans="1:19" customFormat="1" x14ac:dyDescent="0.45">
      <c r="A3644">
        <v>650302</v>
      </c>
      <c r="B3644" t="s">
        <v>23171</v>
      </c>
      <c r="C3644" t="s">
        <v>16331</v>
      </c>
      <c r="D3644">
        <v>1</v>
      </c>
      <c r="E3644" t="s">
        <v>16331</v>
      </c>
      <c r="F3644" s="126"/>
      <c r="G3644" s="7">
        <v>0</v>
      </c>
      <c r="H3644" s="7">
        <v>0</v>
      </c>
      <c r="I3644" s="7">
        <v>0</v>
      </c>
      <c r="J3644" s="7">
        <v>0</v>
      </c>
      <c r="K3644" s="3">
        <f t="shared" si="130"/>
        <v>0</v>
      </c>
      <c r="L3644" s="3"/>
      <c r="M3644" s="3">
        <f t="shared" si="131"/>
        <v>0</v>
      </c>
      <c r="O3644" s="5"/>
      <c r="S3644" s="6"/>
    </row>
    <row r="3645" spans="1:19" customFormat="1" x14ac:dyDescent="0.45">
      <c r="A3645">
        <v>650696</v>
      </c>
      <c r="B3645" t="s">
        <v>23172</v>
      </c>
      <c r="C3645" t="s">
        <v>23173</v>
      </c>
      <c r="D3645">
        <v>2</v>
      </c>
      <c r="F3645" s="126"/>
      <c r="G3645" s="3">
        <v>0</v>
      </c>
      <c r="H3645" s="3">
        <v>0</v>
      </c>
      <c r="I3645" s="3">
        <v>0</v>
      </c>
      <c r="J3645" s="3">
        <v>0</v>
      </c>
      <c r="K3645" s="3">
        <f t="shared" si="130"/>
        <v>0</v>
      </c>
      <c r="L3645" s="3"/>
      <c r="M3645" s="3">
        <f t="shared" si="131"/>
        <v>0</v>
      </c>
      <c r="O3645" s="5"/>
      <c r="S3645" s="6"/>
    </row>
    <row r="3646" spans="1:19" customFormat="1" x14ac:dyDescent="0.45">
      <c r="A3646">
        <v>650923</v>
      </c>
      <c r="B3646" t="s">
        <v>23174</v>
      </c>
      <c r="C3646" t="s">
        <v>23175</v>
      </c>
      <c r="D3646">
        <v>2</v>
      </c>
      <c r="F3646" s="126"/>
      <c r="G3646" s="3">
        <v>0</v>
      </c>
      <c r="H3646" s="3">
        <v>0</v>
      </c>
      <c r="I3646" s="3">
        <v>0</v>
      </c>
      <c r="J3646" s="3">
        <v>0</v>
      </c>
      <c r="K3646" s="3">
        <f t="shared" si="130"/>
        <v>0</v>
      </c>
      <c r="L3646" s="3"/>
      <c r="M3646" s="3">
        <f t="shared" si="131"/>
        <v>0</v>
      </c>
      <c r="O3646" s="5"/>
      <c r="S3646" s="6"/>
    </row>
    <row r="3647" spans="1:19" customFormat="1" x14ac:dyDescent="0.45">
      <c r="A3647">
        <v>650936</v>
      </c>
      <c r="B3647" t="s">
        <v>23176</v>
      </c>
      <c r="C3647" t="s">
        <v>16331</v>
      </c>
      <c r="D3647">
        <v>1</v>
      </c>
      <c r="E3647" t="s">
        <v>16331</v>
      </c>
      <c r="F3647" s="126"/>
      <c r="G3647" s="7">
        <v>0</v>
      </c>
      <c r="H3647" s="7">
        <v>0</v>
      </c>
      <c r="I3647" s="7">
        <v>0</v>
      </c>
      <c r="J3647" s="7">
        <v>0</v>
      </c>
      <c r="K3647" s="3">
        <f t="shared" si="130"/>
        <v>0</v>
      </c>
      <c r="L3647" s="3"/>
      <c r="M3647" s="3">
        <f t="shared" si="131"/>
        <v>0</v>
      </c>
      <c r="O3647" s="5"/>
      <c r="S3647" s="6"/>
    </row>
    <row r="3648" spans="1:19" customFormat="1" x14ac:dyDescent="0.45">
      <c r="A3648">
        <v>650965</v>
      </c>
      <c r="B3648" t="s">
        <v>23177</v>
      </c>
      <c r="C3648" t="s">
        <v>16331</v>
      </c>
      <c r="D3648">
        <v>2</v>
      </c>
      <c r="E3648" t="s">
        <v>16331</v>
      </c>
      <c r="F3648" s="126"/>
      <c r="G3648" s="7">
        <v>0</v>
      </c>
      <c r="H3648" s="7">
        <v>0</v>
      </c>
      <c r="I3648" s="7">
        <v>0</v>
      </c>
      <c r="J3648" s="7">
        <v>0</v>
      </c>
      <c r="K3648" s="3">
        <f t="shared" si="130"/>
        <v>0</v>
      </c>
      <c r="L3648" s="3"/>
      <c r="M3648" s="3">
        <f t="shared" si="131"/>
        <v>0</v>
      </c>
      <c r="O3648" s="5"/>
      <c r="S3648" s="6"/>
    </row>
    <row r="3649" spans="1:19" customFormat="1" x14ac:dyDescent="0.45">
      <c r="A3649">
        <v>651145</v>
      </c>
      <c r="B3649" t="s">
        <v>23178</v>
      </c>
      <c r="C3649" t="s">
        <v>16331</v>
      </c>
      <c r="D3649">
        <v>1</v>
      </c>
      <c r="E3649" t="s">
        <v>16331</v>
      </c>
      <c r="F3649" s="126"/>
      <c r="G3649" s="7">
        <v>0</v>
      </c>
      <c r="H3649" s="7">
        <v>0</v>
      </c>
      <c r="I3649" s="7">
        <v>0</v>
      </c>
      <c r="J3649" s="7">
        <v>0</v>
      </c>
      <c r="K3649" s="3">
        <f t="shared" si="130"/>
        <v>0</v>
      </c>
      <c r="L3649" s="3"/>
      <c r="M3649" s="3">
        <f t="shared" si="131"/>
        <v>0</v>
      </c>
      <c r="O3649" s="5"/>
      <c r="S3649" s="6"/>
    </row>
    <row r="3650" spans="1:19" customFormat="1" x14ac:dyDescent="0.45">
      <c r="A3650">
        <v>652114</v>
      </c>
      <c r="B3650" t="s">
        <v>23179</v>
      </c>
      <c r="C3650" t="s">
        <v>23180</v>
      </c>
      <c r="D3650">
        <v>5</v>
      </c>
      <c r="F3650" s="126"/>
      <c r="G3650" s="3">
        <v>0</v>
      </c>
      <c r="H3650" s="3">
        <v>0</v>
      </c>
      <c r="I3650" s="3">
        <v>0</v>
      </c>
      <c r="J3650" s="3">
        <v>0</v>
      </c>
      <c r="K3650" s="3">
        <f t="shared" si="130"/>
        <v>0</v>
      </c>
      <c r="L3650" s="3"/>
      <c r="M3650" s="3">
        <f t="shared" si="131"/>
        <v>0</v>
      </c>
      <c r="O3650" s="5"/>
      <c r="S3650" s="6"/>
    </row>
    <row r="3651" spans="1:19" customFormat="1" x14ac:dyDescent="0.45">
      <c r="A3651">
        <v>652403</v>
      </c>
      <c r="B3651" t="s">
        <v>23181</v>
      </c>
      <c r="C3651" t="s">
        <v>23182</v>
      </c>
      <c r="D3651">
        <v>2</v>
      </c>
      <c r="F3651" s="126"/>
      <c r="G3651" s="7">
        <v>0</v>
      </c>
      <c r="H3651" s="7">
        <v>0</v>
      </c>
      <c r="I3651" s="7">
        <v>0</v>
      </c>
      <c r="J3651" s="7">
        <v>0</v>
      </c>
      <c r="K3651" s="3">
        <f t="shared" si="130"/>
        <v>0</v>
      </c>
      <c r="L3651" s="3"/>
      <c r="M3651" s="3">
        <f t="shared" si="131"/>
        <v>0</v>
      </c>
      <c r="N3651" s="7"/>
      <c r="O3651" s="5"/>
      <c r="S3651" s="6"/>
    </row>
    <row r="3652" spans="1:19" customFormat="1" x14ac:dyDescent="0.45">
      <c r="A3652">
        <v>652714</v>
      </c>
      <c r="B3652" t="s">
        <v>23183</v>
      </c>
      <c r="C3652" t="s">
        <v>16331</v>
      </c>
      <c r="D3652">
        <v>1</v>
      </c>
      <c r="E3652" t="s">
        <v>16331</v>
      </c>
      <c r="F3652" s="126"/>
      <c r="G3652" s="7">
        <v>0</v>
      </c>
      <c r="H3652" s="7">
        <v>0</v>
      </c>
      <c r="I3652" s="7">
        <v>0</v>
      </c>
      <c r="J3652" s="7">
        <v>0</v>
      </c>
      <c r="K3652" s="3">
        <f t="shared" si="130"/>
        <v>0</v>
      </c>
      <c r="L3652" s="3"/>
      <c r="M3652" s="3">
        <f t="shared" si="131"/>
        <v>0</v>
      </c>
      <c r="O3652" s="5"/>
      <c r="S3652" s="6"/>
    </row>
    <row r="3653" spans="1:19" customFormat="1" x14ac:dyDescent="0.45">
      <c r="A3653">
        <v>652945</v>
      </c>
      <c r="B3653" t="s">
        <v>23184</v>
      </c>
      <c r="C3653" t="s">
        <v>23185</v>
      </c>
      <c r="D3653">
        <v>0</v>
      </c>
      <c r="E3653" t="s">
        <v>16334</v>
      </c>
      <c r="F3653" s="126"/>
      <c r="G3653" s="7">
        <v>0</v>
      </c>
      <c r="H3653" s="7">
        <v>0</v>
      </c>
      <c r="I3653" s="7">
        <v>0</v>
      </c>
      <c r="J3653" s="7">
        <v>0</v>
      </c>
      <c r="K3653" s="3">
        <f t="shared" si="130"/>
        <v>0</v>
      </c>
      <c r="L3653" s="3"/>
      <c r="M3653" s="3">
        <f t="shared" si="131"/>
        <v>0</v>
      </c>
      <c r="O3653" s="5"/>
      <c r="S3653" s="6"/>
    </row>
    <row r="3654" spans="1:19" customFormat="1" x14ac:dyDescent="0.45">
      <c r="A3654">
        <v>652972</v>
      </c>
      <c r="B3654" t="s">
        <v>23186</v>
      </c>
      <c r="C3654" t="s">
        <v>23187</v>
      </c>
      <c r="D3654">
        <v>24</v>
      </c>
      <c r="F3654" s="126"/>
      <c r="G3654" s="7">
        <v>0</v>
      </c>
      <c r="H3654" s="7">
        <v>0</v>
      </c>
      <c r="I3654" s="7">
        <v>0</v>
      </c>
      <c r="J3654" s="7">
        <v>0</v>
      </c>
      <c r="K3654" s="3">
        <f t="shared" si="130"/>
        <v>0</v>
      </c>
      <c r="L3654" s="3"/>
      <c r="M3654" s="3">
        <f t="shared" si="131"/>
        <v>0</v>
      </c>
      <c r="N3654" s="7"/>
      <c r="O3654" s="5"/>
      <c r="S3654" s="6"/>
    </row>
    <row r="3655" spans="1:19" customFormat="1" x14ac:dyDescent="0.45">
      <c r="A3655">
        <v>652973</v>
      </c>
      <c r="B3655" t="s">
        <v>23188</v>
      </c>
      <c r="C3655" t="s">
        <v>23189</v>
      </c>
      <c r="D3655">
        <v>0</v>
      </c>
      <c r="E3655" t="s">
        <v>16334</v>
      </c>
      <c r="F3655" s="126"/>
      <c r="G3655" s="3">
        <v>0</v>
      </c>
      <c r="H3655" s="3">
        <v>0</v>
      </c>
      <c r="I3655" s="3">
        <v>0</v>
      </c>
      <c r="J3655" s="3">
        <v>0</v>
      </c>
      <c r="K3655" s="3">
        <f t="shared" si="130"/>
        <v>0</v>
      </c>
      <c r="L3655" s="3"/>
      <c r="M3655" s="3">
        <f t="shared" si="131"/>
        <v>0</v>
      </c>
      <c r="O3655" s="5"/>
      <c r="S3655" s="6"/>
    </row>
    <row r="3656" spans="1:19" customFormat="1" x14ac:dyDescent="0.45">
      <c r="A3656">
        <v>653015</v>
      </c>
      <c r="B3656" t="s">
        <v>23190</v>
      </c>
      <c r="C3656" t="s">
        <v>23191</v>
      </c>
      <c r="D3656">
        <v>0</v>
      </c>
      <c r="E3656" t="s">
        <v>16561</v>
      </c>
      <c r="F3656" s="126"/>
      <c r="G3656" s="3">
        <v>0</v>
      </c>
      <c r="H3656" s="3">
        <v>0</v>
      </c>
      <c r="I3656" s="3">
        <v>0</v>
      </c>
      <c r="J3656" s="3">
        <v>0</v>
      </c>
      <c r="K3656" s="3">
        <f t="shared" si="130"/>
        <v>0</v>
      </c>
      <c r="L3656" s="3"/>
      <c r="M3656" s="3">
        <f t="shared" si="131"/>
        <v>0</v>
      </c>
      <c r="O3656" s="5"/>
      <c r="S3656" s="6"/>
    </row>
    <row r="3657" spans="1:19" customFormat="1" x14ac:dyDescent="0.45">
      <c r="A3657">
        <v>653046</v>
      </c>
      <c r="B3657" t="s">
        <v>23192</v>
      </c>
      <c r="C3657" t="s">
        <v>23193</v>
      </c>
      <c r="D3657">
        <v>1</v>
      </c>
      <c r="F3657" s="126"/>
      <c r="G3657" s="3">
        <v>0</v>
      </c>
      <c r="H3657" s="3">
        <v>0</v>
      </c>
      <c r="I3657" s="3">
        <v>0</v>
      </c>
      <c r="J3657" s="3">
        <v>0</v>
      </c>
      <c r="K3657" s="3">
        <f t="shared" si="130"/>
        <v>0</v>
      </c>
      <c r="L3657" s="3"/>
      <c r="M3657" s="3">
        <f t="shared" si="131"/>
        <v>0</v>
      </c>
      <c r="O3657" s="5"/>
      <c r="S3657" s="6"/>
    </row>
    <row r="3658" spans="1:19" customFormat="1" x14ac:dyDescent="0.45">
      <c r="A3658">
        <v>653101</v>
      </c>
      <c r="B3658" t="s">
        <v>23194</v>
      </c>
      <c r="C3658" t="s">
        <v>23195</v>
      </c>
      <c r="D3658">
        <v>2</v>
      </c>
      <c r="F3658" s="126"/>
      <c r="G3658" s="3">
        <v>0</v>
      </c>
      <c r="H3658" s="3">
        <v>0</v>
      </c>
      <c r="I3658" s="3">
        <v>0</v>
      </c>
      <c r="J3658" s="3">
        <v>0</v>
      </c>
      <c r="K3658" s="3">
        <f t="shared" si="130"/>
        <v>0</v>
      </c>
      <c r="L3658" s="3"/>
      <c r="M3658" s="3">
        <f t="shared" si="131"/>
        <v>0</v>
      </c>
      <c r="O3658" s="5"/>
      <c r="S3658" s="6"/>
    </row>
    <row r="3659" spans="1:19" customFormat="1" x14ac:dyDescent="0.45">
      <c r="A3659">
        <v>653541</v>
      </c>
      <c r="B3659" t="s">
        <v>23196</v>
      </c>
      <c r="C3659" t="s">
        <v>23197</v>
      </c>
      <c r="D3659">
        <v>6</v>
      </c>
      <c r="F3659" s="126"/>
      <c r="G3659" s="7">
        <v>0</v>
      </c>
      <c r="H3659" s="7">
        <v>0</v>
      </c>
      <c r="I3659" s="7">
        <v>0</v>
      </c>
      <c r="J3659" s="7">
        <v>0</v>
      </c>
      <c r="K3659" s="3">
        <f t="shared" si="130"/>
        <v>0</v>
      </c>
      <c r="L3659" s="3"/>
      <c r="M3659" s="3">
        <f t="shared" si="131"/>
        <v>0</v>
      </c>
      <c r="N3659" s="7"/>
      <c r="O3659" s="5"/>
      <c r="S3659" s="6"/>
    </row>
    <row r="3660" spans="1:19" customFormat="1" x14ac:dyDescent="0.45">
      <c r="A3660">
        <v>654335</v>
      </c>
      <c r="B3660" t="s">
        <v>23198</v>
      </c>
      <c r="C3660" t="s">
        <v>23199</v>
      </c>
      <c r="D3660">
        <v>1</v>
      </c>
      <c r="F3660" s="126"/>
      <c r="G3660" s="3">
        <v>0</v>
      </c>
      <c r="H3660" s="3">
        <v>0</v>
      </c>
      <c r="I3660" s="3">
        <v>0</v>
      </c>
      <c r="J3660" s="3">
        <v>0</v>
      </c>
      <c r="K3660" s="3">
        <f t="shared" si="130"/>
        <v>0</v>
      </c>
      <c r="L3660" s="3"/>
      <c r="M3660" s="3">
        <f t="shared" si="131"/>
        <v>0</v>
      </c>
      <c r="O3660" s="5"/>
      <c r="S3660" s="6"/>
    </row>
    <row r="3661" spans="1:19" customFormat="1" x14ac:dyDescent="0.45">
      <c r="A3661">
        <v>654458</v>
      </c>
      <c r="B3661" t="s">
        <v>23200</v>
      </c>
      <c r="C3661" s="2" t="s">
        <v>23201</v>
      </c>
      <c r="D3661">
        <v>5</v>
      </c>
      <c r="F3661" s="126"/>
      <c r="G3661" s="3">
        <v>0</v>
      </c>
      <c r="H3661" s="3">
        <v>0</v>
      </c>
      <c r="I3661" s="3">
        <v>0</v>
      </c>
      <c r="J3661" s="3">
        <v>0</v>
      </c>
      <c r="K3661" s="3">
        <f t="shared" si="130"/>
        <v>0</v>
      </c>
      <c r="L3661" s="3"/>
      <c r="M3661" s="3">
        <f t="shared" si="131"/>
        <v>0</v>
      </c>
      <c r="O3661" s="5"/>
      <c r="S3661" s="6"/>
    </row>
    <row r="3662" spans="1:19" customFormat="1" x14ac:dyDescent="0.45">
      <c r="A3662">
        <v>654530</v>
      </c>
      <c r="B3662" t="s">
        <v>23202</v>
      </c>
      <c r="C3662" t="s">
        <v>23203</v>
      </c>
      <c r="D3662">
        <v>1</v>
      </c>
      <c r="F3662" s="126"/>
      <c r="G3662" s="3">
        <v>0</v>
      </c>
      <c r="H3662" s="3">
        <v>0</v>
      </c>
      <c r="I3662" s="3">
        <v>0</v>
      </c>
      <c r="J3662" s="3">
        <v>0</v>
      </c>
      <c r="K3662" s="3">
        <f t="shared" si="130"/>
        <v>0</v>
      </c>
      <c r="L3662" s="3"/>
      <c r="M3662" s="3">
        <f t="shared" si="131"/>
        <v>0</v>
      </c>
      <c r="O3662" s="5"/>
      <c r="S3662" s="6"/>
    </row>
    <row r="3663" spans="1:19" customFormat="1" x14ac:dyDescent="0.45">
      <c r="A3663">
        <v>654689</v>
      </c>
      <c r="B3663" t="s">
        <v>23204</v>
      </c>
      <c r="C3663" t="s">
        <v>23205</v>
      </c>
      <c r="D3663">
        <v>2</v>
      </c>
      <c r="F3663" s="126"/>
      <c r="G3663" s="3">
        <v>0</v>
      </c>
      <c r="H3663" s="3">
        <v>0</v>
      </c>
      <c r="I3663" s="3">
        <v>0</v>
      </c>
      <c r="J3663" s="3">
        <v>0</v>
      </c>
      <c r="K3663" s="3">
        <f t="shared" si="130"/>
        <v>0</v>
      </c>
      <c r="L3663" s="3"/>
      <c r="M3663" s="3">
        <f t="shared" si="131"/>
        <v>0</v>
      </c>
      <c r="O3663" s="5"/>
      <c r="S3663" s="6"/>
    </row>
    <row r="3664" spans="1:19" customFormat="1" x14ac:dyDescent="0.45">
      <c r="A3664">
        <v>654779</v>
      </c>
      <c r="B3664" t="s">
        <v>23206</v>
      </c>
      <c r="C3664" t="s">
        <v>16331</v>
      </c>
      <c r="D3664">
        <v>1</v>
      </c>
      <c r="E3664" t="s">
        <v>16331</v>
      </c>
      <c r="F3664" s="126"/>
      <c r="G3664" s="7">
        <v>0</v>
      </c>
      <c r="H3664" s="7">
        <v>0</v>
      </c>
      <c r="I3664" s="7">
        <v>0</v>
      </c>
      <c r="J3664" s="7">
        <v>0</v>
      </c>
      <c r="K3664" s="3">
        <f t="shared" si="130"/>
        <v>0</v>
      </c>
      <c r="L3664" s="3"/>
      <c r="M3664" s="3">
        <f t="shared" si="131"/>
        <v>0</v>
      </c>
      <c r="O3664" s="5"/>
      <c r="S3664" s="6"/>
    </row>
    <row r="3665" spans="1:19" customFormat="1" x14ac:dyDescent="0.45">
      <c r="A3665">
        <v>655999</v>
      </c>
      <c r="B3665" t="s">
        <v>23207</v>
      </c>
      <c r="C3665" t="s">
        <v>23208</v>
      </c>
      <c r="D3665">
        <v>1</v>
      </c>
      <c r="F3665" s="126"/>
      <c r="K3665" s="3">
        <f t="shared" si="130"/>
        <v>0</v>
      </c>
      <c r="L3665" s="3"/>
      <c r="M3665" s="3">
        <f t="shared" si="131"/>
        <v>0</v>
      </c>
      <c r="O3665" s="5"/>
      <c r="S3665" s="6"/>
    </row>
    <row r="3666" spans="1:19" customFormat="1" x14ac:dyDescent="0.45">
      <c r="A3666">
        <v>656022</v>
      </c>
      <c r="B3666" t="s">
        <v>23209</v>
      </c>
      <c r="C3666" t="s">
        <v>23210</v>
      </c>
      <c r="D3666">
        <v>2</v>
      </c>
      <c r="F3666" s="126"/>
      <c r="G3666" s="3">
        <v>0</v>
      </c>
      <c r="H3666" s="3">
        <v>0</v>
      </c>
      <c r="I3666" s="3">
        <v>0</v>
      </c>
      <c r="J3666" s="3">
        <v>0</v>
      </c>
      <c r="K3666" s="3">
        <f t="shared" si="130"/>
        <v>0</v>
      </c>
      <c r="L3666" s="3"/>
      <c r="M3666" s="3">
        <f t="shared" si="131"/>
        <v>0</v>
      </c>
      <c r="O3666" s="5"/>
      <c r="S3666" s="6"/>
    </row>
    <row r="3667" spans="1:19" customFormat="1" x14ac:dyDescent="0.45">
      <c r="A3667">
        <v>656426</v>
      </c>
      <c r="B3667" t="s">
        <v>23211</v>
      </c>
      <c r="C3667" t="s">
        <v>23212</v>
      </c>
      <c r="D3667">
        <v>2</v>
      </c>
      <c r="F3667" s="126"/>
      <c r="G3667" s="7">
        <v>0</v>
      </c>
      <c r="H3667" s="7">
        <v>0</v>
      </c>
      <c r="I3667" s="7">
        <v>0</v>
      </c>
      <c r="J3667" s="7">
        <v>0</v>
      </c>
      <c r="K3667" s="3">
        <f t="shared" si="130"/>
        <v>0</v>
      </c>
      <c r="L3667" s="3"/>
      <c r="M3667" s="3">
        <f t="shared" si="131"/>
        <v>0</v>
      </c>
      <c r="O3667" s="5"/>
      <c r="S3667" s="6"/>
    </row>
    <row r="3668" spans="1:19" customFormat="1" x14ac:dyDescent="0.45">
      <c r="A3668">
        <v>656882</v>
      </c>
      <c r="B3668" t="s">
        <v>23213</v>
      </c>
      <c r="C3668" t="s">
        <v>23214</v>
      </c>
      <c r="D3668">
        <v>2</v>
      </c>
      <c r="F3668" s="126"/>
      <c r="G3668" s="7">
        <v>0</v>
      </c>
      <c r="H3668" s="7">
        <v>0</v>
      </c>
      <c r="I3668" s="7">
        <v>0</v>
      </c>
      <c r="J3668" s="7">
        <v>0</v>
      </c>
      <c r="K3668" s="3">
        <f t="shared" si="130"/>
        <v>0</v>
      </c>
      <c r="L3668" s="3"/>
      <c r="M3668" s="3">
        <f t="shared" si="131"/>
        <v>0</v>
      </c>
      <c r="O3668" s="5"/>
      <c r="S3668" s="6"/>
    </row>
    <row r="3669" spans="1:19" customFormat="1" x14ac:dyDescent="0.45">
      <c r="A3669">
        <v>657071</v>
      </c>
      <c r="B3669" t="s">
        <v>23215</v>
      </c>
      <c r="C3669" t="s">
        <v>16331</v>
      </c>
      <c r="D3669">
        <v>1</v>
      </c>
      <c r="E3669" t="s">
        <v>16331</v>
      </c>
      <c r="F3669" s="126"/>
      <c r="K3669" s="3">
        <f t="shared" si="130"/>
        <v>0</v>
      </c>
      <c r="L3669" s="3"/>
      <c r="M3669" s="3">
        <f t="shared" si="131"/>
        <v>0</v>
      </c>
      <c r="O3669" s="5"/>
      <c r="S3669" s="6"/>
    </row>
    <row r="3670" spans="1:19" customFormat="1" x14ac:dyDescent="0.45">
      <c r="A3670">
        <v>657395</v>
      </c>
      <c r="B3670" t="s">
        <v>23216</v>
      </c>
      <c r="C3670" t="s">
        <v>23217</v>
      </c>
      <c r="D3670">
        <v>2</v>
      </c>
      <c r="F3670" s="126"/>
      <c r="G3670" s="7">
        <v>0</v>
      </c>
      <c r="H3670" s="7">
        <v>0</v>
      </c>
      <c r="I3670" s="7">
        <v>0</v>
      </c>
      <c r="J3670" s="7">
        <v>0</v>
      </c>
      <c r="K3670" s="3">
        <f t="shared" si="130"/>
        <v>0</v>
      </c>
      <c r="L3670" s="3"/>
      <c r="M3670" s="3">
        <f t="shared" si="131"/>
        <v>0</v>
      </c>
      <c r="N3670" s="7"/>
      <c r="O3670" s="5"/>
      <c r="S3670" s="6"/>
    </row>
    <row r="3671" spans="1:19" customFormat="1" x14ac:dyDescent="0.45">
      <c r="A3671">
        <v>657538</v>
      </c>
      <c r="B3671" t="s">
        <v>23218</v>
      </c>
      <c r="C3671" t="s">
        <v>23219</v>
      </c>
      <c r="D3671">
        <v>1</v>
      </c>
      <c r="F3671" s="126"/>
      <c r="G3671" s="3"/>
      <c r="H3671" s="3"/>
      <c r="I3671" s="3"/>
      <c r="J3671" s="3"/>
      <c r="K3671" s="3">
        <f t="shared" si="130"/>
        <v>0</v>
      </c>
      <c r="L3671" s="3"/>
      <c r="M3671" s="3">
        <f t="shared" si="131"/>
        <v>0</v>
      </c>
      <c r="O3671" s="5"/>
      <c r="S3671" s="6"/>
    </row>
    <row r="3672" spans="1:19" customFormat="1" x14ac:dyDescent="0.45">
      <c r="A3672">
        <v>657947</v>
      </c>
      <c r="B3672" t="s">
        <v>23220</v>
      </c>
      <c r="C3672" t="s">
        <v>23221</v>
      </c>
      <c r="D3672">
        <v>5</v>
      </c>
      <c r="F3672" s="126"/>
      <c r="G3672" s="3">
        <v>0</v>
      </c>
      <c r="H3672" s="3">
        <v>0</v>
      </c>
      <c r="I3672" s="3">
        <v>0</v>
      </c>
      <c r="J3672" s="3">
        <v>0</v>
      </c>
      <c r="K3672" s="3">
        <f t="shared" si="130"/>
        <v>0</v>
      </c>
      <c r="L3672" s="3"/>
      <c r="M3672" s="3">
        <f t="shared" si="131"/>
        <v>0</v>
      </c>
      <c r="O3672" s="5"/>
      <c r="S3672" s="6"/>
    </row>
    <row r="3673" spans="1:19" customFormat="1" x14ac:dyDescent="0.45">
      <c r="A3673">
        <v>658107</v>
      </c>
      <c r="B3673" t="s">
        <v>23222</v>
      </c>
      <c r="C3673" t="s">
        <v>23223</v>
      </c>
      <c r="D3673">
        <v>1</v>
      </c>
      <c r="F3673" s="126"/>
      <c r="G3673" s="3">
        <v>0</v>
      </c>
      <c r="H3673" s="3">
        <v>0</v>
      </c>
      <c r="I3673" s="3">
        <v>0</v>
      </c>
      <c r="J3673" s="3">
        <v>0</v>
      </c>
      <c r="K3673" s="3">
        <f t="shared" si="130"/>
        <v>0</v>
      </c>
      <c r="L3673" s="3"/>
      <c r="M3673" s="3">
        <f t="shared" si="131"/>
        <v>0</v>
      </c>
      <c r="O3673" s="5"/>
      <c r="S3673" s="6"/>
    </row>
    <row r="3674" spans="1:19" customFormat="1" x14ac:dyDescent="0.45">
      <c r="A3674">
        <v>658163</v>
      </c>
      <c r="B3674" t="s">
        <v>23224</v>
      </c>
      <c r="C3674" t="s">
        <v>16331</v>
      </c>
      <c r="D3674">
        <v>1</v>
      </c>
      <c r="E3674" t="s">
        <v>16331</v>
      </c>
      <c r="F3674" s="126"/>
      <c r="G3674" s="7">
        <v>0</v>
      </c>
      <c r="H3674" s="7">
        <v>0</v>
      </c>
      <c r="I3674" s="7">
        <v>0</v>
      </c>
      <c r="J3674" s="7">
        <v>0</v>
      </c>
      <c r="K3674" s="3">
        <f t="shared" si="130"/>
        <v>0</v>
      </c>
      <c r="L3674" s="3"/>
      <c r="M3674" s="3">
        <f t="shared" si="131"/>
        <v>0</v>
      </c>
      <c r="O3674" s="5"/>
      <c r="S3674" s="6"/>
    </row>
    <row r="3675" spans="1:19" customFormat="1" x14ac:dyDescent="0.45">
      <c r="A3675">
        <v>659600</v>
      </c>
      <c r="B3675" t="s">
        <v>23225</v>
      </c>
      <c r="C3675" t="s">
        <v>23226</v>
      </c>
      <c r="D3675">
        <v>4</v>
      </c>
      <c r="F3675" s="126"/>
      <c r="G3675" s="7">
        <v>0</v>
      </c>
      <c r="H3675" s="7">
        <v>0</v>
      </c>
      <c r="I3675" s="7">
        <v>0</v>
      </c>
      <c r="J3675" s="7">
        <v>0</v>
      </c>
      <c r="K3675" s="3">
        <f t="shared" si="130"/>
        <v>0</v>
      </c>
      <c r="L3675" s="3"/>
      <c r="M3675" s="3">
        <f t="shared" si="131"/>
        <v>0</v>
      </c>
      <c r="N3675" s="7"/>
      <c r="O3675" s="5"/>
      <c r="S3675" s="6"/>
    </row>
    <row r="3676" spans="1:19" customFormat="1" x14ac:dyDescent="0.45">
      <c r="A3676">
        <v>659833</v>
      </c>
      <c r="B3676" t="s">
        <v>23227</v>
      </c>
      <c r="C3676" t="s">
        <v>16331</v>
      </c>
      <c r="D3676">
        <v>4</v>
      </c>
      <c r="E3676" t="s">
        <v>16331</v>
      </c>
      <c r="F3676" s="126"/>
      <c r="G3676" s="7">
        <v>0</v>
      </c>
      <c r="H3676" s="7">
        <v>0</v>
      </c>
      <c r="I3676" s="7">
        <v>0</v>
      </c>
      <c r="J3676" s="7">
        <v>0</v>
      </c>
      <c r="K3676" s="3">
        <f t="shared" si="130"/>
        <v>0</v>
      </c>
      <c r="L3676" s="3"/>
      <c r="M3676" s="3">
        <f t="shared" si="131"/>
        <v>0</v>
      </c>
      <c r="O3676" s="5"/>
      <c r="S3676" s="6"/>
    </row>
    <row r="3677" spans="1:19" customFormat="1" x14ac:dyDescent="0.45">
      <c r="A3677">
        <v>660094</v>
      </c>
      <c r="B3677" t="s">
        <v>23228</v>
      </c>
      <c r="C3677" t="s">
        <v>23229</v>
      </c>
      <c r="D3677">
        <v>5</v>
      </c>
      <c r="F3677" s="126"/>
      <c r="G3677" s="3">
        <v>0</v>
      </c>
      <c r="H3677" s="3">
        <v>0</v>
      </c>
      <c r="I3677" s="3">
        <v>0</v>
      </c>
      <c r="J3677" s="3">
        <v>0</v>
      </c>
      <c r="K3677" s="3">
        <f t="shared" si="130"/>
        <v>0</v>
      </c>
      <c r="L3677" s="3"/>
      <c r="M3677" s="3">
        <f t="shared" si="131"/>
        <v>0</v>
      </c>
      <c r="O3677" s="5"/>
      <c r="S3677" s="6"/>
    </row>
    <row r="3678" spans="1:19" customFormat="1" x14ac:dyDescent="0.45">
      <c r="A3678">
        <v>660389</v>
      </c>
      <c r="B3678" t="s">
        <v>23230</v>
      </c>
      <c r="C3678" t="s">
        <v>23231</v>
      </c>
      <c r="D3678">
        <v>9</v>
      </c>
      <c r="F3678" s="126"/>
      <c r="K3678" s="3">
        <f t="shared" si="130"/>
        <v>0</v>
      </c>
      <c r="L3678" s="3"/>
      <c r="M3678" s="3">
        <f t="shared" si="131"/>
        <v>0</v>
      </c>
      <c r="O3678" s="5"/>
      <c r="S3678" s="6"/>
    </row>
    <row r="3679" spans="1:19" customFormat="1" x14ac:dyDescent="0.45">
      <c r="A3679">
        <v>660573</v>
      </c>
      <c r="B3679" t="s">
        <v>23232</v>
      </c>
      <c r="C3679" t="s">
        <v>23233</v>
      </c>
      <c r="D3679">
        <v>5</v>
      </c>
      <c r="F3679" s="126"/>
      <c r="G3679" s="3">
        <v>0</v>
      </c>
      <c r="H3679" s="3">
        <v>0</v>
      </c>
      <c r="I3679" s="3">
        <v>0</v>
      </c>
      <c r="J3679" s="3">
        <v>0</v>
      </c>
      <c r="K3679" s="3">
        <f t="shared" si="130"/>
        <v>0</v>
      </c>
      <c r="L3679" s="3"/>
      <c r="M3679" s="3">
        <f t="shared" si="131"/>
        <v>0</v>
      </c>
      <c r="O3679" s="5"/>
      <c r="S3679" s="6"/>
    </row>
    <row r="3680" spans="1:19" customFormat="1" x14ac:dyDescent="0.45">
      <c r="A3680">
        <v>660574</v>
      </c>
      <c r="B3680" t="s">
        <v>23234</v>
      </c>
      <c r="C3680" t="s">
        <v>23235</v>
      </c>
      <c r="D3680">
        <v>3</v>
      </c>
      <c r="F3680" s="126"/>
      <c r="G3680" s="3"/>
      <c r="H3680" s="3"/>
      <c r="I3680" s="3"/>
      <c r="J3680" s="3"/>
      <c r="K3680" s="3">
        <f t="shared" si="130"/>
        <v>0</v>
      </c>
      <c r="L3680" s="3"/>
      <c r="M3680" s="3">
        <f t="shared" si="131"/>
        <v>0</v>
      </c>
      <c r="O3680" s="5"/>
      <c r="S3680" s="6"/>
    </row>
    <row r="3681" spans="1:22" customFormat="1" x14ac:dyDescent="0.45">
      <c r="A3681">
        <v>660915</v>
      </c>
      <c r="B3681" t="s">
        <v>23236</v>
      </c>
      <c r="C3681" t="s">
        <v>23237</v>
      </c>
      <c r="D3681">
        <v>15</v>
      </c>
      <c r="F3681" s="126"/>
      <c r="G3681" s="7">
        <v>0</v>
      </c>
      <c r="H3681" s="7">
        <v>0</v>
      </c>
      <c r="I3681" s="7">
        <v>0</v>
      </c>
      <c r="J3681" s="7">
        <v>0</v>
      </c>
      <c r="K3681" s="3">
        <f t="shared" si="130"/>
        <v>0</v>
      </c>
      <c r="L3681" s="3"/>
      <c r="M3681" s="3">
        <f t="shared" si="131"/>
        <v>0</v>
      </c>
      <c r="N3681" s="7"/>
      <c r="O3681" s="5"/>
      <c r="S3681" s="6"/>
    </row>
    <row r="3682" spans="1:22" customFormat="1" x14ac:dyDescent="0.45">
      <c r="A3682">
        <v>663026</v>
      </c>
      <c r="B3682" t="s">
        <v>23238</v>
      </c>
      <c r="C3682" t="s">
        <v>23239</v>
      </c>
      <c r="D3682">
        <v>1</v>
      </c>
      <c r="F3682" s="126"/>
      <c r="G3682" s="7">
        <v>0</v>
      </c>
      <c r="H3682" s="7">
        <v>0</v>
      </c>
      <c r="I3682" s="7">
        <v>0</v>
      </c>
      <c r="J3682" s="7">
        <v>0</v>
      </c>
      <c r="K3682" s="3">
        <f t="shared" ref="K3682:K3693" si="132">SUM(G3682:J3682)</f>
        <v>0</v>
      </c>
      <c r="L3682" s="3"/>
      <c r="M3682" s="3">
        <f t="shared" ref="M3682:M3693" si="133">K3682+F3682</f>
        <v>0</v>
      </c>
      <c r="O3682" s="5"/>
      <c r="S3682" s="6"/>
    </row>
    <row r="3683" spans="1:22" customFormat="1" x14ac:dyDescent="0.45">
      <c r="A3683">
        <v>663048</v>
      </c>
      <c r="B3683" t="s">
        <v>23240</v>
      </c>
      <c r="C3683" t="s">
        <v>16331</v>
      </c>
      <c r="D3683">
        <v>1</v>
      </c>
      <c r="E3683" t="s">
        <v>16331</v>
      </c>
      <c r="F3683" s="126"/>
      <c r="G3683" s="7">
        <v>0</v>
      </c>
      <c r="H3683" s="7">
        <v>0</v>
      </c>
      <c r="I3683" s="7">
        <v>0</v>
      </c>
      <c r="J3683" s="7">
        <v>0</v>
      </c>
      <c r="K3683" s="3">
        <f t="shared" si="132"/>
        <v>0</v>
      </c>
      <c r="L3683" s="3"/>
      <c r="M3683" s="3">
        <f t="shared" si="133"/>
        <v>0</v>
      </c>
      <c r="O3683" s="5"/>
      <c r="S3683" s="6"/>
    </row>
    <row r="3684" spans="1:22" customFormat="1" x14ac:dyDescent="0.45">
      <c r="A3684">
        <v>663159</v>
      </c>
      <c r="B3684" t="s">
        <v>23241</v>
      </c>
      <c r="C3684" t="s">
        <v>16331</v>
      </c>
      <c r="D3684">
        <v>1</v>
      </c>
      <c r="E3684" t="s">
        <v>16331</v>
      </c>
      <c r="F3684" s="126"/>
      <c r="G3684" s="7">
        <v>0</v>
      </c>
      <c r="H3684" s="7">
        <v>0</v>
      </c>
      <c r="I3684" s="7">
        <v>0</v>
      </c>
      <c r="J3684" s="7">
        <v>0</v>
      </c>
      <c r="K3684" s="3">
        <f t="shared" si="132"/>
        <v>0</v>
      </c>
      <c r="L3684" s="3"/>
      <c r="M3684" s="3">
        <f t="shared" si="133"/>
        <v>0</v>
      </c>
      <c r="O3684" s="5"/>
      <c r="S3684" s="6"/>
    </row>
    <row r="3685" spans="1:22" customFormat="1" x14ac:dyDescent="0.45">
      <c r="A3685">
        <v>663308</v>
      </c>
      <c r="B3685" t="s">
        <v>23242</v>
      </c>
      <c r="C3685" t="s">
        <v>23243</v>
      </c>
      <c r="D3685">
        <v>2</v>
      </c>
      <c r="F3685" s="126"/>
      <c r="G3685" s="3">
        <v>0</v>
      </c>
      <c r="H3685" s="3">
        <v>0</v>
      </c>
      <c r="I3685" s="3">
        <v>0</v>
      </c>
      <c r="J3685" s="3">
        <v>0</v>
      </c>
      <c r="K3685" s="3">
        <f t="shared" si="132"/>
        <v>0</v>
      </c>
      <c r="L3685" s="3"/>
      <c r="M3685" s="3">
        <f t="shared" si="133"/>
        <v>0</v>
      </c>
      <c r="O3685" s="5"/>
      <c r="S3685" s="6"/>
    </row>
    <row r="3686" spans="1:22" customFormat="1" x14ac:dyDescent="0.45">
      <c r="A3686">
        <v>664876</v>
      </c>
      <c r="B3686" t="s">
        <v>23244</v>
      </c>
      <c r="C3686" t="s">
        <v>23245</v>
      </c>
      <c r="D3686">
        <v>1</v>
      </c>
      <c r="F3686" s="126"/>
      <c r="G3686" s="3">
        <v>0</v>
      </c>
      <c r="H3686" s="3">
        <v>0</v>
      </c>
      <c r="I3686" s="3">
        <v>0</v>
      </c>
      <c r="J3686" s="3">
        <v>0</v>
      </c>
      <c r="K3686" s="3">
        <f t="shared" si="132"/>
        <v>0</v>
      </c>
      <c r="L3686" s="3"/>
      <c r="M3686" s="3">
        <f t="shared" si="133"/>
        <v>0</v>
      </c>
      <c r="O3686" s="5"/>
      <c r="S3686" s="6"/>
    </row>
    <row r="3687" spans="1:22" customFormat="1" x14ac:dyDescent="0.45">
      <c r="A3687">
        <v>664926</v>
      </c>
      <c r="B3687" t="s">
        <v>23246</v>
      </c>
      <c r="C3687" t="s">
        <v>23247</v>
      </c>
      <c r="D3687">
        <v>4</v>
      </c>
      <c r="F3687" s="126"/>
      <c r="G3687" s="3">
        <v>0</v>
      </c>
      <c r="H3687" s="3">
        <v>0</v>
      </c>
      <c r="I3687" s="3">
        <v>0</v>
      </c>
      <c r="J3687" s="3">
        <v>0</v>
      </c>
      <c r="K3687" s="3">
        <f t="shared" si="132"/>
        <v>0</v>
      </c>
      <c r="L3687" s="3"/>
      <c r="M3687" s="3">
        <f t="shared" si="133"/>
        <v>0</v>
      </c>
      <c r="O3687" s="5"/>
      <c r="S3687" s="6"/>
    </row>
    <row r="3688" spans="1:22" customFormat="1" x14ac:dyDescent="0.45">
      <c r="A3688">
        <v>665653</v>
      </c>
      <c r="B3688" t="s">
        <v>23248</v>
      </c>
      <c r="C3688" t="s">
        <v>23249</v>
      </c>
      <c r="D3688">
        <v>100</v>
      </c>
      <c r="E3688" t="s">
        <v>16417</v>
      </c>
      <c r="F3688" s="126"/>
      <c r="G3688" s="3">
        <v>0</v>
      </c>
      <c r="H3688" s="3">
        <v>0</v>
      </c>
      <c r="I3688" s="3">
        <v>0</v>
      </c>
      <c r="J3688" s="3">
        <v>0</v>
      </c>
      <c r="K3688" s="3">
        <f t="shared" si="132"/>
        <v>0</v>
      </c>
      <c r="L3688" s="3"/>
      <c r="M3688" s="3">
        <f t="shared" si="133"/>
        <v>0</v>
      </c>
      <c r="O3688" s="5"/>
      <c r="S3688" s="6"/>
    </row>
    <row r="3689" spans="1:22" customFormat="1" x14ac:dyDescent="0.45">
      <c r="A3689">
        <v>666823</v>
      </c>
      <c r="B3689" t="s">
        <v>23250</v>
      </c>
      <c r="C3689" t="s">
        <v>16331</v>
      </c>
      <c r="D3689">
        <v>1</v>
      </c>
      <c r="E3689" t="s">
        <v>16331</v>
      </c>
      <c r="F3689" s="126"/>
      <c r="G3689" s="7">
        <v>0</v>
      </c>
      <c r="H3689" s="7">
        <v>0</v>
      </c>
      <c r="I3689" s="7">
        <v>0</v>
      </c>
      <c r="J3689" s="7">
        <v>0</v>
      </c>
      <c r="K3689" s="3">
        <f t="shared" si="132"/>
        <v>0</v>
      </c>
      <c r="L3689" s="3"/>
      <c r="M3689" s="3">
        <f t="shared" si="133"/>
        <v>0</v>
      </c>
      <c r="O3689" s="5"/>
      <c r="S3689" s="6"/>
    </row>
    <row r="3690" spans="1:22" customFormat="1" x14ac:dyDescent="0.45">
      <c r="A3690">
        <v>666873</v>
      </c>
      <c r="B3690" t="s">
        <v>23251</v>
      </c>
      <c r="C3690" t="s">
        <v>23252</v>
      </c>
      <c r="D3690">
        <v>1</v>
      </c>
      <c r="F3690" s="126"/>
      <c r="G3690" s="7">
        <v>0</v>
      </c>
      <c r="H3690" s="7">
        <v>0</v>
      </c>
      <c r="I3690" s="7">
        <v>0</v>
      </c>
      <c r="J3690" s="7">
        <v>0</v>
      </c>
      <c r="K3690" s="3">
        <f t="shared" si="132"/>
        <v>0</v>
      </c>
      <c r="L3690" s="3"/>
      <c r="M3690" s="3">
        <f t="shared" si="133"/>
        <v>0</v>
      </c>
      <c r="O3690" s="5"/>
      <c r="S3690" s="6"/>
    </row>
    <row r="3691" spans="1:22" x14ac:dyDescent="0.45">
      <c r="A3691" s="124">
        <v>922494</v>
      </c>
      <c r="B3691" s="124" t="s">
        <v>23253</v>
      </c>
      <c r="C3691" s="124" t="s">
        <v>23254</v>
      </c>
      <c r="D3691" s="124">
        <v>1</v>
      </c>
      <c r="E3691" s="124" t="s">
        <v>16334</v>
      </c>
      <c r="F3691" s="126">
        <v>1.6999999999999999E-3</v>
      </c>
      <c r="G3691" s="126">
        <v>0.01</v>
      </c>
      <c r="H3691" s="126">
        <v>9.4000000000000004E-3</v>
      </c>
      <c r="I3691" s="127"/>
      <c r="J3691" s="127"/>
      <c r="K3691" s="126">
        <f t="shared" si="132"/>
        <v>1.9400000000000001E-2</v>
      </c>
      <c r="L3691" s="3"/>
      <c r="M3691" s="126">
        <f t="shared" si="133"/>
        <v>2.1100000000000001E-2</v>
      </c>
      <c r="O3691" s="125" t="s">
        <v>23255</v>
      </c>
      <c r="P3691" s="128" t="s">
        <v>26918</v>
      </c>
      <c r="Q3691" s="130">
        <f>S3691+45742</f>
        <v>125904</v>
      </c>
      <c r="R3691" s="124" t="s">
        <v>16348</v>
      </c>
      <c r="S3691" s="132">
        <v>80162</v>
      </c>
      <c r="T3691" s="129">
        <f>S3691/Q3691</f>
        <v>0.63669144745202699</v>
      </c>
      <c r="V3691" s="125" t="s">
        <v>23256</v>
      </c>
    </row>
    <row r="3692" spans="1:22" customFormat="1" x14ac:dyDescent="0.45">
      <c r="A3692">
        <v>667696</v>
      </c>
      <c r="B3692" t="s">
        <v>23257</v>
      </c>
      <c r="C3692" t="s">
        <v>23258</v>
      </c>
      <c r="D3692">
        <v>2</v>
      </c>
      <c r="F3692" s="126"/>
      <c r="G3692" s="3">
        <v>0</v>
      </c>
      <c r="H3692" s="3">
        <v>0</v>
      </c>
      <c r="I3692" s="3">
        <v>0</v>
      </c>
      <c r="J3692" s="3">
        <v>0</v>
      </c>
      <c r="K3692" s="3">
        <f t="shared" si="132"/>
        <v>0</v>
      </c>
      <c r="L3692" s="3"/>
      <c r="M3692" s="3">
        <f t="shared" si="133"/>
        <v>0</v>
      </c>
      <c r="O3692" s="5"/>
      <c r="S3692" s="6"/>
    </row>
    <row r="3693" spans="1:22" customFormat="1" x14ac:dyDescent="0.45">
      <c r="A3693">
        <v>668210</v>
      </c>
      <c r="B3693" t="s">
        <v>23259</v>
      </c>
      <c r="C3693" t="s">
        <v>23260</v>
      </c>
      <c r="D3693">
        <v>1</v>
      </c>
      <c r="F3693" s="126"/>
      <c r="G3693" s="3">
        <v>0</v>
      </c>
      <c r="H3693" s="3">
        <v>0</v>
      </c>
      <c r="I3693" s="3">
        <v>0</v>
      </c>
      <c r="J3693" s="3">
        <v>0</v>
      </c>
      <c r="K3693" s="3">
        <f t="shared" si="132"/>
        <v>0</v>
      </c>
      <c r="L3693" s="3"/>
      <c r="M3693" s="3">
        <f t="shared" si="133"/>
        <v>0</v>
      </c>
      <c r="O3693" s="5"/>
      <c r="S3693" s="6"/>
    </row>
    <row r="3694" spans="1:22" customFormat="1" x14ac:dyDescent="0.45">
      <c r="A3694">
        <v>668243</v>
      </c>
      <c r="B3694" t="s">
        <v>23261</v>
      </c>
      <c r="C3694" t="s">
        <v>23262</v>
      </c>
      <c r="D3694">
        <v>2</v>
      </c>
      <c r="E3694" t="s">
        <v>16561</v>
      </c>
      <c r="F3694" s="126"/>
      <c r="G3694" s="3"/>
      <c r="H3694" s="3"/>
      <c r="I3694" s="4"/>
      <c r="J3694" s="4"/>
      <c r="K3694" s="3"/>
      <c r="L3694" s="3"/>
      <c r="M3694" s="3"/>
      <c r="N3694" t="s">
        <v>23263</v>
      </c>
      <c r="O3694" s="5"/>
      <c r="S3694" s="6"/>
    </row>
    <row r="3695" spans="1:22" customFormat="1" x14ac:dyDescent="0.45">
      <c r="A3695">
        <v>668701</v>
      </c>
      <c r="B3695" t="s">
        <v>23264</v>
      </c>
      <c r="C3695" t="s">
        <v>23265</v>
      </c>
      <c r="D3695">
        <v>2</v>
      </c>
      <c r="F3695" s="126"/>
      <c r="G3695" s="3">
        <v>0</v>
      </c>
      <c r="H3695" s="3">
        <v>0</v>
      </c>
      <c r="I3695" s="3">
        <v>0</v>
      </c>
      <c r="J3695" s="3">
        <v>0</v>
      </c>
      <c r="K3695" s="3">
        <f t="shared" ref="K3695:K3706" si="134">SUM(G3695:J3695)</f>
        <v>0</v>
      </c>
      <c r="L3695" s="3"/>
      <c r="M3695" s="3">
        <f t="shared" ref="M3695:M3758" si="135">K3695+F3695</f>
        <v>0</v>
      </c>
      <c r="O3695" s="5"/>
      <c r="S3695" s="6"/>
    </row>
    <row r="3696" spans="1:22" customFormat="1" x14ac:dyDescent="0.45">
      <c r="A3696">
        <v>668704</v>
      </c>
      <c r="B3696" t="s">
        <v>23266</v>
      </c>
      <c r="C3696" s="2" t="s">
        <v>23267</v>
      </c>
      <c r="D3696">
        <v>3</v>
      </c>
      <c r="F3696" s="126"/>
      <c r="G3696" s="3">
        <v>0</v>
      </c>
      <c r="H3696" s="3">
        <v>0</v>
      </c>
      <c r="I3696" s="3">
        <v>0</v>
      </c>
      <c r="J3696" s="3">
        <v>0</v>
      </c>
      <c r="K3696" s="3">
        <f t="shared" si="134"/>
        <v>0</v>
      </c>
      <c r="L3696" s="3"/>
      <c r="M3696" s="3">
        <f t="shared" si="135"/>
        <v>0</v>
      </c>
      <c r="O3696" s="5"/>
      <c r="S3696" s="6"/>
    </row>
    <row r="3697" spans="1:22" customFormat="1" x14ac:dyDescent="0.45">
      <c r="A3697">
        <v>668764</v>
      </c>
      <c r="B3697" t="s">
        <v>23268</v>
      </c>
      <c r="C3697" t="s">
        <v>23269</v>
      </c>
      <c r="D3697">
        <v>4</v>
      </c>
      <c r="F3697" s="126"/>
      <c r="G3697" s="3">
        <v>0</v>
      </c>
      <c r="H3697" s="3">
        <v>0</v>
      </c>
      <c r="I3697" s="3">
        <v>0</v>
      </c>
      <c r="J3697" s="3">
        <v>0</v>
      </c>
      <c r="K3697" s="3">
        <f t="shared" si="134"/>
        <v>0</v>
      </c>
      <c r="L3697" s="3"/>
      <c r="M3697" s="3">
        <f t="shared" si="135"/>
        <v>0</v>
      </c>
      <c r="O3697" s="5"/>
      <c r="S3697" s="6"/>
    </row>
    <row r="3698" spans="1:22" customFormat="1" x14ac:dyDescent="0.45">
      <c r="A3698">
        <v>669243</v>
      </c>
      <c r="B3698" t="s">
        <v>23270</v>
      </c>
      <c r="C3698" t="s">
        <v>18359</v>
      </c>
      <c r="D3698">
        <v>3</v>
      </c>
      <c r="F3698" s="126"/>
      <c r="G3698" s="3">
        <v>0</v>
      </c>
      <c r="H3698" s="3">
        <v>0</v>
      </c>
      <c r="I3698" s="3">
        <v>0</v>
      </c>
      <c r="J3698" s="3">
        <v>0</v>
      </c>
      <c r="K3698" s="3">
        <f t="shared" si="134"/>
        <v>0</v>
      </c>
      <c r="L3698" s="3"/>
      <c r="M3698" s="3">
        <f t="shared" si="135"/>
        <v>0</v>
      </c>
      <c r="O3698" s="5"/>
      <c r="S3698" s="6"/>
    </row>
    <row r="3699" spans="1:22" customFormat="1" x14ac:dyDescent="0.45">
      <c r="A3699">
        <v>669491</v>
      </c>
      <c r="B3699" t="s">
        <v>23271</v>
      </c>
      <c r="C3699" t="s">
        <v>23272</v>
      </c>
      <c r="D3699">
        <v>1</v>
      </c>
      <c r="F3699" s="126"/>
      <c r="G3699" s="7">
        <v>0</v>
      </c>
      <c r="H3699" s="7">
        <v>0</v>
      </c>
      <c r="I3699" s="7">
        <v>0</v>
      </c>
      <c r="J3699" s="7">
        <v>0</v>
      </c>
      <c r="K3699" s="3">
        <f t="shared" si="134"/>
        <v>0</v>
      </c>
      <c r="L3699" s="3"/>
      <c r="M3699" s="3">
        <f t="shared" si="135"/>
        <v>0</v>
      </c>
      <c r="O3699" s="5"/>
      <c r="S3699" s="6"/>
    </row>
    <row r="3700" spans="1:22" customFormat="1" x14ac:dyDescent="0.45">
      <c r="A3700">
        <v>669544</v>
      </c>
      <c r="B3700" t="s">
        <v>23273</v>
      </c>
      <c r="C3700" t="s">
        <v>23274</v>
      </c>
      <c r="D3700">
        <v>1</v>
      </c>
      <c r="F3700" s="126"/>
      <c r="G3700" s="3">
        <v>0</v>
      </c>
      <c r="H3700" s="3">
        <v>0</v>
      </c>
      <c r="I3700" s="3">
        <v>0</v>
      </c>
      <c r="J3700" s="3">
        <v>0</v>
      </c>
      <c r="K3700" s="3">
        <f t="shared" si="134"/>
        <v>0</v>
      </c>
      <c r="L3700" s="3"/>
      <c r="M3700" s="3">
        <f t="shared" si="135"/>
        <v>0</v>
      </c>
      <c r="O3700" s="5"/>
      <c r="S3700" s="6"/>
    </row>
    <row r="3701" spans="1:22" customFormat="1" x14ac:dyDescent="0.45">
      <c r="A3701">
        <v>669563</v>
      </c>
      <c r="B3701" t="s">
        <v>23275</v>
      </c>
      <c r="C3701" t="s">
        <v>23276</v>
      </c>
      <c r="D3701">
        <v>6</v>
      </c>
      <c r="F3701" s="126"/>
      <c r="G3701" s="3">
        <v>0</v>
      </c>
      <c r="H3701" s="3">
        <v>0</v>
      </c>
      <c r="I3701" s="3">
        <v>0</v>
      </c>
      <c r="J3701" s="3">
        <v>0</v>
      </c>
      <c r="K3701" s="3">
        <f t="shared" si="134"/>
        <v>0</v>
      </c>
      <c r="L3701" s="3"/>
      <c r="M3701" s="3">
        <f t="shared" si="135"/>
        <v>0</v>
      </c>
      <c r="O3701" s="5"/>
      <c r="S3701" s="6"/>
    </row>
    <row r="3702" spans="1:22" customFormat="1" x14ac:dyDescent="0.45">
      <c r="A3702">
        <v>669729</v>
      </c>
      <c r="B3702" t="s">
        <v>23277</v>
      </c>
      <c r="C3702" t="s">
        <v>23278</v>
      </c>
      <c r="D3702">
        <v>11</v>
      </c>
      <c r="F3702" s="126"/>
      <c r="G3702" s="3">
        <v>0</v>
      </c>
      <c r="H3702" s="3">
        <v>0</v>
      </c>
      <c r="I3702" s="3">
        <v>0</v>
      </c>
      <c r="J3702" s="3">
        <v>0</v>
      </c>
      <c r="K3702" s="3">
        <f t="shared" si="134"/>
        <v>0</v>
      </c>
      <c r="L3702" s="3"/>
      <c r="M3702" s="3">
        <f t="shared" si="135"/>
        <v>0</v>
      </c>
      <c r="O3702" s="5"/>
      <c r="S3702" s="6"/>
    </row>
    <row r="3703" spans="1:22" customFormat="1" x14ac:dyDescent="0.45">
      <c r="A3703">
        <v>670054</v>
      </c>
      <c r="B3703" t="s">
        <v>23279</v>
      </c>
      <c r="C3703" t="s">
        <v>16331</v>
      </c>
      <c r="D3703">
        <v>1</v>
      </c>
      <c r="E3703" t="s">
        <v>16331</v>
      </c>
      <c r="F3703" s="126"/>
      <c r="G3703" s="7">
        <v>0</v>
      </c>
      <c r="H3703" s="7">
        <v>0</v>
      </c>
      <c r="I3703" s="7">
        <v>0</v>
      </c>
      <c r="J3703" s="7">
        <v>0</v>
      </c>
      <c r="K3703" s="3">
        <f t="shared" si="134"/>
        <v>0</v>
      </c>
      <c r="L3703" s="3"/>
      <c r="M3703" s="3">
        <f t="shared" si="135"/>
        <v>0</v>
      </c>
      <c r="O3703" s="5"/>
      <c r="S3703" s="6"/>
    </row>
    <row r="3704" spans="1:22" customFormat="1" x14ac:dyDescent="0.45">
      <c r="A3704">
        <v>670062</v>
      </c>
      <c r="B3704" t="s">
        <v>23280</v>
      </c>
      <c r="C3704" t="s">
        <v>23281</v>
      </c>
      <c r="D3704">
        <v>1</v>
      </c>
      <c r="F3704" s="126"/>
      <c r="G3704" s="7">
        <v>0</v>
      </c>
      <c r="H3704" s="7">
        <v>0</v>
      </c>
      <c r="I3704" s="7">
        <v>0</v>
      </c>
      <c r="J3704" s="7">
        <v>0</v>
      </c>
      <c r="K3704" s="3">
        <f t="shared" si="134"/>
        <v>0</v>
      </c>
      <c r="L3704" s="3"/>
      <c r="M3704" s="3">
        <f t="shared" si="135"/>
        <v>0</v>
      </c>
      <c r="O3704" s="5"/>
      <c r="S3704" s="6"/>
    </row>
    <row r="3705" spans="1:22" customFormat="1" x14ac:dyDescent="0.45">
      <c r="A3705">
        <v>670081</v>
      </c>
      <c r="B3705" t="s">
        <v>23282</v>
      </c>
      <c r="C3705" t="s">
        <v>23283</v>
      </c>
      <c r="D3705">
        <v>3</v>
      </c>
      <c r="F3705" s="126"/>
      <c r="G3705" s="7">
        <v>0</v>
      </c>
      <c r="H3705" s="7">
        <v>0</v>
      </c>
      <c r="I3705" s="7">
        <v>0</v>
      </c>
      <c r="J3705" s="7">
        <v>0</v>
      </c>
      <c r="K3705" s="3">
        <f t="shared" si="134"/>
        <v>0</v>
      </c>
      <c r="L3705" s="3"/>
      <c r="M3705" s="3">
        <f t="shared" si="135"/>
        <v>0</v>
      </c>
      <c r="N3705" s="7"/>
      <c r="O3705" s="5"/>
      <c r="S3705" s="6"/>
    </row>
    <row r="3706" spans="1:22" customFormat="1" x14ac:dyDescent="0.45">
      <c r="A3706">
        <v>670184</v>
      </c>
      <c r="B3706" t="s">
        <v>23284</v>
      </c>
      <c r="C3706" t="s">
        <v>23285</v>
      </c>
      <c r="D3706">
        <v>4</v>
      </c>
      <c r="F3706" s="126"/>
      <c r="G3706" s="3"/>
      <c r="H3706" s="3"/>
      <c r="I3706" s="3"/>
      <c r="J3706" s="3"/>
      <c r="K3706" s="3">
        <f t="shared" si="134"/>
        <v>0</v>
      </c>
      <c r="L3706" s="3"/>
      <c r="M3706" s="3">
        <f t="shared" si="135"/>
        <v>0</v>
      </c>
      <c r="O3706" s="5"/>
      <c r="S3706" s="6"/>
    </row>
    <row r="3707" spans="1:22" x14ac:dyDescent="0.45">
      <c r="A3707" s="124">
        <v>505539</v>
      </c>
      <c r="B3707" s="124" t="s">
        <v>23286</v>
      </c>
      <c r="C3707" s="125" t="s">
        <v>16689</v>
      </c>
      <c r="D3707" s="125">
        <v>13</v>
      </c>
      <c r="E3707" s="124" t="s">
        <v>16334</v>
      </c>
      <c r="F3707" s="126">
        <v>1.6999999999999999E-3</v>
      </c>
      <c r="G3707" s="126">
        <v>0</v>
      </c>
      <c r="H3707" s="126">
        <v>0</v>
      </c>
      <c r="I3707" s="126">
        <v>0</v>
      </c>
      <c r="J3707" s="126">
        <v>0</v>
      </c>
      <c r="K3707" s="126">
        <v>0.02</v>
      </c>
      <c r="L3707" s="3"/>
      <c r="M3707" s="126">
        <f t="shared" si="135"/>
        <v>2.1700000000000001E-2</v>
      </c>
      <c r="N3707" s="126" t="s">
        <v>23287</v>
      </c>
      <c r="O3707" s="131" t="s">
        <v>23288</v>
      </c>
      <c r="P3707" s="128" t="s">
        <v>26918</v>
      </c>
      <c r="Q3707" s="132">
        <v>41108</v>
      </c>
      <c r="R3707" s="124" t="s">
        <v>16348</v>
      </c>
      <c r="S3707" s="132">
        <v>40713</v>
      </c>
      <c r="T3707" s="129">
        <f>S3707/Q3707</f>
        <v>0.9903911647367909</v>
      </c>
      <c r="V3707" s="125" t="s">
        <v>23289</v>
      </c>
    </row>
    <row r="3708" spans="1:22" customFormat="1" x14ac:dyDescent="0.45">
      <c r="A3708">
        <v>670373</v>
      </c>
      <c r="B3708" t="s">
        <v>23290</v>
      </c>
      <c r="C3708" t="s">
        <v>23291</v>
      </c>
      <c r="D3708">
        <v>5</v>
      </c>
      <c r="F3708" s="126"/>
      <c r="G3708" s="3">
        <v>0</v>
      </c>
      <c r="H3708" s="3">
        <v>0</v>
      </c>
      <c r="I3708" s="3">
        <v>0</v>
      </c>
      <c r="J3708" s="3">
        <v>0</v>
      </c>
      <c r="K3708" s="3">
        <f t="shared" ref="K3708:K3771" si="136">SUM(G3708:J3708)</f>
        <v>0</v>
      </c>
      <c r="L3708" s="3"/>
      <c r="M3708" s="3">
        <f t="shared" si="135"/>
        <v>0</v>
      </c>
      <c r="O3708" s="5"/>
      <c r="S3708" s="6"/>
    </row>
    <row r="3709" spans="1:22" customFormat="1" x14ac:dyDescent="0.45">
      <c r="A3709">
        <v>670374</v>
      </c>
      <c r="B3709" t="s">
        <v>23292</v>
      </c>
      <c r="C3709" t="s">
        <v>23293</v>
      </c>
      <c r="D3709">
        <v>0</v>
      </c>
      <c r="E3709" t="s">
        <v>16334</v>
      </c>
      <c r="F3709" s="126"/>
      <c r="G3709" s="7">
        <v>0</v>
      </c>
      <c r="H3709" s="7">
        <v>0</v>
      </c>
      <c r="I3709" s="7">
        <v>0</v>
      </c>
      <c r="J3709" s="7">
        <v>0</v>
      </c>
      <c r="K3709" s="3">
        <f t="shared" si="136"/>
        <v>0</v>
      </c>
      <c r="L3709" s="3"/>
      <c r="M3709" s="3">
        <f t="shared" si="135"/>
        <v>0</v>
      </c>
      <c r="N3709" s="7"/>
      <c r="O3709" s="5"/>
      <c r="S3709" s="6"/>
    </row>
    <row r="3710" spans="1:22" customFormat="1" x14ac:dyDescent="0.45">
      <c r="A3710">
        <v>670493</v>
      </c>
      <c r="B3710" t="s">
        <v>23294</v>
      </c>
      <c r="C3710" t="s">
        <v>23295</v>
      </c>
      <c r="D3710">
        <v>6</v>
      </c>
      <c r="F3710" s="126"/>
      <c r="G3710" s="3">
        <v>0</v>
      </c>
      <c r="H3710" s="3">
        <v>0</v>
      </c>
      <c r="I3710" s="3">
        <v>0</v>
      </c>
      <c r="J3710" s="3">
        <v>0</v>
      </c>
      <c r="K3710" s="3">
        <f t="shared" si="136"/>
        <v>0</v>
      </c>
      <c r="L3710" s="3"/>
      <c r="M3710" s="3">
        <f t="shared" si="135"/>
        <v>0</v>
      </c>
      <c r="O3710" s="5"/>
      <c r="S3710" s="6"/>
    </row>
    <row r="3711" spans="1:22" customFormat="1" x14ac:dyDescent="0.45">
      <c r="A3711">
        <v>670685</v>
      </c>
      <c r="B3711" t="s">
        <v>23296</v>
      </c>
      <c r="C3711" t="s">
        <v>23297</v>
      </c>
      <c r="D3711">
        <v>0</v>
      </c>
      <c r="E3711" t="s">
        <v>16561</v>
      </c>
      <c r="F3711" s="126"/>
      <c r="G3711" s="7">
        <v>0</v>
      </c>
      <c r="H3711" s="7">
        <v>0</v>
      </c>
      <c r="I3711" s="7">
        <v>0</v>
      </c>
      <c r="J3711" s="7">
        <v>0</v>
      </c>
      <c r="K3711" s="3">
        <f t="shared" si="136"/>
        <v>0</v>
      </c>
      <c r="L3711" s="3"/>
      <c r="M3711" s="3">
        <f t="shared" si="135"/>
        <v>0</v>
      </c>
      <c r="N3711" s="7"/>
      <c r="O3711" s="5"/>
      <c r="S3711" s="6"/>
    </row>
    <row r="3712" spans="1:22" customFormat="1" x14ac:dyDescent="0.45">
      <c r="A3712">
        <v>670687</v>
      </c>
      <c r="B3712" t="s">
        <v>23298</v>
      </c>
      <c r="C3712" t="s">
        <v>23299</v>
      </c>
      <c r="D3712">
        <v>1</v>
      </c>
      <c r="F3712" s="126"/>
      <c r="G3712" s="3">
        <v>0</v>
      </c>
      <c r="H3712" s="3">
        <v>0</v>
      </c>
      <c r="I3712" s="3">
        <v>0</v>
      </c>
      <c r="J3712" s="3">
        <v>0</v>
      </c>
      <c r="K3712" s="3">
        <f t="shared" si="136"/>
        <v>0</v>
      </c>
      <c r="L3712" s="3"/>
      <c r="M3712" s="3">
        <f t="shared" si="135"/>
        <v>0</v>
      </c>
      <c r="O3712" s="5"/>
      <c r="S3712" s="6"/>
    </row>
    <row r="3713" spans="1:19" customFormat="1" x14ac:dyDescent="0.45">
      <c r="A3713">
        <v>670689</v>
      </c>
      <c r="B3713" t="s">
        <v>23300</v>
      </c>
      <c r="C3713" t="s">
        <v>23301</v>
      </c>
      <c r="D3713">
        <v>3</v>
      </c>
      <c r="F3713" s="126"/>
      <c r="G3713" s="3">
        <v>0</v>
      </c>
      <c r="H3713" s="3">
        <v>0</v>
      </c>
      <c r="I3713" s="3">
        <v>0</v>
      </c>
      <c r="J3713" s="3">
        <v>0</v>
      </c>
      <c r="K3713" s="3">
        <f t="shared" si="136"/>
        <v>0</v>
      </c>
      <c r="L3713" s="3"/>
      <c r="M3713" s="3">
        <f t="shared" si="135"/>
        <v>0</v>
      </c>
      <c r="O3713" s="5"/>
      <c r="S3713" s="6"/>
    </row>
    <row r="3714" spans="1:19" customFormat="1" x14ac:dyDescent="0.45">
      <c r="A3714">
        <v>670813</v>
      </c>
      <c r="B3714" t="s">
        <v>23302</v>
      </c>
      <c r="C3714" t="s">
        <v>23303</v>
      </c>
      <c r="D3714">
        <v>1</v>
      </c>
      <c r="F3714" s="126"/>
      <c r="G3714" s="3">
        <v>0</v>
      </c>
      <c r="H3714" s="3">
        <v>0</v>
      </c>
      <c r="I3714" s="3">
        <v>0</v>
      </c>
      <c r="J3714" s="3">
        <v>0</v>
      </c>
      <c r="K3714" s="3">
        <f t="shared" si="136"/>
        <v>0</v>
      </c>
      <c r="L3714" s="3"/>
      <c r="M3714" s="3">
        <f t="shared" si="135"/>
        <v>0</v>
      </c>
      <c r="O3714" s="5"/>
      <c r="S3714" s="6"/>
    </row>
    <row r="3715" spans="1:19" customFormat="1" x14ac:dyDescent="0.45">
      <c r="A3715">
        <v>671108</v>
      </c>
      <c r="B3715" t="s">
        <v>23304</v>
      </c>
      <c r="C3715" t="s">
        <v>23305</v>
      </c>
      <c r="D3715">
        <v>1</v>
      </c>
      <c r="F3715" s="126"/>
      <c r="G3715" s="7">
        <v>0</v>
      </c>
      <c r="H3715" s="7">
        <v>0</v>
      </c>
      <c r="I3715" s="7">
        <v>0</v>
      </c>
      <c r="J3715" s="7">
        <v>0</v>
      </c>
      <c r="K3715" s="3">
        <f t="shared" si="136"/>
        <v>0</v>
      </c>
      <c r="L3715" s="3"/>
      <c r="M3715" s="3">
        <f t="shared" si="135"/>
        <v>0</v>
      </c>
      <c r="N3715" s="7"/>
      <c r="O3715" s="5"/>
      <c r="S3715" s="6"/>
    </row>
    <row r="3716" spans="1:19" customFormat="1" x14ac:dyDescent="0.45">
      <c r="A3716">
        <v>671153</v>
      </c>
      <c r="B3716" t="s">
        <v>23306</v>
      </c>
      <c r="C3716" t="s">
        <v>23307</v>
      </c>
      <c r="D3716">
        <v>1</v>
      </c>
      <c r="F3716" s="126"/>
      <c r="G3716" s="7">
        <v>0</v>
      </c>
      <c r="H3716" s="7">
        <v>0</v>
      </c>
      <c r="I3716" s="7">
        <v>0</v>
      </c>
      <c r="J3716" s="7">
        <v>0</v>
      </c>
      <c r="K3716" s="3">
        <f t="shared" si="136"/>
        <v>0</v>
      </c>
      <c r="L3716" s="3"/>
      <c r="M3716" s="3">
        <f t="shared" si="135"/>
        <v>0</v>
      </c>
      <c r="O3716" s="5"/>
      <c r="S3716" s="6"/>
    </row>
    <row r="3717" spans="1:19" customFormat="1" x14ac:dyDescent="0.45">
      <c r="A3717">
        <v>671347</v>
      </c>
      <c r="B3717" t="s">
        <v>23308</v>
      </c>
      <c r="C3717" t="s">
        <v>16331</v>
      </c>
      <c r="D3717">
        <v>3</v>
      </c>
      <c r="E3717" t="s">
        <v>16331</v>
      </c>
      <c r="F3717" s="126"/>
      <c r="G3717" s="7">
        <v>0</v>
      </c>
      <c r="H3717" s="7">
        <v>0</v>
      </c>
      <c r="I3717" s="7">
        <v>0</v>
      </c>
      <c r="J3717" s="7">
        <v>0</v>
      </c>
      <c r="K3717" s="3">
        <f t="shared" si="136"/>
        <v>0</v>
      </c>
      <c r="L3717" s="3"/>
      <c r="M3717" s="3">
        <f t="shared" si="135"/>
        <v>0</v>
      </c>
      <c r="O3717" s="5"/>
      <c r="S3717" s="6"/>
    </row>
    <row r="3718" spans="1:19" customFormat="1" x14ac:dyDescent="0.45">
      <c r="A3718">
        <v>671369</v>
      </c>
      <c r="B3718" t="s">
        <v>23309</v>
      </c>
      <c r="C3718" t="s">
        <v>23310</v>
      </c>
      <c r="D3718">
        <v>1</v>
      </c>
      <c r="F3718" s="126"/>
      <c r="G3718" s="3">
        <v>0</v>
      </c>
      <c r="H3718" s="3">
        <v>0</v>
      </c>
      <c r="I3718" s="3">
        <v>0</v>
      </c>
      <c r="J3718" s="3">
        <v>0</v>
      </c>
      <c r="K3718" s="3">
        <f t="shared" si="136"/>
        <v>0</v>
      </c>
      <c r="L3718" s="3"/>
      <c r="M3718" s="3">
        <f t="shared" si="135"/>
        <v>0</v>
      </c>
      <c r="O3718" s="5"/>
      <c r="S3718" s="6"/>
    </row>
    <row r="3719" spans="1:19" customFormat="1" x14ac:dyDescent="0.45">
      <c r="A3719">
        <v>671389</v>
      </c>
      <c r="B3719" t="s">
        <v>23311</v>
      </c>
      <c r="C3719" t="s">
        <v>23312</v>
      </c>
      <c r="D3719">
        <v>1</v>
      </c>
      <c r="F3719" s="126"/>
      <c r="G3719" s="3">
        <v>0</v>
      </c>
      <c r="H3719" s="3">
        <v>0</v>
      </c>
      <c r="I3719" s="3">
        <v>0</v>
      </c>
      <c r="J3719" s="3">
        <v>0</v>
      </c>
      <c r="K3719" s="3">
        <f t="shared" si="136"/>
        <v>0</v>
      </c>
      <c r="L3719" s="3"/>
      <c r="M3719" s="3">
        <f t="shared" si="135"/>
        <v>0</v>
      </c>
      <c r="O3719" s="5"/>
      <c r="S3719" s="6"/>
    </row>
    <row r="3720" spans="1:19" customFormat="1" x14ac:dyDescent="0.45">
      <c r="A3720">
        <v>671493</v>
      </c>
      <c r="B3720" t="s">
        <v>23313</v>
      </c>
      <c r="C3720" t="s">
        <v>23314</v>
      </c>
      <c r="D3720">
        <v>1</v>
      </c>
      <c r="F3720" s="126"/>
      <c r="G3720" s="3">
        <v>0</v>
      </c>
      <c r="H3720" s="3">
        <v>0</v>
      </c>
      <c r="I3720" s="3">
        <v>0</v>
      </c>
      <c r="J3720" s="3">
        <v>0</v>
      </c>
      <c r="K3720" s="3">
        <f t="shared" si="136"/>
        <v>0</v>
      </c>
      <c r="L3720" s="3"/>
      <c r="M3720" s="3">
        <f t="shared" si="135"/>
        <v>0</v>
      </c>
      <c r="O3720" s="5"/>
      <c r="S3720" s="6"/>
    </row>
    <row r="3721" spans="1:19" customFormat="1" x14ac:dyDescent="0.45">
      <c r="A3721">
        <v>671513</v>
      </c>
      <c r="B3721" t="s">
        <v>23315</v>
      </c>
      <c r="C3721" t="s">
        <v>23316</v>
      </c>
      <c r="D3721">
        <v>1</v>
      </c>
      <c r="F3721" s="126"/>
      <c r="G3721" s="7">
        <v>0</v>
      </c>
      <c r="H3721" s="7">
        <v>0</v>
      </c>
      <c r="I3721" s="7">
        <v>0</v>
      </c>
      <c r="J3721" s="7">
        <v>0</v>
      </c>
      <c r="K3721" s="3">
        <f t="shared" si="136"/>
        <v>0</v>
      </c>
      <c r="L3721" s="3"/>
      <c r="M3721" s="3">
        <f t="shared" si="135"/>
        <v>0</v>
      </c>
      <c r="O3721" s="5"/>
      <c r="S3721" s="6"/>
    </row>
    <row r="3722" spans="1:19" customFormat="1" x14ac:dyDescent="0.45">
      <c r="A3722">
        <v>671527</v>
      </c>
      <c r="B3722" t="s">
        <v>23317</v>
      </c>
      <c r="C3722" t="s">
        <v>23318</v>
      </c>
      <c r="D3722">
        <v>4</v>
      </c>
      <c r="F3722" s="126"/>
      <c r="G3722" s="7">
        <v>0</v>
      </c>
      <c r="H3722" s="7">
        <v>0</v>
      </c>
      <c r="I3722" s="7">
        <v>0</v>
      </c>
      <c r="J3722" s="7">
        <v>0</v>
      </c>
      <c r="K3722" s="3">
        <f t="shared" si="136"/>
        <v>0</v>
      </c>
      <c r="L3722" s="3"/>
      <c r="M3722" s="3">
        <f t="shared" si="135"/>
        <v>0</v>
      </c>
      <c r="O3722" s="5"/>
      <c r="S3722" s="6"/>
    </row>
    <row r="3723" spans="1:19" customFormat="1" x14ac:dyDescent="0.45">
      <c r="A3723">
        <v>671601</v>
      </c>
      <c r="B3723" t="s">
        <v>23319</v>
      </c>
      <c r="C3723" t="s">
        <v>16331</v>
      </c>
      <c r="D3723">
        <v>4</v>
      </c>
      <c r="E3723" t="s">
        <v>16331</v>
      </c>
      <c r="F3723" s="126"/>
      <c r="G3723" s="7">
        <v>0</v>
      </c>
      <c r="H3723" s="7">
        <v>0</v>
      </c>
      <c r="I3723" s="7">
        <v>0</v>
      </c>
      <c r="J3723" s="7">
        <v>0</v>
      </c>
      <c r="K3723" s="3">
        <f t="shared" si="136"/>
        <v>0</v>
      </c>
      <c r="L3723" s="3"/>
      <c r="M3723" s="3">
        <f t="shared" si="135"/>
        <v>0</v>
      </c>
      <c r="O3723" s="5"/>
      <c r="S3723" s="6"/>
    </row>
    <row r="3724" spans="1:19" customFormat="1" x14ac:dyDescent="0.45">
      <c r="A3724">
        <v>671726</v>
      </c>
      <c r="B3724" t="s">
        <v>23320</v>
      </c>
      <c r="C3724" t="s">
        <v>23321</v>
      </c>
      <c r="D3724">
        <v>5</v>
      </c>
      <c r="F3724" s="126"/>
      <c r="G3724" s="3">
        <v>0</v>
      </c>
      <c r="H3724" s="3">
        <v>0</v>
      </c>
      <c r="I3724" s="3">
        <v>0</v>
      </c>
      <c r="J3724" s="3">
        <v>0</v>
      </c>
      <c r="K3724" s="3">
        <f t="shared" si="136"/>
        <v>0</v>
      </c>
      <c r="L3724" s="3"/>
      <c r="M3724" s="3">
        <f t="shared" si="135"/>
        <v>0</v>
      </c>
      <c r="O3724" s="5"/>
      <c r="S3724" s="6"/>
    </row>
    <row r="3725" spans="1:19" customFormat="1" x14ac:dyDescent="0.45">
      <c r="A3725">
        <v>671841</v>
      </c>
      <c r="B3725" t="s">
        <v>23322</v>
      </c>
      <c r="C3725" t="s">
        <v>23323</v>
      </c>
      <c r="D3725">
        <v>5</v>
      </c>
      <c r="F3725" s="126"/>
      <c r="G3725" s="3">
        <v>0</v>
      </c>
      <c r="H3725" s="3">
        <v>0</v>
      </c>
      <c r="I3725" s="3">
        <v>0</v>
      </c>
      <c r="J3725" s="3">
        <v>0</v>
      </c>
      <c r="K3725" s="3">
        <f t="shared" si="136"/>
        <v>0</v>
      </c>
      <c r="L3725" s="3"/>
      <c r="M3725" s="3">
        <f t="shared" si="135"/>
        <v>0</v>
      </c>
      <c r="O3725" s="5"/>
      <c r="S3725" s="6"/>
    </row>
    <row r="3726" spans="1:19" customFormat="1" x14ac:dyDescent="0.45">
      <c r="A3726">
        <v>672022</v>
      </c>
      <c r="B3726" t="s">
        <v>23324</v>
      </c>
      <c r="C3726" t="s">
        <v>23325</v>
      </c>
      <c r="D3726">
        <v>15</v>
      </c>
      <c r="F3726" s="126"/>
      <c r="K3726" s="3">
        <f t="shared" si="136"/>
        <v>0</v>
      </c>
      <c r="L3726" s="3"/>
      <c r="M3726" s="3">
        <f t="shared" si="135"/>
        <v>0</v>
      </c>
      <c r="O3726" s="5"/>
      <c r="S3726" s="6"/>
    </row>
    <row r="3727" spans="1:19" customFormat="1" x14ac:dyDescent="0.45">
      <c r="A3727">
        <v>672212</v>
      </c>
      <c r="B3727" t="s">
        <v>23326</v>
      </c>
      <c r="C3727" t="s">
        <v>16331</v>
      </c>
      <c r="D3727">
        <v>1</v>
      </c>
      <c r="E3727" t="s">
        <v>16331</v>
      </c>
      <c r="F3727" s="126"/>
      <c r="G3727" s="7">
        <v>0</v>
      </c>
      <c r="H3727" s="7">
        <v>0</v>
      </c>
      <c r="I3727" s="7">
        <v>0</v>
      </c>
      <c r="J3727" s="7">
        <v>0</v>
      </c>
      <c r="K3727" s="3">
        <f t="shared" si="136"/>
        <v>0</v>
      </c>
      <c r="L3727" s="3"/>
      <c r="M3727" s="3">
        <f t="shared" si="135"/>
        <v>0</v>
      </c>
      <c r="O3727" s="5"/>
      <c r="S3727" s="6"/>
    </row>
    <row r="3728" spans="1:19" customFormat="1" x14ac:dyDescent="0.45">
      <c r="A3728">
        <v>672213</v>
      </c>
      <c r="B3728" t="s">
        <v>23327</v>
      </c>
      <c r="C3728" t="s">
        <v>23328</v>
      </c>
      <c r="D3728">
        <v>1</v>
      </c>
      <c r="F3728" s="126"/>
      <c r="G3728" s="7">
        <v>0</v>
      </c>
      <c r="H3728" s="7">
        <v>0</v>
      </c>
      <c r="I3728" s="7">
        <v>0</v>
      </c>
      <c r="J3728" s="7">
        <v>0</v>
      </c>
      <c r="K3728" s="3">
        <f t="shared" si="136"/>
        <v>0</v>
      </c>
      <c r="L3728" s="3"/>
      <c r="M3728" s="3">
        <f t="shared" si="135"/>
        <v>0</v>
      </c>
      <c r="O3728" s="5"/>
      <c r="S3728" s="6"/>
    </row>
    <row r="3729" spans="1:19" customFormat="1" x14ac:dyDescent="0.45">
      <c r="A3729">
        <v>672250</v>
      </c>
      <c r="B3729" t="s">
        <v>23329</v>
      </c>
      <c r="C3729" t="s">
        <v>23330</v>
      </c>
      <c r="D3729">
        <v>1</v>
      </c>
      <c r="F3729" s="126"/>
      <c r="G3729" s="3">
        <v>0</v>
      </c>
      <c r="H3729" s="3">
        <v>0</v>
      </c>
      <c r="I3729" s="3">
        <v>0</v>
      </c>
      <c r="J3729" s="3">
        <v>0</v>
      </c>
      <c r="K3729" s="3">
        <f t="shared" si="136"/>
        <v>0</v>
      </c>
      <c r="L3729" s="3"/>
      <c r="M3729" s="3">
        <f t="shared" si="135"/>
        <v>0</v>
      </c>
      <c r="O3729" s="5"/>
      <c r="S3729" s="6"/>
    </row>
    <row r="3730" spans="1:19" customFormat="1" x14ac:dyDescent="0.45">
      <c r="A3730">
        <v>672287</v>
      </c>
      <c r="B3730" t="s">
        <v>23331</v>
      </c>
      <c r="C3730" t="s">
        <v>23332</v>
      </c>
      <c r="D3730">
        <v>1</v>
      </c>
      <c r="F3730" s="126"/>
      <c r="G3730" s="3">
        <v>0</v>
      </c>
      <c r="H3730" s="3">
        <v>0</v>
      </c>
      <c r="I3730" s="3">
        <v>0</v>
      </c>
      <c r="J3730" s="3">
        <v>0</v>
      </c>
      <c r="K3730" s="3">
        <f t="shared" si="136"/>
        <v>0</v>
      </c>
      <c r="L3730" s="3"/>
      <c r="M3730" s="3">
        <f t="shared" si="135"/>
        <v>0</v>
      </c>
      <c r="O3730" s="5"/>
      <c r="S3730" s="6"/>
    </row>
    <row r="3731" spans="1:19" customFormat="1" x14ac:dyDescent="0.45">
      <c r="A3731">
        <v>672288</v>
      </c>
      <c r="B3731" t="s">
        <v>23333</v>
      </c>
      <c r="C3731" t="s">
        <v>23334</v>
      </c>
      <c r="D3731">
        <v>1</v>
      </c>
      <c r="F3731" s="126"/>
      <c r="G3731" s="3">
        <v>0</v>
      </c>
      <c r="H3731" s="3">
        <v>0</v>
      </c>
      <c r="I3731" s="3">
        <v>0</v>
      </c>
      <c r="J3731" s="3">
        <v>0</v>
      </c>
      <c r="K3731" s="3">
        <f t="shared" si="136"/>
        <v>0</v>
      </c>
      <c r="L3731" s="3"/>
      <c r="M3731" s="3">
        <f t="shared" si="135"/>
        <v>0</v>
      </c>
      <c r="O3731" s="5"/>
      <c r="S3731" s="6"/>
    </row>
    <row r="3732" spans="1:19" customFormat="1" x14ac:dyDescent="0.45">
      <c r="A3732">
        <v>672406</v>
      </c>
      <c r="B3732" t="s">
        <v>23335</v>
      </c>
      <c r="C3732" t="s">
        <v>23336</v>
      </c>
      <c r="D3732">
        <v>3</v>
      </c>
      <c r="F3732" s="126"/>
      <c r="G3732" s="3">
        <v>0</v>
      </c>
      <c r="H3732" s="3">
        <v>0</v>
      </c>
      <c r="I3732" s="3">
        <v>0</v>
      </c>
      <c r="J3732" s="3">
        <v>0</v>
      </c>
      <c r="K3732" s="3">
        <f t="shared" si="136"/>
        <v>0</v>
      </c>
      <c r="L3732" s="3"/>
      <c r="M3732" s="3">
        <f t="shared" si="135"/>
        <v>0</v>
      </c>
      <c r="O3732" s="5"/>
      <c r="S3732" s="6"/>
    </row>
    <row r="3733" spans="1:19" customFormat="1" x14ac:dyDescent="0.45">
      <c r="A3733">
        <v>672416</v>
      </c>
      <c r="B3733" t="s">
        <v>23337</v>
      </c>
      <c r="C3733" t="s">
        <v>23338</v>
      </c>
      <c r="D3733">
        <v>1</v>
      </c>
      <c r="F3733" s="126"/>
      <c r="G3733" s="7">
        <v>0</v>
      </c>
      <c r="H3733" s="7">
        <v>0</v>
      </c>
      <c r="I3733" s="7">
        <v>0</v>
      </c>
      <c r="J3733" s="7">
        <v>0</v>
      </c>
      <c r="K3733" s="3">
        <f t="shared" si="136"/>
        <v>0</v>
      </c>
      <c r="L3733" s="3"/>
      <c r="M3733" s="3">
        <f t="shared" si="135"/>
        <v>0</v>
      </c>
      <c r="O3733" s="5"/>
      <c r="S3733" s="6"/>
    </row>
    <row r="3734" spans="1:19" customFormat="1" x14ac:dyDescent="0.45">
      <c r="A3734">
        <v>672429</v>
      </c>
      <c r="B3734" t="s">
        <v>23339</v>
      </c>
      <c r="C3734" t="s">
        <v>16331</v>
      </c>
      <c r="D3734">
        <v>3</v>
      </c>
      <c r="E3734" t="s">
        <v>16331</v>
      </c>
      <c r="F3734" s="126"/>
      <c r="G3734" s="7">
        <v>0</v>
      </c>
      <c r="H3734" s="7">
        <v>0</v>
      </c>
      <c r="I3734" s="7">
        <v>0</v>
      </c>
      <c r="J3734" s="7">
        <v>0</v>
      </c>
      <c r="K3734" s="3">
        <f t="shared" si="136"/>
        <v>0</v>
      </c>
      <c r="L3734" s="3"/>
      <c r="M3734" s="3">
        <f t="shared" si="135"/>
        <v>0</v>
      </c>
      <c r="O3734" s="5"/>
      <c r="S3734" s="6"/>
    </row>
    <row r="3735" spans="1:19" customFormat="1" x14ac:dyDescent="0.45">
      <c r="A3735">
        <v>672490</v>
      </c>
      <c r="B3735" t="s">
        <v>23340</v>
      </c>
      <c r="C3735" t="s">
        <v>23341</v>
      </c>
      <c r="D3735">
        <v>2</v>
      </c>
      <c r="F3735" s="126"/>
      <c r="G3735" s="7">
        <v>0</v>
      </c>
      <c r="H3735" s="7">
        <v>0</v>
      </c>
      <c r="I3735" s="7">
        <v>0</v>
      </c>
      <c r="J3735" s="7">
        <v>0</v>
      </c>
      <c r="K3735" s="3">
        <f t="shared" si="136"/>
        <v>0</v>
      </c>
      <c r="L3735" s="3"/>
      <c r="M3735" s="3">
        <f t="shared" si="135"/>
        <v>0</v>
      </c>
      <c r="N3735" s="7"/>
      <c r="O3735" s="5"/>
      <c r="S3735" s="6"/>
    </row>
    <row r="3736" spans="1:19" customFormat="1" x14ac:dyDescent="0.45">
      <c r="A3736">
        <v>672780</v>
      </c>
      <c r="B3736" t="s">
        <v>23342</v>
      </c>
      <c r="C3736" t="s">
        <v>23343</v>
      </c>
      <c r="D3736">
        <v>2</v>
      </c>
      <c r="F3736" s="126"/>
      <c r="G3736" s="3">
        <v>0</v>
      </c>
      <c r="H3736" s="3">
        <v>0</v>
      </c>
      <c r="I3736" s="3">
        <v>0</v>
      </c>
      <c r="J3736" s="3">
        <v>0</v>
      </c>
      <c r="K3736" s="3">
        <f t="shared" si="136"/>
        <v>0</v>
      </c>
      <c r="L3736" s="3"/>
      <c r="M3736" s="3">
        <f t="shared" si="135"/>
        <v>0</v>
      </c>
      <c r="O3736" s="5"/>
      <c r="S3736" s="6"/>
    </row>
    <row r="3737" spans="1:19" customFormat="1" x14ac:dyDescent="0.45">
      <c r="A3737">
        <v>672972</v>
      </c>
      <c r="B3737" t="s">
        <v>23344</v>
      </c>
      <c r="C3737" t="s">
        <v>23345</v>
      </c>
      <c r="D3737">
        <v>3</v>
      </c>
      <c r="F3737" s="126"/>
      <c r="G3737" s="3"/>
      <c r="H3737" s="3"/>
      <c r="I3737" s="3"/>
      <c r="J3737" s="3"/>
      <c r="K3737" s="3">
        <f t="shared" si="136"/>
        <v>0</v>
      </c>
      <c r="L3737" s="3"/>
      <c r="M3737" s="3">
        <f t="shared" si="135"/>
        <v>0</v>
      </c>
      <c r="O3737" s="5"/>
      <c r="S3737" s="6"/>
    </row>
    <row r="3738" spans="1:19" customFormat="1" x14ac:dyDescent="0.45">
      <c r="A3738">
        <v>673112</v>
      </c>
      <c r="B3738" t="s">
        <v>23346</v>
      </c>
      <c r="C3738" t="s">
        <v>23347</v>
      </c>
      <c r="D3738">
        <v>1</v>
      </c>
      <c r="F3738" s="126"/>
      <c r="G3738" s="3">
        <v>0</v>
      </c>
      <c r="H3738" s="3">
        <v>0</v>
      </c>
      <c r="I3738" s="3">
        <v>0</v>
      </c>
      <c r="J3738" s="3">
        <v>0</v>
      </c>
      <c r="K3738" s="3">
        <f t="shared" si="136"/>
        <v>0</v>
      </c>
      <c r="L3738" s="3"/>
      <c r="M3738" s="3">
        <f t="shared" si="135"/>
        <v>0</v>
      </c>
      <c r="O3738" s="5"/>
      <c r="S3738" s="6"/>
    </row>
    <row r="3739" spans="1:19" customFormat="1" x14ac:dyDescent="0.45">
      <c r="A3739">
        <v>675510</v>
      </c>
      <c r="B3739" t="s">
        <v>23348</v>
      </c>
      <c r="C3739" t="s">
        <v>16331</v>
      </c>
      <c r="D3739">
        <v>1</v>
      </c>
      <c r="E3739" t="s">
        <v>16331</v>
      </c>
      <c r="F3739" s="126"/>
      <c r="G3739" s="7">
        <v>0</v>
      </c>
      <c r="H3739" s="7">
        <v>0</v>
      </c>
      <c r="I3739" s="7">
        <v>0</v>
      </c>
      <c r="J3739" s="7">
        <v>0</v>
      </c>
      <c r="K3739" s="3">
        <f t="shared" si="136"/>
        <v>0</v>
      </c>
      <c r="L3739" s="3"/>
      <c r="M3739" s="3">
        <f t="shared" si="135"/>
        <v>0</v>
      </c>
      <c r="O3739" s="5"/>
      <c r="S3739" s="6"/>
    </row>
    <row r="3740" spans="1:19" customFormat="1" x14ac:dyDescent="0.45">
      <c r="A3740">
        <v>676331</v>
      </c>
      <c r="B3740" t="s">
        <v>23349</v>
      </c>
      <c r="C3740" t="s">
        <v>16331</v>
      </c>
      <c r="D3740">
        <v>0</v>
      </c>
      <c r="E3740" t="s">
        <v>16331</v>
      </c>
      <c r="F3740" s="126"/>
      <c r="G3740" s="7">
        <v>0</v>
      </c>
      <c r="H3740" s="7">
        <v>0</v>
      </c>
      <c r="I3740" s="7">
        <v>0</v>
      </c>
      <c r="J3740" s="7">
        <v>0</v>
      </c>
      <c r="K3740" s="3">
        <f t="shared" si="136"/>
        <v>0</v>
      </c>
      <c r="L3740" s="3"/>
      <c r="M3740" s="3">
        <f t="shared" si="135"/>
        <v>0</v>
      </c>
      <c r="O3740" s="5"/>
      <c r="S3740" s="6"/>
    </row>
    <row r="3741" spans="1:19" customFormat="1" x14ac:dyDescent="0.45">
      <c r="A3741">
        <v>676461</v>
      </c>
      <c r="B3741" t="s">
        <v>23350</v>
      </c>
      <c r="C3741" t="s">
        <v>16331</v>
      </c>
      <c r="D3741">
        <v>1</v>
      </c>
      <c r="E3741" t="s">
        <v>16331</v>
      </c>
      <c r="F3741" s="126"/>
      <c r="G3741" s="7">
        <v>0</v>
      </c>
      <c r="H3741" s="7">
        <v>0</v>
      </c>
      <c r="I3741" s="7">
        <v>0</v>
      </c>
      <c r="J3741" s="7">
        <v>0</v>
      </c>
      <c r="K3741" s="3">
        <f t="shared" si="136"/>
        <v>0</v>
      </c>
      <c r="L3741" s="3"/>
      <c r="M3741" s="3">
        <f t="shared" si="135"/>
        <v>0</v>
      </c>
      <c r="O3741" s="5"/>
      <c r="S3741" s="6"/>
    </row>
    <row r="3742" spans="1:19" customFormat="1" x14ac:dyDescent="0.45">
      <c r="A3742">
        <v>676480</v>
      </c>
      <c r="B3742" t="s">
        <v>23351</v>
      </c>
      <c r="C3742" t="s">
        <v>23352</v>
      </c>
      <c r="D3742">
        <v>1</v>
      </c>
      <c r="F3742" s="126"/>
      <c r="G3742" s="3">
        <v>0</v>
      </c>
      <c r="H3742" s="3">
        <v>0</v>
      </c>
      <c r="I3742" s="3">
        <v>0</v>
      </c>
      <c r="J3742" s="3">
        <v>0</v>
      </c>
      <c r="K3742" s="3">
        <f t="shared" si="136"/>
        <v>0</v>
      </c>
      <c r="L3742" s="3"/>
      <c r="M3742" s="3">
        <f t="shared" si="135"/>
        <v>0</v>
      </c>
      <c r="O3742" s="5"/>
      <c r="S3742" s="6"/>
    </row>
    <row r="3743" spans="1:19" customFormat="1" x14ac:dyDescent="0.45">
      <c r="A3743">
        <v>677055</v>
      </c>
      <c r="B3743" t="s">
        <v>23353</v>
      </c>
      <c r="C3743" t="s">
        <v>16331</v>
      </c>
      <c r="D3743">
        <v>14</v>
      </c>
      <c r="E3743" t="s">
        <v>16331</v>
      </c>
      <c r="F3743" s="126"/>
      <c r="G3743" s="7">
        <v>0</v>
      </c>
      <c r="H3743" s="7">
        <v>0</v>
      </c>
      <c r="I3743" s="7">
        <v>0</v>
      </c>
      <c r="J3743" s="7">
        <v>0</v>
      </c>
      <c r="K3743" s="3">
        <f t="shared" si="136"/>
        <v>0</v>
      </c>
      <c r="L3743" s="3"/>
      <c r="M3743" s="3">
        <f t="shared" si="135"/>
        <v>0</v>
      </c>
      <c r="O3743" s="5"/>
      <c r="S3743" s="6"/>
    </row>
    <row r="3744" spans="1:19" customFormat="1" x14ac:dyDescent="0.45">
      <c r="A3744">
        <v>677641</v>
      </c>
      <c r="B3744" t="s">
        <v>23354</v>
      </c>
      <c r="C3744" t="s">
        <v>23355</v>
      </c>
      <c r="D3744">
        <v>5</v>
      </c>
      <c r="F3744" s="126"/>
      <c r="H3744" s="3"/>
      <c r="K3744" s="3">
        <f t="shared" si="136"/>
        <v>0</v>
      </c>
      <c r="L3744" s="3"/>
      <c r="M3744" s="3">
        <f t="shared" si="135"/>
        <v>0</v>
      </c>
      <c r="O3744" s="5"/>
      <c r="S3744" s="6"/>
    </row>
    <row r="3745" spans="1:22" x14ac:dyDescent="0.45">
      <c r="A3745" s="124">
        <v>929372</v>
      </c>
      <c r="B3745" s="124" t="s">
        <v>23356</v>
      </c>
      <c r="C3745" s="124" t="s">
        <v>23357</v>
      </c>
      <c r="D3745" s="124">
        <v>3</v>
      </c>
      <c r="E3745" s="124" t="s">
        <v>16334</v>
      </c>
      <c r="F3745" s="126">
        <v>1.6999999999999999E-3</v>
      </c>
      <c r="G3745" s="126">
        <v>0.02</v>
      </c>
      <c r="H3745" s="126">
        <v>7.4999999999999997E-3</v>
      </c>
      <c r="I3745" s="127"/>
      <c r="J3745" s="127"/>
      <c r="K3745" s="126">
        <f t="shared" si="136"/>
        <v>2.75E-2</v>
      </c>
      <c r="L3745" s="3"/>
      <c r="M3745" s="126">
        <f t="shared" si="135"/>
        <v>2.92E-2</v>
      </c>
      <c r="O3745" s="131" t="s">
        <v>23358</v>
      </c>
      <c r="P3745" s="128" t="s">
        <v>26918</v>
      </c>
      <c r="Q3745" s="124">
        <f>42596+34478</f>
        <v>77074</v>
      </c>
      <c r="R3745" s="124" t="s">
        <v>16348</v>
      </c>
      <c r="S3745" s="132">
        <v>40651</v>
      </c>
      <c r="T3745" s="129">
        <f>S3745/Q3745</f>
        <v>0.52742818589926566</v>
      </c>
      <c r="V3745" s="125" t="s">
        <v>23359</v>
      </c>
    </row>
    <row r="3746" spans="1:22" customFormat="1" x14ac:dyDescent="0.45">
      <c r="A3746">
        <v>677842</v>
      </c>
      <c r="B3746" t="s">
        <v>23360</v>
      </c>
      <c r="C3746" t="s">
        <v>23361</v>
      </c>
      <c r="D3746">
        <v>1</v>
      </c>
      <c r="F3746" s="126"/>
      <c r="G3746" s="3">
        <v>0</v>
      </c>
      <c r="H3746" s="3">
        <v>0</v>
      </c>
      <c r="I3746" s="3">
        <v>0</v>
      </c>
      <c r="J3746" s="3">
        <v>0</v>
      </c>
      <c r="K3746" s="3">
        <f t="shared" si="136"/>
        <v>0</v>
      </c>
      <c r="L3746" s="3"/>
      <c r="M3746" s="3">
        <f t="shared" si="135"/>
        <v>0</v>
      </c>
      <c r="O3746" s="5"/>
      <c r="S3746" s="6"/>
    </row>
    <row r="3747" spans="1:22" customFormat="1" x14ac:dyDescent="0.45">
      <c r="A3747">
        <v>677869</v>
      </c>
      <c r="B3747" t="s">
        <v>23362</v>
      </c>
      <c r="C3747" t="s">
        <v>23363</v>
      </c>
      <c r="D3747">
        <v>7</v>
      </c>
      <c r="F3747" s="126"/>
      <c r="G3747" s="3">
        <v>0</v>
      </c>
      <c r="H3747" s="3">
        <v>0</v>
      </c>
      <c r="I3747" s="3">
        <v>0</v>
      </c>
      <c r="J3747" s="3">
        <v>0</v>
      </c>
      <c r="K3747" s="3">
        <f t="shared" si="136"/>
        <v>0</v>
      </c>
      <c r="L3747" s="3"/>
      <c r="M3747" s="3">
        <f t="shared" si="135"/>
        <v>0</v>
      </c>
      <c r="O3747" s="5"/>
      <c r="S3747" s="6"/>
    </row>
    <row r="3748" spans="1:22" customFormat="1" x14ac:dyDescent="0.45">
      <c r="A3748">
        <v>677967</v>
      </c>
      <c r="B3748" t="s">
        <v>23364</v>
      </c>
      <c r="C3748" t="s">
        <v>16331</v>
      </c>
      <c r="D3748">
        <v>1</v>
      </c>
      <c r="E3748" t="s">
        <v>16331</v>
      </c>
      <c r="F3748" s="126"/>
      <c r="K3748" s="3">
        <f t="shared" si="136"/>
        <v>0</v>
      </c>
      <c r="L3748" s="3"/>
      <c r="M3748" s="3">
        <f t="shared" si="135"/>
        <v>0</v>
      </c>
      <c r="O3748" s="5"/>
      <c r="S3748" s="6"/>
    </row>
    <row r="3749" spans="1:22" x14ac:dyDescent="0.45">
      <c r="A3749" s="124">
        <v>820559</v>
      </c>
      <c r="B3749" s="124" t="s">
        <v>23365</v>
      </c>
      <c r="C3749" s="124" t="s">
        <v>23366</v>
      </c>
      <c r="D3749" s="124">
        <v>1</v>
      </c>
      <c r="E3749" s="124" t="s">
        <v>16334</v>
      </c>
      <c r="F3749" s="126">
        <v>1.6999999999999999E-3</v>
      </c>
      <c r="G3749" s="126">
        <v>1.7500000000000002E-2</v>
      </c>
      <c r="H3749" s="126">
        <v>7.4999999999999997E-3</v>
      </c>
      <c r="I3749" s="127"/>
      <c r="J3749" s="127"/>
      <c r="K3749" s="126">
        <f t="shared" si="136"/>
        <v>2.5000000000000001E-2</v>
      </c>
      <c r="L3749" s="3"/>
      <c r="M3749" s="126">
        <f t="shared" si="135"/>
        <v>2.6700000000000002E-2</v>
      </c>
      <c r="O3749" s="131" t="s">
        <v>23367</v>
      </c>
      <c r="P3749" s="128" t="s">
        <v>26918</v>
      </c>
      <c r="Q3749" s="124">
        <f>29130+35176</f>
        <v>64306</v>
      </c>
      <c r="R3749" s="124" t="s">
        <v>16348</v>
      </c>
      <c r="S3749" s="132">
        <v>12640</v>
      </c>
      <c r="T3749" s="129">
        <f>S3749/Q3749</f>
        <v>0.19656019656019655</v>
      </c>
      <c r="V3749" s="125" t="s">
        <v>23368</v>
      </c>
    </row>
    <row r="3750" spans="1:22" customFormat="1" x14ac:dyDescent="0.45">
      <c r="A3750">
        <v>678996</v>
      </c>
      <c r="B3750" t="s">
        <v>23369</v>
      </c>
      <c r="C3750" t="s">
        <v>23370</v>
      </c>
      <c r="D3750">
        <v>2</v>
      </c>
      <c r="F3750" s="126"/>
      <c r="G3750" s="3">
        <v>0</v>
      </c>
      <c r="H3750" s="3">
        <v>0</v>
      </c>
      <c r="I3750" s="3">
        <v>0</v>
      </c>
      <c r="J3750" s="3">
        <v>0</v>
      </c>
      <c r="K3750" s="3">
        <f t="shared" si="136"/>
        <v>0</v>
      </c>
      <c r="L3750" s="3"/>
      <c r="M3750" s="3">
        <f t="shared" si="135"/>
        <v>0</v>
      </c>
      <c r="O3750" s="5"/>
      <c r="S3750" s="6"/>
    </row>
    <row r="3751" spans="1:22" customFormat="1" x14ac:dyDescent="0.45">
      <c r="A3751">
        <v>679003</v>
      </c>
      <c r="B3751" t="s">
        <v>23371</v>
      </c>
      <c r="C3751" t="s">
        <v>23372</v>
      </c>
      <c r="D3751">
        <v>1</v>
      </c>
      <c r="F3751" s="126"/>
      <c r="G3751" s="3">
        <v>0</v>
      </c>
      <c r="H3751" s="3">
        <v>0</v>
      </c>
      <c r="I3751" s="3">
        <v>0</v>
      </c>
      <c r="J3751" s="3">
        <v>0</v>
      </c>
      <c r="K3751" s="3">
        <f t="shared" si="136"/>
        <v>0</v>
      </c>
      <c r="L3751" s="3"/>
      <c r="M3751" s="3">
        <f t="shared" si="135"/>
        <v>0</v>
      </c>
      <c r="O3751" s="5"/>
      <c r="S3751" s="6"/>
    </row>
    <row r="3752" spans="1:22" customFormat="1" x14ac:dyDescent="0.45">
      <c r="A3752">
        <v>679171</v>
      </c>
      <c r="B3752" t="s">
        <v>23373</v>
      </c>
      <c r="C3752" t="s">
        <v>23374</v>
      </c>
      <c r="D3752">
        <v>0</v>
      </c>
      <c r="E3752" t="s">
        <v>16334</v>
      </c>
      <c r="F3752" s="126"/>
      <c r="G3752" s="3">
        <v>0</v>
      </c>
      <c r="H3752" s="3">
        <v>0</v>
      </c>
      <c r="I3752" s="3">
        <v>0</v>
      </c>
      <c r="J3752" s="3">
        <v>0</v>
      </c>
      <c r="K3752" s="3">
        <f t="shared" si="136"/>
        <v>0</v>
      </c>
      <c r="L3752" s="3"/>
      <c r="M3752" s="3">
        <f t="shared" si="135"/>
        <v>0</v>
      </c>
      <c r="O3752" s="5"/>
      <c r="S3752" s="6"/>
    </row>
    <row r="3753" spans="1:22" customFormat="1" x14ac:dyDescent="0.45">
      <c r="A3753">
        <v>679371</v>
      </c>
      <c r="B3753" t="s">
        <v>23375</v>
      </c>
      <c r="C3753" t="s">
        <v>23376</v>
      </c>
      <c r="D3753">
        <v>1</v>
      </c>
      <c r="F3753" s="126"/>
      <c r="G3753" s="3">
        <v>0</v>
      </c>
      <c r="H3753" s="3">
        <v>0</v>
      </c>
      <c r="I3753" s="3">
        <v>0</v>
      </c>
      <c r="J3753" s="3">
        <v>0</v>
      </c>
      <c r="K3753" s="3">
        <f t="shared" si="136"/>
        <v>0</v>
      </c>
      <c r="L3753" s="3"/>
      <c r="M3753" s="3">
        <f t="shared" si="135"/>
        <v>0</v>
      </c>
      <c r="O3753" s="5"/>
      <c r="S3753" s="6"/>
    </row>
    <row r="3754" spans="1:22" customFormat="1" x14ac:dyDescent="0.45">
      <c r="A3754">
        <v>679623</v>
      </c>
      <c r="B3754" t="s">
        <v>23377</v>
      </c>
      <c r="C3754" t="s">
        <v>16331</v>
      </c>
      <c r="D3754">
        <v>1</v>
      </c>
      <c r="E3754" t="s">
        <v>16331</v>
      </c>
      <c r="F3754" s="126"/>
      <c r="G3754" s="7">
        <v>0</v>
      </c>
      <c r="H3754" s="7">
        <v>0</v>
      </c>
      <c r="I3754" s="7">
        <v>0</v>
      </c>
      <c r="J3754" s="7">
        <v>0</v>
      </c>
      <c r="K3754" s="3">
        <f t="shared" si="136"/>
        <v>0</v>
      </c>
      <c r="L3754" s="3"/>
      <c r="M3754" s="3">
        <f t="shared" si="135"/>
        <v>0</v>
      </c>
      <c r="O3754" s="5"/>
      <c r="S3754" s="6"/>
    </row>
    <row r="3755" spans="1:22" customFormat="1" x14ac:dyDescent="0.45">
      <c r="A3755">
        <v>679903</v>
      </c>
      <c r="B3755" t="s">
        <v>23378</v>
      </c>
      <c r="C3755" t="s">
        <v>23379</v>
      </c>
      <c r="D3755">
        <v>3</v>
      </c>
      <c r="F3755" s="126"/>
      <c r="G3755" s="3"/>
      <c r="H3755" s="3"/>
      <c r="I3755" s="3"/>
      <c r="J3755" s="3"/>
      <c r="K3755" s="3">
        <f t="shared" si="136"/>
        <v>0</v>
      </c>
      <c r="L3755" s="3"/>
      <c r="M3755" s="3">
        <f t="shared" si="135"/>
        <v>0</v>
      </c>
      <c r="O3755" s="5"/>
      <c r="S3755" s="6"/>
    </row>
    <row r="3756" spans="1:22" customFormat="1" x14ac:dyDescent="0.45">
      <c r="A3756">
        <v>680116</v>
      </c>
      <c r="B3756" t="s">
        <v>23380</v>
      </c>
      <c r="C3756" t="s">
        <v>16331</v>
      </c>
      <c r="D3756">
        <v>1</v>
      </c>
      <c r="E3756" t="s">
        <v>16331</v>
      </c>
      <c r="F3756" s="126"/>
      <c r="G3756" s="7">
        <v>0</v>
      </c>
      <c r="H3756" s="7">
        <v>0</v>
      </c>
      <c r="I3756" s="7">
        <v>0</v>
      </c>
      <c r="J3756" s="7">
        <v>0</v>
      </c>
      <c r="K3756" s="3">
        <f t="shared" si="136"/>
        <v>0</v>
      </c>
      <c r="L3756" s="3"/>
      <c r="M3756" s="3">
        <f t="shared" si="135"/>
        <v>0</v>
      </c>
      <c r="O3756" s="5"/>
      <c r="S3756" s="6"/>
    </row>
    <row r="3757" spans="1:22" customFormat="1" x14ac:dyDescent="0.45">
      <c r="A3757">
        <v>680804</v>
      </c>
      <c r="B3757" t="s">
        <v>23381</v>
      </c>
      <c r="C3757" t="s">
        <v>16331</v>
      </c>
      <c r="D3757">
        <v>2</v>
      </c>
      <c r="E3757" t="s">
        <v>16331</v>
      </c>
      <c r="F3757" s="126"/>
      <c r="G3757" s="7">
        <v>0</v>
      </c>
      <c r="H3757" s="7">
        <v>0</v>
      </c>
      <c r="I3757" s="7">
        <v>0</v>
      </c>
      <c r="J3757" s="7">
        <v>0</v>
      </c>
      <c r="K3757" s="3">
        <f t="shared" si="136"/>
        <v>0</v>
      </c>
      <c r="L3757" s="3"/>
      <c r="M3757" s="3">
        <f t="shared" si="135"/>
        <v>0</v>
      </c>
      <c r="O3757" s="5"/>
      <c r="S3757" s="6"/>
    </row>
    <row r="3758" spans="1:22" customFormat="1" x14ac:dyDescent="0.45">
      <c r="A3758">
        <v>680893</v>
      </c>
      <c r="B3758" t="s">
        <v>23382</v>
      </c>
      <c r="C3758" t="s">
        <v>23383</v>
      </c>
      <c r="D3758">
        <v>2</v>
      </c>
      <c r="F3758" s="126"/>
      <c r="G3758" s="7">
        <v>0</v>
      </c>
      <c r="H3758" s="7">
        <v>0</v>
      </c>
      <c r="I3758" s="7">
        <v>0</v>
      </c>
      <c r="J3758" s="7">
        <v>0</v>
      </c>
      <c r="K3758" s="3">
        <f t="shared" si="136"/>
        <v>0</v>
      </c>
      <c r="L3758" s="3"/>
      <c r="M3758" s="3">
        <f t="shared" si="135"/>
        <v>0</v>
      </c>
      <c r="O3758" s="5"/>
      <c r="S3758" s="6"/>
    </row>
    <row r="3759" spans="1:22" customFormat="1" x14ac:dyDescent="0.45">
      <c r="A3759">
        <v>681264</v>
      </c>
      <c r="B3759" t="s">
        <v>23384</v>
      </c>
      <c r="C3759" t="s">
        <v>16331</v>
      </c>
      <c r="D3759">
        <v>2</v>
      </c>
      <c r="E3759" t="s">
        <v>16331</v>
      </c>
      <c r="F3759" s="126"/>
      <c r="G3759" s="7">
        <v>0</v>
      </c>
      <c r="H3759" s="7">
        <v>0</v>
      </c>
      <c r="I3759" s="7">
        <v>0</v>
      </c>
      <c r="J3759" s="7">
        <v>0</v>
      </c>
      <c r="K3759" s="3">
        <f t="shared" si="136"/>
        <v>0</v>
      </c>
      <c r="L3759" s="3"/>
      <c r="M3759" s="3">
        <f t="shared" ref="M3759:M3822" si="137">K3759+F3759</f>
        <v>0</v>
      </c>
      <c r="O3759" s="5"/>
      <c r="S3759" s="6"/>
    </row>
    <row r="3760" spans="1:22" customFormat="1" x14ac:dyDescent="0.45">
      <c r="A3760">
        <v>681433</v>
      </c>
      <c r="B3760" t="s">
        <v>23385</v>
      </c>
      <c r="C3760" t="s">
        <v>16331</v>
      </c>
      <c r="D3760">
        <v>1</v>
      </c>
      <c r="E3760" t="s">
        <v>16331</v>
      </c>
      <c r="F3760" s="126"/>
      <c r="G3760" s="7">
        <v>0</v>
      </c>
      <c r="H3760" s="7">
        <v>0</v>
      </c>
      <c r="I3760" s="7">
        <v>0</v>
      </c>
      <c r="J3760" s="7">
        <v>0</v>
      </c>
      <c r="K3760" s="3">
        <f t="shared" si="136"/>
        <v>0</v>
      </c>
      <c r="L3760" s="3"/>
      <c r="M3760" s="3">
        <f t="shared" si="137"/>
        <v>0</v>
      </c>
      <c r="O3760" s="5"/>
      <c r="S3760" s="6"/>
    </row>
    <row r="3761" spans="1:22" customFormat="1" x14ac:dyDescent="0.45">
      <c r="A3761">
        <v>681730</v>
      </c>
      <c r="B3761" t="s">
        <v>23386</v>
      </c>
      <c r="C3761" t="s">
        <v>23387</v>
      </c>
      <c r="D3761">
        <v>3</v>
      </c>
      <c r="F3761" s="126"/>
      <c r="G3761" s="3">
        <v>0</v>
      </c>
      <c r="H3761" s="3">
        <v>0</v>
      </c>
      <c r="I3761" s="3">
        <v>0</v>
      </c>
      <c r="J3761" s="3">
        <v>0</v>
      </c>
      <c r="K3761" s="3">
        <f t="shared" si="136"/>
        <v>0</v>
      </c>
      <c r="L3761" s="3"/>
      <c r="M3761" s="3">
        <f t="shared" si="137"/>
        <v>0</v>
      </c>
      <c r="O3761" s="5"/>
      <c r="S3761" s="6"/>
    </row>
    <row r="3762" spans="1:22" customFormat="1" x14ac:dyDescent="0.45">
      <c r="A3762">
        <v>681734</v>
      </c>
      <c r="B3762" t="s">
        <v>23388</v>
      </c>
      <c r="C3762" t="s">
        <v>23389</v>
      </c>
      <c r="D3762">
        <v>1</v>
      </c>
      <c r="F3762" s="126"/>
      <c r="G3762" s="7">
        <v>0</v>
      </c>
      <c r="H3762" s="7">
        <v>0</v>
      </c>
      <c r="I3762" s="7">
        <v>0</v>
      </c>
      <c r="J3762" s="7">
        <v>0</v>
      </c>
      <c r="K3762" s="3">
        <f t="shared" si="136"/>
        <v>0</v>
      </c>
      <c r="L3762" s="3"/>
      <c r="M3762" s="3">
        <f t="shared" si="137"/>
        <v>0</v>
      </c>
      <c r="O3762" s="5"/>
      <c r="S3762" s="6"/>
    </row>
    <row r="3763" spans="1:22" customFormat="1" x14ac:dyDescent="0.45">
      <c r="A3763">
        <v>684012</v>
      </c>
      <c r="B3763" t="s">
        <v>23390</v>
      </c>
      <c r="C3763" t="s">
        <v>23391</v>
      </c>
      <c r="D3763">
        <v>1</v>
      </c>
      <c r="F3763" s="126"/>
      <c r="G3763" s="3">
        <v>0</v>
      </c>
      <c r="H3763" s="3">
        <v>0</v>
      </c>
      <c r="I3763" s="3">
        <v>0</v>
      </c>
      <c r="J3763" s="3">
        <v>0</v>
      </c>
      <c r="K3763" s="3">
        <f t="shared" si="136"/>
        <v>0</v>
      </c>
      <c r="L3763" s="3"/>
      <c r="M3763" s="3">
        <f t="shared" si="137"/>
        <v>0</v>
      </c>
      <c r="O3763" s="5"/>
      <c r="S3763" s="6"/>
    </row>
    <row r="3764" spans="1:22" customFormat="1" x14ac:dyDescent="0.45">
      <c r="A3764">
        <v>684319</v>
      </c>
      <c r="B3764" t="s">
        <v>23392</v>
      </c>
      <c r="C3764" t="s">
        <v>16331</v>
      </c>
      <c r="D3764">
        <v>9</v>
      </c>
      <c r="E3764" t="s">
        <v>16331</v>
      </c>
      <c r="F3764" s="126"/>
      <c r="G3764" s="7">
        <v>0</v>
      </c>
      <c r="H3764" s="7">
        <v>0</v>
      </c>
      <c r="I3764" s="7">
        <v>0</v>
      </c>
      <c r="J3764" s="7">
        <v>0</v>
      </c>
      <c r="K3764" s="3">
        <f t="shared" si="136"/>
        <v>0</v>
      </c>
      <c r="L3764" s="3"/>
      <c r="M3764" s="3">
        <f t="shared" si="137"/>
        <v>0</v>
      </c>
      <c r="O3764" s="5"/>
      <c r="S3764" s="6"/>
    </row>
    <row r="3765" spans="1:22" customFormat="1" x14ac:dyDescent="0.45">
      <c r="A3765">
        <v>684341</v>
      </c>
      <c r="B3765" t="s">
        <v>23393</v>
      </c>
      <c r="C3765" t="s">
        <v>23394</v>
      </c>
      <c r="D3765">
        <v>3</v>
      </c>
      <c r="F3765" s="126"/>
      <c r="G3765" s="3">
        <v>0</v>
      </c>
      <c r="H3765" s="3">
        <v>0</v>
      </c>
      <c r="I3765" s="3">
        <v>0</v>
      </c>
      <c r="J3765" s="3">
        <v>0</v>
      </c>
      <c r="K3765" s="3">
        <f t="shared" si="136"/>
        <v>0</v>
      </c>
      <c r="L3765" s="3"/>
      <c r="M3765" s="3">
        <f t="shared" si="137"/>
        <v>0</v>
      </c>
      <c r="O3765" s="5"/>
      <c r="S3765" s="6"/>
    </row>
    <row r="3766" spans="1:22" customFormat="1" x14ac:dyDescent="0.45">
      <c r="A3766">
        <v>684887</v>
      </c>
      <c r="B3766" t="s">
        <v>23395</v>
      </c>
      <c r="C3766" t="s">
        <v>23396</v>
      </c>
      <c r="D3766">
        <v>1</v>
      </c>
      <c r="F3766" s="126"/>
      <c r="G3766" s="7">
        <v>0</v>
      </c>
      <c r="H3766" s="7">
        <v>0</v>
      </c>
      <c r="I3766" s="7">
        <v>0</v>
      </c>
      <c r="J3766" s="7">
        <v>0</v>
      </c>
      <c r="K3766" s="3">
        <f t="shared" si="136"/>
        <v>0</v>
      </c>
      <c r="L3766" s="3"/>
      <c r="M3766" s="3">
        <f t="shared" si="137"/>
        <v>0</v>
      </c>
      <c r="O3766" s="5"/>
      <c r="S3766" s="6"/>
    </row>
    <row r="3767" spans="1:22" customFormat="1" x14ac:dyDescent="0.45">
      <c r="A3767">
        <v>685037</v>
      </c>
      <c r="B3767" t="s">
        <v>23397</v>
      </c>
      <c r="C3767" t="s">
        <v>23398</v>
      </c>
      <c r="D3767">
        <v>1</v>
      </c>
      <c r="F3767" s="126"/>
      <c r="G3767" s="3">
        <v>0</v>
      </c>
      <c r="H3767" s="3">
        <v>0</v>
      </c>
      <c r="I3767" s="3">
        <v>0</v>
      </c>
      <c r="J3767" s="3">
        <v>0</v>
      </c>
      <c r="K3767" s="3">
        <f t="shared" si="136"/>
        <v>0</v>
      </c>
      <c r="L3767" s="3"/>
      <c r="M3767" s="3">
        <f t="shared" si="137"/>
        <v>0</v>
      </c>
      <c r="O3767" s="5"/>
      <c r="S3767" s="6"/>
    </row>
    <row r="3768" spans="1:22" customFormat="1" x14ac:dyDescent="0.45">
      <c r="A3768">
        <v>685248</v>
      </c>
      <c r="B3768" t="s">
        <v>23399</v>
      </c>
      <c r="C3768" t="s">
        <v>23400</v>
      </c>
      <c r="D3768">
        <v>2</v>
      </c>
      <c r="F3768" s="126"/>
      <c r="G3768" s="3">
        <v>0</v>
      </c>
      <c r="H3768" s="3">
        <v>0</v>
      </c>
      <c r="I3768" s="3">
        <v>0</v>
      </c>
      <c r="J3768" s="3">
        <v>0</v>
      </c>
      <c r="K3768" s="3">
        <f t="shared" si="136"/>
        <v>0</v>
      </c>
      <c r="L3768" s="3"/>
      <c r="M3768" s="3">
        <f t="shared" si="137"/>
        <v>0</v>
      </c>
      <c r="O3768" s="5"/>
      <c r="S3768" s="6"/>
    </row>
    <row r="3769" spans="1:22" customFormat="1" x14ac:dyDescent="0.45">
      <c r="A3769">
        <v>685262</v>
      </c>
      <c r="B3769" t="s">
        <v>23401</v>
      </c>
      <c r="C3769" t="s">
        <v>23402</v>
      </c>
      <c r="D3769">
        <v>0</v>
      </c>
      <c r="E3769" t="s">
        <v>16561</v>
      </c>
      <c r="F3769" s="126"/>
      <c r="G3769" s="7">
        <v>0</v>
      </c>
      <c r="H3769" s="3">
        <v>0</v>
      </c>
      <c r="I3769" s="3">
        <v>0</v>
      </c>
      <c r="J3769">
        <v>0</v>
      </c>
      <c r="K3769" s="3">
        <f t="shared" si="136"/>
        <v>0</v>
      </c>
      <c r="L3769" s="3"/>
      <c r="M3769" s="3">
        <f t="shared" si="137"/>
        <v>0</v>
      </c>
      <c r="O3769" s="5"/>
      <c r="S3769" s="6"/>
    </row>
    <row r="3770" spans="1:22" customFormat="1" x14ac:dyDescent="0.45">
      <c r="A3770">
        <v>685841</v>
      </c>
      <c r="B3770" t="s">
        <v>23403</v>
      </c>
      <c r="C3770" t="s">
        <v>23404</v>
      </c>
      <c r="D3770">
        <v>1</v>
      </c>
      <c r="F3770" s="126"/>
      <c r="G3770" s="7">
        <v>0</v>
      </c>
      <c r="H3770" s="7">
        <v>0</v>
      </c>
      <c r="I3770" s="7">
        <v>0</v>
      </c>
      <c r="J3770" s="7">
        <v>0</v>
      </c>
      <c r="K3770" s="3">
        <f t="shared" si="136"/>
        <v>0</v>
      </c>
      <c r="L3770" s="3"/>
      <c r="M3770" s="3">
        <f t="shared" si="137"/>
        <v>0</v>
      </c>
      <c r="O3770" s="5"/>
      <c r="S3770" s="6"/>
    </row>
    <row r="3771" spans="1:22" customFormat="1" x14ac:dyDescent="0.45">
      <c r="A3771">
        <v>687472</v>
      </c>
      <c r="B3771" t="s">
        <v>23405</v>
      </c>
      <c r="C3771" t="s">
        <v>23406</v>
      </c>
      <c r="D3771">
        <v>1</v>
      </c>
      <c r="F3771" s="126"/>
      <c r="G3771" s="7">
        <v>0</v>
      </c>
      <c r="H3771" s="7">
        <v>0</v>
      </c>
      <c r="I3771" s="7">
        <v>0</v>
      </c>
      <c r="J3771" s="7">
        <v>0</v>
      </c>
      <c r="K3771" s="3">
        <f t="shared" si="136"/>
        <v>0</v>
      </c>
      <c r="L3771" s="3"/>
      <c r="M3771" s="3">
        <f t="shared" si="137"/>
        <v>0</v>
      </c>
      <c r="O3771" s="5"/>
      <c r="S3771" s="6"/>
    </row>
    <row r="3772" spans="1:22" customFormat="1" x14ac:dyDescent="0.45">
      <c r="A3772">
        <v>688100</v>
      </c>
      <c r="B3772" t="s">
        <v>23407</v>
      </c>
      <c r="C3772" t="s">
        <v>23408</v>
      </c>
      <c r="D3772">
        <v>1</v>
      </c>
      <c r="F3772" s="126"/>
      <c r="G3772" s="7">
        <v>0</v>
      </c>
      <c r="H3772" s="7">
        <v>0</v>
      </c>
      <c r="I3772" s="7">
        <v>0</v>
      </c>
      <c r="J3772" s="7">
        <v>0</v>
      </c>
      <c r="K3772" s="3">
        <f t="shared" ref="K3772:K3835" si="138">SUM(G3772:J3772)</f>
        <v>0</v>
      </c>
      <c r="L3772" s="3"/>
      <c r="M3772" s="3">
        <f t="shared" si="137"/>
        <v>0</v>
      </c>
      <c r="O3772" s="5"/>
      <c r="S3772" s="6"/>
    </row>
    <row r="3773" spans="1:22" customFormat="1" x14ac:dyDescent="0.45">
      <c r="A3773">
        <v>688217</v>
      </c>
      <c r="B3773" t="s">
        <v>23409</v>
      </c>
      <c r="C3773" t="s">
        <v>23410</v>
      </c>
      <c r="D3773">
        <v>2</v>
      </c>
      <c r="F3773" s="126"/>
      <c r="G3773" s="3"/>
      <c r="H3773" s="3"/>
      <c r="I3773" s="3"/>
      <c r="J3773" s="3"/>
      <c r="K3773" s="3">
        <f t="shared" si="138"/>
        <v>0</v>
      </c>
      <c r="L3773" s="3"/>
      <c r="M3773" s="3">
        <f t="shared" si="137"/>
        <v>0</v>
      </c>
      <c r="O3773" s="5"/>
      <c r="S3773" s="6"/>
    </row>
    <row r="3774" spans="1:22" customFormat="1" x14ac:dyDescent="0.45">
      <c r="A3774">
        <v>690603</v>
      </c>
      <c r="B3774" t="s">
        <v>23411</v>
      </c>
      <c r="C3774" t="s">
        <v>23412</v>
      </c>
      <c r="D3774">
        <v>1</v>
      </c>
      <c r="F3774" s="126"/>
      <c r="G3774" s="7">
        <v>0</v>
      </c>
      <c r="H3774" s="7">
        <v>0</v>
      </c>
      <c r="I3774" s="7">
        <v>0</v>
      </c>
      <c r="J3774" s="7">
        <v>0</v>
      </c>
      <c r="K3774" s="3">
        <f t="shared" si="138"/>
        <v>0</v>
      </c>
      <c r="L3774" s="3"/>
      <c r="M3774" s="3">
        <f t="shared" si="137"/>
        <v>0</v>
      </c>
      <c r="O3774" s="5"/>
      <c r="S3774" s="6"/>
    </row>
    <row r="3775" spans="1:22" customFormat="1" x14ac:dyDescent="0.45">
      <c r="A3775">
        <v>690631</v>
      </c>
      <c r="B3775" t="s">
        <v>23413</v>
      </c>
      <c r="C3775" t="s">
        <v>16331</v>
      </c>
      <c r="D3775">
        <v>1</v>
      </c>
      <c r="E3775" t="s">
        <v>16331</v>
      </c>
      <c r="F3775" s="126"/>
      <c r="G3775" s="7">
        <v>0</v>
      </c>
      <c r="H3775" s="7">
        <v>0</v>
      </c>
      <c r="I3775" s="7">
        <v>0</v>
      </c>
      <c r="J3775" s="7">
        <v>0</v>
      </c>
      <c r="K3775" s="3">
        <f t="shared" si="138"/>
        <v>0</v>
      </c>
      <c r="L3775" s="3"/>
      <c r="M3775" s="3">
        <f t="shared" si="137"/>
        <v>0</v>
      </c>
      <c r="O3775" s="5"/>
      <c r="S3775" s="6"/>
    </row>
    <row r="3776" spans="1:22" x14ac:dyDescent="0.45">
      <c r="A3776" s="124">
        <v>445967</v>
      </c>
      <c r="B3776" s="124" t="s">
        <v>23414</v>
      </c>
      <c r="C3776" s="124" t="s">
        <v>23415</v>
      </c>
      <c r="D3776" s="124">
        <v>1</v>
      </c>
      <c r="E3776" s="124" t="s">
        <v>16334</v>
      </c>
      <c r="F3776" s="126">
        <v>1.6999999999999999E-3</v>
      </c>
      <c r="G3776" s="126">
        <v>0.03</v>
      </c>
      <c r="H3776" s="126">
        <v>5.0000000000000001E-3</v>
      </c>
      <c r="I3776" s="127"/>
      <c r="J3776" s="127"/>
      <c r="K3776" s="126">
        <f t="shared" si="138"/>
        <v>3.4999999999999996E-2</v>
      </c>
      <c r="L3776" s="3"/>
      <c r="M3776" s="126">
        <f t="shared" si="137"/>
        <v>3.6699999999999997E-2</v>
      </c>
      <c r="O3776" s="131" t="s">
        <v>23367</v>
      </c>
      <c r="P3776" s="128" t="s">
        <v>26918</v>
      </c>
      <c r="Q3776" s="124">
        <f>72759+9743</f>
        <v>82502</v>
      </c>
      <c r="R3776" s="124" t="s">
        <v>16348</v>
      </c>
      <c r="S3776" s="132">
        <v>72759</v>
      </c>
      <c r="T3776" s="129">
        <f>S3776/Q3776</f>
        <v>0.88190589319046808</v>
      </c>
      <c r="V3776" s="125" t="s">
        <v>23416</v>
      </c>
    </row>
    <row r="3777" spans="1:19" customFormat="1" x14ac:dyDescent="0.45">
      <c r="A3777">
        <v>692447</v>
      </c>
      <c r="B3777" t="s">
        <v>23417</v>
      </c>
      <c r="C3777" t="s">
        <v>23418</v>
      </c>
      <c r="D3777">
        <v>0</v>
      </c>
      <c r="E3777" t="s">
        <v>16561</v>
      </c>
      <c r="F3777" s="126"/>
      <c r="G3777" s="7">
        <v>0</v>
      </c>
      <c r="H3777" s="7">
        <v>0</v>
      </c>
      <c r="I3777" s="7">
        <v>0</v>
      </c>
      <c r="J3777" s="7">
        <v>0</v>
      </c>
      <c r="K3777" s="3">
        <f t="shared" si="138"/>
        <v>0</v>
      </c>
      <c r="L3777" s="3"/>
      <c r="M3777" s="3">
        <f t="shared" si="137"/>
        <v>0</v>
      </c>
      <c r="N3777" s="7"/>
      <c r="O3777" s="5"/>
      <c r="S3777" s="6"/>
    </row>
    <row r="3778" spans="1:19" customFormat="1" x14ac:dyDescent="0.45">
      <c r="A3778">
        <v>692552</v>
      </c>
      <c r="B3778" t="s">
        <v>23419</v>
      </c>
      <c r="C3778" t="s">
        <v>23420</v>
      </c>
      <c r="D3778">
        <v>4</v>
      </c>
      <c r="F3778" s="126"/>
      <c r="G3778" s="3">
        <v>0</v>
      </c>
      <c r="H3778" s="3">
        <v>0</v>
      </c>
      <c r="I3778" s="3">
        <v>0</v>
      </c>
      <c r="J3778" s="3">
        <v>0</v>
      </c>
      <c r="K3778" s="3">
        <f t="shared" si="138"/>
        <v>0</v>
      </c>
      <c r="L3778" s="3"/>
      <c r="M3778" s="3">
        <f t="shared" si="137"/>
        <v>0</v>
      </c>
      <c r="O3778" s="5"/>
      <c r="S3778" s="6"/>
    </row>
    <row r="3779" spans="1:19" customFormat="1" x14ac:dyDescent="0.45">
      <c r="A3779">
        <v>692645</v>
      </c>
      <c r="B3779" t="s">
        <v>23421</v>
      </c>
      <c r="C3779" t="s">
        <v>23422</v>
      </c>
      <c r="D3779">
        <v>1</v>
      </c>
      <c r="F3779" s="126"/>
      <c r="G3779" s="3">
        <v>0</v>
      </c>
      <c r="H3779" s="3">
        <v>0</v>
      </c>
      <c r="I3779" s="3">
        <v>0</v>
      </c>
      <c r="J3779" s="3">
        <v>0</v>
      </c>
      <c r="K3779" s="3">
        <f t="shared" si="138"/>
        <v>0</v>
      </c>
      <c r="L3779" s="3"/>
      <c r="M3779" s="3">
        <f t="shared" si="137"/>
        <v>0</v>
      </c>
      <c r="O3779" s="5"/>
      <c r="S3779" s="6"/>
    </row>
    <row r="3780" spans="1:19" customFormat="1" x14ac:dyDescent="0.45">
      <c r="A3780">
        <v>694856</v>
      </c>
      <c r="B3780" t="s">
        <v>23423</v>
      </c>
      <c r="C3780" t="s">
        <v>23424</v>
      </c>
      <c r="D3780">
        <v>3</v>
      </c>
      <c r="F3780" s="126"/>
      <c r="G3780" s="7">
        <v>0</v>
      </c>
      <c r="H3780" s="7">
        <v>0</v>
      </c>
      <c r="I3780" s="7">
        <v>0</v>
      </c>
      <c r="J3780" s="7">
        <v>0</v>
      </c>
      <c r="K3780" s="3">
        <f t="shared" si="138"/>
        <v>0</v>
      </c>
      <c r="L3780" s="3"/>
      <c r="M3780" s="3">
        <f t="shared" si="137"/>
        <v>0</v>
      </c>
      <c r="O3780" s="5"/>
      <c r="S3780" s="6"/>
    </row>
    <row r="3781" spans="1:19" customFormat="1" x14ac:dyDescent="0.45">
      <c r="A3781">
        <v>694976</v>
      </c>
      <c r="B3781" t="s">
        <v>23425</v>
      </c>
      <c r="C3781" t="s">
        <v>16331</v>
      </c>
      <c r="D3781">
        <v>4</v>
      </c>
      <c r="E3781" t="s">
        <v>16331</v>
      </c>
      <c r="F3781" s="126"/>
      <c r="G3781" s="7">
        <v>0</v>
      </c>
      <c r="H3781" s="7">
        <v>0</v>
      </c>
      <c r="I3781" s="7">
        <v>0</v>
      </c>
      <c r="J3781" s="7">
        <v>0</v>
      </c>
      <c r="K3781" s="3">
        <f t="shared" si="138"/>
        <v>0</v>
      </c>
      <c r="L3781" s="3"/>
      <c r="M3781" s="3">
        <f t="shared" si="137"/>
        <v>0</v>
      </c>
      <c r="O3781" s="5"/>
      <c r="S3781" s="6"/>
    </row>
    <row r="3782" spans="1:19" customFormat="1" x14ac:dyDescent="0.45">
      <c r="A3782">
        <v>696226</v>
      </c>
      <c r="B3782" t="s">
        <v>23426</v>
      </c>
      <c r="C3782" t="s">
        <v>23427</v>
      </c>
      <c r="D3782">
        <v>11</v>
      </c>
      <c r="F3782" s="126"/>
      <c r="G3782" s="3">
        <v>0</v>
      </c>
      <c r="H3782" s="3">
        <v>0</v>
      </c>
      <c r="I3782" s="3">
        <v>0</v>
      </c>
      <c r="J3782" s="3">
        <v>0</v>
      </c>
      <c r="K3782" s="3">
        <f t="shared" si="138"/>
        <v>0</v>
      </c>
      <c r="L3782" s="3"/>
      <c r="M3782" s="3">
        <f t="shared" si="137"/>
        <v>0</v>
      </c>
      <c r="O3782" s="5"/>
      <c r="S3782" s="6"/>
    </row>
    <row r="3783" spans="1:19" customFormat="1" x14ac:dyDescent="0.45">
      <c r="A3783">
        <v>697369</v>
      </c>
      <c r="B3783" t="s">
        <v>23428</v>
      </c>
      <c r="C3783" t="s">
        <v>16331</v>
      </c>
      <c r="D3783">
        <v>1</v>
      </c>
      <c r="E3783" t="s">
        <v>16331</v>
      </c>
      <c r="F3783" s="126"/>
      <c r="G3783" s="7">
        <v>0</v>
      </c>
      <c r="H3783" s="7">
        <v>0</v>
      </c>
      <c r="I3783" s="7">
        <v>0</v>
      </c>
      <c r="J3783" s="7">
        <v>0</v>
      </c>
      <c r="K3783" s="3">
        <f t="shared" si="138"/>
        <v>0</v>
      </c>
      <c r="L3783" s="3"/>
      <c r="M3783" s="3">
        <f t="shared" si="137"/>
        <v>0</v>
      </c>
      <c r="O3783" s="5"/>
      <c r="S3783" s="6"/>
    </row>
    <row r="3784" spans="1:19" customFormat="1" x14ac:dyDescent="0.45">
      <c r="A3784">
        <v>697372</v>
      </c>
      <c r="B3784" t="s">
        <v>23429</v>
      </c>
      <c r="C3784" t="s">
        <v>23430</v>
      </c>
      <c r="D3784">
        <v>3</v>
      </c>
      <c r="F3784" s="126"/>
      <c r="G3784" s="3">
        <v>0</v>
      </c>
      <c r="H3784" s="3">
        <v>0</v>
      </c>
      <c r="I3784" s="3">
        <v>0</v>
      </c>
      <c r="J3784" s="3">
        <v>0</v>
      </c>
      <c r="K3784" s="3">
        <f t="shared" si="138"/>
        <v>0</v>
      </c>
      <c r="L3784" s="3"/>
      <c r="M3784" s="3">
        <f t="shared" si="137"/>
        <v>0</v>
      </c>
      <c r="O3784" s="5"/>
      <c r="S3784" s="6"/>
    </row>
    <row r="3785" spans="1:19" customFormat="1" x14ac:dyDescent="0.45">
      <c r="A3785">
        <v>697398</v>
      </c>
      <c r="B3785" t="s">
        <v>23431</v>
      </c>
      <c r="C3785" t="s">
        <v>16331</v>
      </c>
      <c r="D3785">
        <v>3</v>
      </c>
      <c r="E3785" t="s">
        <v>16331</v>
      </c>
      <c r="F3785" s="126"/>
      <c r="G3785" s="7">
        <v>0</v>
      </c>
      <c r="H3785" s="7">
        <v>0</v>
      </c>
      <c r="I3785" s="7">
        <v>0</v>
      </c>
      <c r="J3785" s="7">
        <v>0</v>
      </c>
      <c r="K3785" s="3">
        <f t="shared" si="138"/>
        <v>0</v>
      </c>
      <c r="L3785" s="3"/>
      <c r="M3785" s="3">
        <f t="shared" si="137"/>
        <v>0</v>
      </c>
      <c r="O3785" s="5"/>
      <c r="S3785" s="6"/>
    </row>
    <row r="3786" spans="1:19" customFormat="1" x14ac:dyDescent="0.45">
      <c r="A3786">
        <v>697420</v>
      </c>
      <c r="B3786" t="s">
        <v>23432</v>
      </c>
      <c r="C3786" t="s">
        <v>16331</v>
      </c>
      <c r="D3786">
        <v>2</v>
      </c>
      <c r="E3786" t="s">
        <v>16331</v>
      </c>
      <c r="F3786" s="126"/>
      <c r="G3786" s="7">
        <v>0</v>
      </c>
      <c r="H3786" s="7">
        <v>0</v>
      </c>
      <c r="I3786" s="7">
        <v>0</v>
      </c>
      <c r="J3786" s="7">
        <v>0</v>
      </c>
      <c r="K3786" s="3">
        <f t="shared" si="138"/>
        <v>0</v>
      </c>
      <c r="L3786" s="3"/>
      <c r="M3786" s="3">
        <f t="shared" si="137"/>
        <v>0</v>
      </c>
      <c r="O3786" s="5"/>
      <c r="S3786" s="6"/>
    </row>
    <row r="3787" spans="1:19" customFormat="1" x14ac:dyDescent="0.45">
      <c r="A3787">
        <v>697452</v>
      </c>
      <c r="B3787" t="s">
        <v>23433</v>
      </c>
      <c r="C3787" t="s">
        <v>23434</v>
      </c>
      <c r="D3787">
        <v>2</v>
      </c>
      <c r="F3787" s="126"/>
      <c r="G3787" s="7">
        <v>0</v>
      </c>
      <c r="H3787" s="7">
        <v>0</v>
      </c>
      <c r="I3787" s="7">
        <v>0</v>
      </c>
      <c r="J3787" s="7">
        <v>0</v>
      </c>
      <c r="K3787" s="3">
        <f t="shared" si="138"/>
        <v>0</v>
      </c>
      <c r="L3787" s="3"/>
      <c r="M3787" s="3">
        <f t="shared" si="137"/>
        <v>0</v>
      </c>
      <c r="O3787" s="5"/>
      <c r="S3787" s="6"/>
    </row>
    <row r="3788" spans="1:19" customFormat="1" x14ac:dyDescent="0.45">
      <c r="A3788">
        <v>697491</v>
      </c>
      <c r="B3788" t="s">
        <v>23435</v>
      </c>
      <c r="C3788" t="s">
        <v>23436</v>
      </c>
      <c r="D3788">
        <v>1</v>
      </c>
      <c r="F3788" s="126"/>
      <c r="G3788" s="7">
        <v>0</v>
      </c>
      <c r="H3788" s="7">
        <v>0</v>
      </c>
      <c r="I3788" s="7">
        <v>0</v>
      </c>
      <c r="J3788" s="7">
        <v>0</v>
      </c>
      <c r="K3788" s="3">
        <f t="shared" si="138"/>
        <v>0</v>
      </c>
      <c r="L3788" s="3"/>
      <c r="M3788" s="3">
        <f t="shared" si="137"/>
        <v>0</v>
      </c>
      <c r="O3788" s="5"/>
      <c r="S3788" s="6"/>
    </row>
    <row r="3789" spans="1:19" customFormat="1" x14ac:dyDescent="0.45">
      <c r="A3789">
        <v>697885</v>
      </c>
      <c r="B3789" t="s">
        <v>23437</v>
      </c>
      <c r="C3789" t="s">
        <v>16331</v>
      </c>
      <c r="D3789">
        <v>1</v>
      </c>
      <c r="E3789" t="s">
        <v>16331</v>
      </c>
      <c r="F3789" s="126"/>
      <c r="G3789" s="7">
        <v>0</v>
      </c>
      <c r="H3789" s="7">
        <v>0</v>
      </c>
      <c r="I3789" s="7">
        <v>0</v>
      </c>
      <c r="J3789" s="7">
        <v>0</v>
      </c>
      <c r="K3789" s="3">
        <f t="shared" si="138"/>
        <v>0</v>
      </c>
      <c r="L3789" s="3"/>
      <c r="M3789" s="3">
        <f t="shared" si="137"/>
        <v>0</v>
      </c>
      <c r="O3789" s="5"/>
      <c r="S3789" s="6"/>
    </row>
    <row r="3790" spans="1:19" customFormat="1" x14ac:dyDescent="0.45">
      <c r="A3790">
        <v>698342</v>
      </c>
      <c r="B3790" t="s">
        <v>23438</v>
      </c>
      <c r="C3790" t="s">
        <v>23439</v>
      </c>
      <c r="D3790">
        <v>1</v>
      </c>
      <c r="F3790" s="126"/>
      <c r="G3790" s="3">
        <v>0</v>
      </c>
      <c r="H3790" s="3">
        <v>0</v>
      </c>
      <c r="I3790" s="3">
        <v>0</v>
      </c>
      <c r="J3790" s="3">
        <v>0</v>
      </c>
      <c r="K3790" s="3">
        <f t="shared" si="138"/>
        <v>0</v>
      </c>
      <c r="L3790" s="3"/>
      <c r="M3790" s="3">
        <f t="shared" si="137"/>
        <v>0</v>
      </c>
      <c r="O3790" s="5"/>
      <c r="S3790" s="6"/>
    </row>
    <row r="3791" spans="1:19" customFormat="1" x14ac:dyDescent="0.45">
      <c r="A3791">
        <v>700077</v>
      </c>
      <c r="B3791" t="s">
        <v>23440</v>
      </c>
      <c r="C3791" t="s">
        <v>16331</v>
      </c>
      <c r="D3791">
        <v>3</v>
      </c>
      <c r="E3791" t="s">
        <v>16331</v>
      </c>
      <c r="F3791" s="126"/>
      <c r="G3791" s="7">
        <v>0</v>
      </c>
      <c r="H3791" s="7">
        <v>0</v>
      </c>
      <c r="I3791" s="7">
        <v>0</v>
      </c>
      <c r="J3791" s="7">
        <v>0</v>
      </c>
      <c r="K3791" s="3">
        <f t="shared" si="138"/>
        <v>0</v>
      </c>
      <c r="L3791" s="3"/>
      <c r="M3791" s="3">
        <f t="shared" si="137"/>
        <v>0</v>
      </c>
      <c r="O3791" s="5"/>
      <c r="S3791" s="6"/>
    </row>
    <row r="3792" spans="1:19" customFormat="1" x14ac:dyDescent="0.45">
      <c r="A3792">
        <v>702579</v>
      </c>
      <c r="B3792" t="s">
        <v>23441</v>
      </c>
      <c r="C3792" t="s">
        <v>23442</v>
      </c>
      <c r="D3792">
        <v>3</v>
      </c>
      <c r="F3792" s="126"/>
      <c r="G3792" s="7">
        <v>0</v>
      </c>
      <c r="H3792" s="7">
        <v>0</v>
      </c>
      <c r="I3792" s="7">
        <v>0</v>
      </c>
      <c r="J3792" s="7">
        <v>0</v>
      </c>
      <c r="K3792" s="3">
        <f t="shared" si="138"/>
        <v>0</v>
      </c>
      <c r="L3792" s="3"/>
      <c r="M3792" s="3">
        <f t="shared" si="137"/>
        <v>0</v>
      </c>
      <c r="O3792" s="5"/>
      <c r="S3792" s="6"/>
    </row>
    <row r="3793" spans="1:19" customFormat="1" x14ac:dyDescent="0.45">
      <c r="A3793">
        <v>702709</v>
      </c>
      <c r="B3793" t="s">
        <v>23443</v>
      </c>
      <c r="C3793" t="s">
        <v>23444</v>
      </c>
      <c r="D3793">
        <v>1</v>
      </c>
      <c r="F3793" s="126"/>
      <c r="G3793" s="3">
        <v>0</v>
      </c>
      <c r="H3793" s="3">
        <v>0</v>
      </c>
      <c r="I3793" s="3">
        <v>0</v>
      </c>
      <c r="J3793" s="3">
        <v>0</v>
      </c>
      <c r="K3793" s="3">
        <f t="shared" si="138"/>
        <v>0</v>
      </c>
      <c r="L3793" s="3"/>
      <c r="M3793" s="3">
        <f t="shared" si="137"/>
        <v>0</v>
      </c>
      <c r="O3793" s="5"/>
      <c r="S3793" s="6"/>
    </row>
    <row r="3794" spans="1:19" customFormat="1" x14ac:dyDescent="0.45">
      <c r="A3794">
        <v>702710</v>
      </c>
      <c r="B3794" t="s">
        <v>23445</v>
      </c>
      <c r="C3794" t="s">
        <v>23446</v>
      </c>
      <c r="D3794">
        <v>1</v>
      </c>
      <c r="F3794" s="126"/>
      <c r="G3794" s="7">
        <v>0</v>
      </c>
      <c r="H3794" s="7">
        <v>0</v>
      </c>
      <c r="I3794" s="7">
        <v>0</v>
      </c>
      <c r="J3794" s="7">
        <v>0</v>
      </c>
      <c r="K3794" s="3">
        <f t="shared" si="138"/>
        <v>0</v>
      </c>
      <c r="L3794" s="3"/>
      <c r="M3794" s="3">
        <f t="shared" si="137"/>
        <v>0</v>
      </c>
      <c r="O3794" s="5"/>
      <c r="S3794" s="6"/>
    </row>
    <row r="3795" spans="1:19" customFormat="1" x14ac:dyDescent="0.45">
      <c r="A3795">
        <v>703508</v>
      </c>
      <c r="B3795" t="s">
        <v>23447</v>
      </c>
      <c r="C3795" t="s">
        <v>23448</v>
      </c>
      <c r="D3795">
        <v>7</v>
      </c>
      <c r="F3795" s="126"/>
      <c r="G3795" s="3">
        <v>0</v>
      </c>
      <c r="H3795" s="3">
        <v>0</v>
      </c>
      <c r="I3795" s="3">
        <v>0</v>
      </c>
      <c r="J3795" s="3">
        <v>0</v>
      </c>
      <c r="K3795" s="3">
        <f t="shared" si="138"/>
        <v>0</v>
      </c>
      <c r="L3795" s="3"/>
      <c r="M3795" s="3">
        <f t="shared" si="137"/>
        <v>0</v>
      </c>
      <c r="O3795" s="5"/>
      <c r="S3795" s="6"/>
    </row>
    <row r="3796" spans="1:19" customFormat="1" x14ac:dyDescent="0.45">
      <c r="A3796">
        <v>705061</v>
      </c>
      <c r="B3796" t="s">
        <v>23449</v>
      </c>
      <c r="C3796" t="s">
        <v>23450</v>
      </c>
      <c r="D3796">
        <v>1</v>
      </c>
      <c r="F3796" s="126"/>
      <c r="K3796" s="3">
        <f t="shared" si="138"/>
        <v>0</v>
      </c>
      <c r="L3796" s="3"/>
      <c r="M3796" s="3">
        <f t="shared" si="137"/>
        <v>0</v>
      </c>
      <c r="O3796" s="5"/>
      <c r="S3796" s="6"/>
    </row>
    <row r="3797" spans="1:19" customFormat="1" x14ac:dyDescent="0.45">
      <c r="A3797">
        <v>705072</v>
      </c>
      <c r="B3797" t="s">
        <v>23451</v>
      </c>
      <c r="C3797" t="s">
        <v>23452</v>
      </c>
      <c r="D3797">
        <v>1</v>
      </c>
      <c r="F3797" s="126"/>
      <c r="G3797" s="3">
        <v>0</v>
      </c>
      <c r="H3797" s="3">
        <v>0</v>
      </c>
      <c r="I3797" s="3">
        <v>0</v>
      </c>
      <c r="J3797" s="3">
        <v>0</v>
      </c>
      <c r="K3797" s="3">
        <f t="shared" si="138"/>
        <v>0</v>
      </c>
      <c r="L3797" s="3"/>
      <c r="M3797" s="3">
        <f t="shared" si="137"/>
        <v>0</v>
      </c>
      <c r="O3797" s="5"/>
      <c r="S3797" s="6"/>
    </row>
    <row r="3798" spans="1:19" customFormat="1" x14ac:dyDescent="0.45">
      <c r="A3798">
        <v>705110</v>
      </c>
      <c r="B3798" t="s">
        <v>23453</v>
      </c>
      <c r="C3798" t="s">
        <v>23454</v>
      </c>
      <c r="D3798">
        <v>1</v>
      </c>
      <c r="F3798" s="126"/>
      <c r="G3798" s="3"/>
      <c r="H3798" s="3"/>
      <c r="I3798" s="3"/>
      <c r="J3798" s="3"/>
      <c r="K3798" s="3">
        <f t="shared" si="138"/>
        <v>0</v>
      </c>
      <c r="L3798" s="3"/>
      <c r="M3798" s="3">
        <f t="shared" si="137"/>
        <v>0</v>
      </c>
      <c r="O3798" s="5"/>
      <c r="S3798" s="6"/>
    </row>
    <row r="3799" spans="1:19" customFormat="1" x14ac:dyDescent="0.45">
      <c r="A3799">
        <v>705132</v>
      </c>
      <c r="B3799" t="s">
        <v>23455</v>
      </c>
      <c r="C3799" t="s">
        <v>23456</v>
      </c>
      <c r="D3799">
        <v>12</v>
      </c>
      <c r="F3799" s="126"/>
      <c r="G3799" s="3">
        <v>0</v>
      </c>
      <c r="H3799" s="3">
        <v>0</v>
      </c>
      <c r="I3799" s="3">
        <v>0</v>
      </c>
      <c r="J3799" s="3">
        <v>0</v>
      </c>
      <c r="K3799" s="3">
        <f t="shared" si="138"/>
        <v>0</v>
      </c>
      <c r="L3799" s="3"/>
      <c r="M3799" s="3">
        <f t="shared" si="137"/>
        <v>0</v>
      </c>
      <c r="O3799" s="5"/>
      <c r="S3799" s="6"/>
    </row>
    <row r="3800" spans="1:19" customFormat="1" x14ac:dyDescent="0.45">
      <c r="A3800">
        <v>705150</v>
      </c>
      <c r="B3800" t="s">
        <v>23457</v>
      </c>
      <c r="C3800" t="s">
        <v>23458</v>
      </c>
      <c r="D3800">
        <v>1</v>
      </c>
      <c r="F3800" s="126"/>
      <c r="G3800" s="3">
        <v>0</v>
      </c>
      <c r="H3800" s="3">
        <v>0</v>
      </c>
      <c r="I3800" s="3">
        <v>0</v>
      </c>
      <c r="J3800" s="3">
        <v>0</v>
      </c>
      <c r="K3800" s="3">
        <f t="shared" si="138"/>
        <v>0</v>
      </c>
      <c r="L3800" s="3"/>
      <c r="M3800" s="3">
        <f t="shared" si="137"/>
        <v>0</v>
      </c>
      <c r="O3800" s="5"/>
      <c r="S3800" s="6"/>
    </row>
    <row r="3801" spans="1:19" customFormat="1" x14ac:dyDescent="0.45">
      <c r="A3801">
        <v>705566</v>
      </c>
      <c r="B3801" t="s">
        <v>23459</v>
      </c>
      <c r="C3801" t="s">
        <v>23460</v>
      </c>
      <c r="D3801">
        <v>1</v>
      </c>
      <c r="F3801" s="126"/>
      <c r="G3801" s="7">
        <v>0</v>
      </c>
      <c r="H3801" s="7">
        <v>0</v>
      </c>
      <c r="I3801" s="7">
        <v>0</v>
      </c>
      <c r="J3801" s="7">
        <v>0</v>
      </c>
      <c r="K3801" s="3">
        <f t="shared" si="138"/>
        <v>0</v>
      </c>
      <c r="L3801" s="3"/>
      <c r="M3801" s="3">
        <f t="shared" si="137"/>
        <v>0</v>
      </c>
      <c r="O3801" s="5"/>
      <c r="S3801" s="6"/>
    </row>
    <row r="3802" spans="1:19" customFormat="1" x14ac:dyDescent="0.45">
      <c r="A3802">
        <v>705578</v>
      </c>
      <c r="B3802" t="s">
        <v>23461</v>
      </c>
      <c r="C3802" t="s">
        <v>23462</v>
      </c>
      <c r="D3802">
        <v>1</v>
      </c>
      <c r="F3802" s="126"/>
      <c r="G3802" s="7">
        <v>0</v>
      </c>
      <c r="H3802" s="7">
        <v>0</v>
      </c>
      <c r="I3802" s="7">
        <v>0</v>
      </c>
      <c r="J3802" s="7">
        <v>0</v>
      </c>
      <c r="K3802" s="3">
        <f t="shared" si="138"/>
        <v>0</v>
      </c>
      <c r="L3802" s="3"/>
      <c r="M3802" s="3">
        <f t="shared" si="137"/>
        <v>0</v>
      </c>
      <c r="N3802" s="7"/>
      <c r="O3802" s="5"/>
      <c r="S3802" s="6"/>
    </row>
    <row r="3803" spans="1:19" customFormat="1" x14ac:dyDescent="0.45">
      <c r="A3803">
        <v>705589</v>
      </c>
      <c r="B3803" t="s">
        <v>23463</v>
      </c>
      <c r="C3803" t="s">
        <v>16331</v>
      </c>
      <c r="D3803">
        <v>1</v>
      </c>
      <c r="E3803" t="s">
        <v>16331</v>
      </c>
      <c r="F3803" s="126"/>
      <c r="G3803" s="7">
        <v>0</v>
      </c>
      <c r="H3803" s="7">
        <v>0</v>
      </c>
      <c r="I3803" s="7">
        <v>0</v>
      </c>
      <c r="J3803" s="7">
        <v>0</v>
      </c>
      <c r="K3803" s="3">
        <f t="shared" si="138"/>
        <v>0</v>
      </c>
      <c r="L3803" s="3"/>
      <c r="M3803" s="3">
        <f t="shared" si="137"/>
        <v>0</v>
      </c>
      <c r="O3803" s="5"/>
      <c r="S3803" s="6"/>
    </row>
    <row r="3804" spans="1:19" customFormat="1" x14ac:dyDescent="0.45">
      <c r="A3804">
        <v>705758</v>
      </c>
      <c r="B3804" t="s">
        <v>23464</v>
      </c>
      <c r="C3804" t="s">
        <v>23465</v>
      </c>
      <c r="D3804">
        <v>4</v>
      </c>
      <c r="F3804" s="126"/>
      <c r="K3804" s="3">
        <f t="shared" si="138"/>
        <v>0</v>
      </c>
      <c r="L3804" s="3"/>
      <c r="M3804" s="3">
        <f t="shared" si="137"/>
        <v>0</v>
      </c>
      <c r="O3804" s="5"/>
      <c r="S3804" s="6"/>
    </row>
    <row r="3805" spans="1:19" customFormat="1" x14ac:dyDescent="0.45">
      <c r="A3805">
        <v>705772</v>
      </c>
      <c r="B3805" t="s">
        <v>23466</v>
      </c>
      <c r="C3805" t="s">
        <v>16331</v>
      </c>
      <c r="D3805">
        <v>1</v>
      </c>
      <c r="E3805" t="s">
        <v>16331</v>
      </c>
      <c r="F3805" s="126"/>
      <c r="G3805" s="7">
        <v>0</v>
      </c>
      <c r="H3805" s="7">
        <v>0</v>
      </c>
      <c r="I3805" s="7">
        <v>0</v>
      </c>
      <c r="J3805" s="7">
        <v>0</v>
      </c>
      <c r="K3805" s="3">
        <f t="shared" si="138"/>
        <v>0</v>
      </c>
      <c r="L3805" s="3"/>
      <c r="M3805" s="3">
        <f t="shared" si="137"/>
        <v>0</v>
      </c>
      <c r="O3805" s="5"/>
      <c r="S3805" s="6"/>
    </row>
    <row r="3806" spans="1:19" customFormat="1" x14ac:dyDescent="0.45">
      <c r="A3806">
        <v>705785</v>
      </c>
      <c r="B3806" t="s">
        <v>23467</v>
      </c>
      <c r="C3806" t="s">
        <v>23468</v>
      </c>
      <c r="D3806">
        <v>2</v>
      </c>
      <c r="F3806" s="126"/>
      <c r="G3806" s="3">
        <v>0</v>
      </c>
      <c r="H3806" s="3">
        <v>0</v>
      </c>
      <c r="I3806" s="3">
        <v>0</v>
      </c>
      <c r="J3806" s="3">
        <v>0</v>
      </c>
      <c r="K3806" s="3">
        <f t="shared" si="138"/>
        <v>0</v>
      </c>
      <c r="L3806" s="3"/>
      <c r="M3806" s="3">
        <f t="shared" si="137"/>
        <v>0</v>
      </c>
      <c r="O3806" s="5"/>
      <c r="S3806" s="6"/>
    </row>
    <row r="3807" spans="1:19" customFormat="1" x14ac:dyDescent="0.45">
      <c r="A3807">
        <v>705843</v>
      </c>
      <c r="B3807" t="s">
        <v>23469</v>
      </c>
      <c r="C3807" t="s">
        <v>23470</v>
      </c>
      <c r="D3807">
        <v>1</v>
      </c>
      <c r="F3807" s="126"/>
      <c r="G3807" s="3">
        <v>0</v>
      </c>
      <c r="H3807" s="3">
        <v>0</v>
      </c>
      <c r="I3807" s="3">
        <v>0</v>
      </c>
      <c r="J3807" s="3">
        <v>0</v>
      </c>
      <c r="K3807" s="3">
        <f t="shared" si="138"/>
        <v>0</v>
      </c>
      <c r="L3807" s="3"/>
      <c r="M3807" s="3">
        <f t="shared" si="137"/>
        <v>0</v>
      </c>
      <c r="O3807" s="5"/>
      <c r="S3807" s="6"/>
    </row>
    <row r="3808" spans="1:19" customFormat="1" x14ac:dyDescent="0.45">
      <c r="A3808">
        <v>705850</v>
      </c>
      <c r="B3808" t="s">
        <v>23471</v>
      </c>
      <c r="C3808" t="s">
        <v>23472</v>
      </c>
      <c r="D3808">
        <v>1</v>
      </c>
      <c r="F3808" s="126"/>
      <c r="G3808" s="3">
        <v>0</v>
      </c>
      <c r="H3808" s="3">
        <v>0</v>
      </c>
      <c r="I3808" s="3">
        <v>0</v>
      </c>
      <c r="J3808" s="3">
        <v>0</v>
      </c>
      <c r="K3808" s="3">
        <f t="shared" si="138"/>
        <v>0</v>
      </c>
      <c r="L3808" s="3"/>
      <c r="M3808" s="3">
        <f t="shared" si="137"/>
        <v>0</v>
      </c>
      <c r="O3808" s="5"/>
      <c r="S3808" s="6"/>
    </row>
    <row r="3809" spans="1:23" customFormat="1" x14ac:dyDescent="0.45">
      <c r="A3809">
        <v>705852</v>
      </c>
      <c r="B3809" t="s">
        <v>23473</v>
      </c>
      <c r="C3809" t="s">
        <v>23474</v>
      </c>
      <c r="D3809">
        <v>1</v>
      </c>
      <c r="F3809" s="126"/>
      <c r="G3809" s="3"/>
      <c r="H3809" s="3"/>
      <c r="I3809" s="3"/>
      <c r="J3809" s="3"/>
      <c r="K3809" s="3">
        <f t="shared" si="138"/>
        <v>0</v>
      </c>
      <c r="L3809" s="3"/>
      <c r="M3809" s="3">
        <f t="shared" si="137"/>
        <v>0</v>
      </c>
      <c r="O3809" s="5"/>
      <c r="S3809" s="6"/>
    </row>
    <row r="3810" spans="1:23" customFormat="1" x14ac:dyDescent="0.45">
      <c r="A3810">
        <v>706119</v>
      </c>
      <c r="B3810" t="s">
        <v>23475</v>
      </c>
      <c r="C3810" t="s">
        <v>23476</v>
      </c>
      <c r="D3810">
        <v>1</v>
      </c>
      <c r="F3810" s="126"/>
      <c r="G3810" s="3">
        <v>0</v>
      </c>
      <c r="H3810" s="3">
        <v>0</v>
      </c>
      <c r="I3810" s="3">
        <v>0</v>
      </c>
      <c r="J3810" s="3">
        <v>0</v>
      </c>
      <c r="K3810" s="3">
        <f t="shared" si="138"/>
        <v>0</v>
      </c>
      <c r="L3810" s="3"/>
      <c r="M3810" s="3">
        <f t="shared" si="137"/>
        <v>0</v>
      </c>
      <c r="O3810" s="5"/>
      <c r="S3810" s="6"/>
    </row>
    <row r="3811" spans="1:23" customFormat="1" x14ac:dyDescent="0.45">
      <c r="A3811">
        <v>706237</v>
      </c>
      <c r="B3811" t="s">
        <v>23477</v>
      </c>
      <c r="C3811" t="s">
        <v>23478</v>
      </c>
      <c r="D3811">
        <v>1</v>
      </c>
      <c r="F3811" s="126"/>
      <c r="G3811" s="3">
        <v>0</v>
      </c>
      <c r="H3811" s="3">
        <v>0</v>
      </c>
      <c r="I3811" s="3">
        <v>0</v>
      </c>
      <c r="J3811" s="3">
        <v>0</v>
      </c>
      <c r="K3811" s="3">
        <f t="shared" si="138"/>
        <v>0</v>
      </c>
      <c r="L3811" s="3"/>
      <c r="M3811" s="3">
        <f t="shared" si="137"/>
        <v>0</v>
      </c>
      <c r="O3811" s="5"/>
      <c r="S3811" s="6"/>
    </row>
    <row r="3812" spans="1:23" customFormat="1" x14ac:dyDescent="0.45">
      <c r="A3812">
        <v>706248</v>
      </c>
      <c r="B3812" t="s">
        <v>23479</v>
      </c>
      <c r="C3812" t="s">
        <v>23480</v>
      </c>
      <c r="D3812">
        <v>1</v>
      </c>
      <c r="F3812" s="126"/>
      <c r="G3812" s="3">
        <v>0</v>
      </c>
      <c r="H3812" s="3">
        <v>0</v>
      </c>
      <c r="I3812" s="3">
        <v>0</v>
      </c>
      <c r="J3812" s="3">
        <v>0</v>
      </c>
      <c r="K3812" s="3">
        <f t="shared" si="138"/>
        <v>0</v>
      </c>
      <c r="L3812" s="3"/>
      <c r="M3812" s="3">
        <f t="shared" si="137"/>
        <v>0</v>
      </c>
      <c r="O3812" s="5"/>
      <c r="S3812" s="6"/>
    </row>
    <row r="3813" spans="1:23" customFormat="1" x14ac:dyDescent="0.45">
      <c r="A3813">
        <v>706327</v>
      </c>
      <c r="B3813" t="s">
        <v>23481</v>
      </c>
      <c r="C3813" t="s">
        <v>23482</v>
      </c>
      <c r="D3813">
        <v>1</v>
      </c>
      <c r="F3813" s="126"/>
      <c r="G3813" s="3">
        <v>0</v>
      </c>
      <c r="H3813" s="3">
        <v>0</v>
      </c>
      <c r="I3813" s="3">
        <v>0</v>
      </c>
      <c r="J3813" s="3">
        <v>0</v>
      </c>
      <c r="K3813" s="3">
        <f t="shared" si="138"/>
        <v>0</v>
      </c>
      <c r="L3813" s="3"/>
      <c r="M3813" s="3">
        <f t="shared" si="137"/>
        <v>0</v>
      </c>
      <c r="O3813" s="5"/>
      <c r="S3813" s="6"/>
    </row>
    <row r="3814" spans="1:23" customFormat="1" x14ac:dyDescent="0.45">
      <c r="A3814">
        <v>706413</v>
      </c>
      <c r="B3814" t="s">
        <v>23483</v>
      </c>
      <c r="C3814" t="s">
        <v>16331</v>
      </c>
      <c r="D3814">
        <v>1</v>
      </c>
      <c r="E3814" t="s">
        <v>16331</v>
      </c>
      <c r="F3814" s="126"/>
      <c r="K3814" s="3">
        <f t="shared" si="138"/>
        <v>0</v>
      </c>
      <c r="L3814" s="3"/>
      <c r="M3814" s="3">
        <f t="shared" si="137"/>
        <v>0</v>
      </c>
      <c r="O3814" s="5"/>
      <c r="S3814" s="6"/>
    </row>
    <row r="3815" spans="1:23" customFormat="1" x14ac:dyDescent="0.45">
      <c r="A3815">
        <v>706509</v>
      </c>
      <c r="B3815" t="s">
        <v>23484</v>
      </c>
      <c r="C3815" t="s">
        <v>23485</v>
      </c>
      <c r="D3815">
        <v>1</v>
      </c>
      <c r="F3815" s="126"/>
      <c r="G3815" s="3">
        <v>0</v>
      </c>
      <c r="H3815" s="3">
        <v>0</v>
      </c>
      <c r="I3815" s="3">
        <v>0</v>
      </c>
      <c r="J3815" s="3">
        <v>0</v>
      </c>
      <c r="K3815" s="3">
        <f t="shared" si="138"/>
        <v>0</v>
      </c>
      <c r="L3815" s="3"/>
      <c r="M3815" s="3">
        <f t="shared" si="137"/>
        <v>0</v>
      </c>
      <c r="O3815" s="5"/>
      <c r="S3815" s="6"/>
    </row>
    <row r="3816" spans="1:23" customFormat="1" x14ac:dyDescent="0.45">
      <c r="A3816">
        <v>706520</v>
      </c>
      <c r="B3816" t="s">
        <v>23486</v>
      </c>
      <c r="C3816" t="s">
        <v>23487</v>
      </c>
      <c r="D3816">
        <v>1</v>
      </c>
      <c r="F3816" s="126"/>
      <c r="G3816" s="7">
        <v>0</v>
      </c>
      <c r="H3816" s="7">
        <v>0</v>
      </c>
      <c r="I3816" s="7">
        <v>0</v>
      </c>
      <c r="J3816" s="7">
        <v>0</v>
      </c>
      <c r="K3816" s="3">
        <f t="shared" si="138"/>
        <v>0</v>
      </c>
      <c r="L3816" s="3"/>
      <c r="M3816" s="3">
        <f t="shared" si="137"/>
        <v>0</v>
      </c>
      <c r="O3816" s="5"/>
      <c r="S3816" s="6"/>
    </row>
    <row r="3817" spans="1:23" customFormat="1" x14ac:dyDescent="0.45">
      <c r="A3817">
        <v>706535</v>
      </c>
      <c r="B3817" t="s">
        <v>23488</v>
      </c>
      <c r="C3817" t="s">
        <v>23489</v>
      </c>
      <c r="D3817">
        <v>10</v>
      </c>
      <c r="F3817" s="126"/>
      <c r="G3817" s="7">
        <v>0</v>
      </c>
      <c r="H3817" s="7">
        <v>0</v>
      </c>
      <c r="I3817" s="7">
        <v>0</v>
      </c>
      <c r="J3817" s="7">
        <v>0</v>
      </c>
      <c r="K3817" s="3">
        <f t="shared" si="138"/>
        <v>0</v>
      </c>
      <c r="L3817" s="3"/>
      <c r="M3817" s="3">
        <f t="shared" si="137"/>
        <v>0</v>
      </c>
      <c r="O3817" s="5"/>
      <c r="S3817" s="6"/>
    </row>
    <row r="3818" spans="1:23" customFormat="1" x14ac:dyDescent="0.45">
      <c r="A3818">
        <v>706656</v>
      </c>
      <c r="B3818" t="s">
        <v>23490</v>
      </c>
      <c r="C3818" t="s">
        <v>23491</v>
      </c>
      <c r="D3818">
        <v>2</v>
      </c>
      <c r="F3818" s="126"/>
      <c r="K3818" s="3">
        <f t="shared" si="138"/>
        <v>0</v>
      </c>
      <c r="L3818" s="3"/>
      <c r="M3818" s="3">
        <f t="shared" si="137"/>
        <v>0</v>
      </c>
      <c r="O3818" s="5"/>
      <c r="S3818" s="6"/>
    </row>
    <row r="3819" spans="1:23" customFormat="1" x14ac:dyDescent="0.45">
      <c r="A3819">
        <v>706681</v>
      </c>
      <c r="B3819" t="s">
        <v>23492</v>
      </c>
      <c r="C3819" t="s">
        <v>16331</v>
      </c>
      <c r="D3819">
        <v>1</v>
      </c>
      <c r="E3819" t="s">
        <v>16331</v>
      </c>
      <c r="F3819" s="126"/>
      <c r="G3819" s="7">
        <v>0</v>
      </c>
      <c r="H3819" s="7">
        <v>0</v>
      </c>
      <c r="I3819" s="7">
        <v>0</v>
      </c>
      <c r="J3819" s="7">
        <v>0</v>
      </c>
      <c r="K3819" s="3">
        <f t="shared" si="138"/>
        <v>0</v>
      </c>
      <c r="L3819" s="3"/>
      <c r="M3819" s="3">
        <f t="shared" si="137"/>
        <v>0</v>
      </c>
      <c r="O3819" s="5"/>
      <c r="S3819" s="6"/>
    </row>
    <row r="3820" spans="1:23" customFormat="1" x14ac:dyDescent="0.45">
      <c r="A3820">
        <v>706689</v>
      </c>
      <c r="B3820" t="s">
        <v>23493</v>
      </c>
      <c r="C3820" t="s">
        <v>23494</v>
      </c>
      <c r="D3820">
        <v>11</v>
      </c>
      <c r="F3820" s="126"/>
      <c r="G3820" s="7">
        <v>0</v>
      </c>
      <c r="H3820" s="7">
        <v>0</v>
      </c>
      <c r="I3820" s="7">
        <v>0</v>
      </c>
      <c r="J3820" s="7">
        <v>0</v>
      </c>
      <c r="K3820" s="3">
        <f t="shared" si="138"/>
        <v>0</v>
      </c>
      <c r="L3820" s="3"/>
      <c r="M3820" s="3">
        <f t="shared" si="137"/>
        <v>0</v>
      </c>
      <c r="N3820" s="7"/>
      <c r="O3820" s="5"/>
      <c r="S3820" s="6"/>
    </row>
    <row r="3821" spans="1:23" customFormat="1" x14ac:dyDescent="0.45">
      <c r="A3821">
        <v>706697</v>
      </c>
      <c r="B3821" t="s">
        <v>23495</v>
      </c>
      <c r="C3821" t="s">
        <v>23496</v>
      </c>
      <c r="D3821">
        <v>0</v>
      </c>
      <c r="E3821" t="s">
        <v>16561</v>
      </c>
      <c r="F3821" s="126"/>
      <c r="G3821" s="7">
        <v>0</v>
      </c>
      <c r="H3821" s="7">
        <v>0</v>
      </c>
      <c r="I3821" s="7">
        <v>0</v>
      </c>
      <c r="J3821" s="7">
        <v>0</v>
      </c>
      <c r="K3821" s="3">
        <f t="shared" si="138"/>
        <v>0</v>
      </c>
      <c r="L3821" s="3"/>
      <c r="M3821" s="3">
        <f t="shared" si="137"/>
        <v>0</v>
      </c>
      <c r="N3821" s="7"/>
      <c r="O3821" s="5"/>
      <c r="S3821" s="6"/>
    </row>
    <row r="3822" spans="1:23" x14ac:dyDescent="0.45">
      <c r="A3822" s="124">
        <v>189652</v>
      </c>
      <c r="B3822" s="124" t="s">
        <v>23497</v>
      </c>
      <c r="C3822" s="124" t="s">
        <v>23498</v>
      </c>
      <c r="D3822" s="124">
        <v>5</v>
      </c>
      <c r="E3822" s="124" t="s">
        <v>16334</v>
      </c>
      <c r="F3822" s="126">
        <v>1.6999999999999999E-3</v>
      </c>
      <c r="G3822" s="126">
        <v>0.03</v>
      </c>
      <c r="H3822" s="126">
        <v>2.6700000000000002E-2</v>
      </c>
      <c r="I3822" s="135">
        <v>0</v>
      </c>
      <c r="J3822" s="135">
        <v>0</v>
      </c>
      <c r="K3822" s="126">
        <f t="shared" si="138"/>
        <v>5.67E-2</v>
      </c>
      <c r="L3822" s="3"/>
      <c r="M3822" s="126">
        <f t="shared" si="137"/>
        <v>5.8400000000000001E-2</v>
      </c>
      <c r="O3822" s="125" t="s">
        <v>23499</v>
      </c>
      <c r="P3822" s="128" t="s">
        <v>26918</v>
      </c>
      <c r="Q3822" s="130">
        <f>239878+78741</f>
        <v>318619</v>
      </c>
      <c r="R3822" s="124" t="s">
        <v>16348</v>
      </c>
      <c r="S3822" s="130">
        <v>236942</v>
      </c>
      <c r="T3822" s="129">
        <f>S3822/Q3822</f>
        <v>0.74365307781394074</v>
      </c>
      <c r="V3822" s="125" t="s">
        <v>23500</v>
      </c>
      <c r="W3822" s="124" t="s">
        <v>17130</v>
      </c>
    </row>
    <row r="3823" spans="1:23" customFormat="1" x14ac:dyDescent="0.45">
      <c r="A3823">
        <v>707014</v>
      </c>
      <c r="B3823" t="s">
        <v>23501</v>
      </c>
      <c r="C3823" t="s">
        <v>16331</v>
      </c>
      <c r="D3823">
        <v>1</v>
      </c>
      <c r="E3823" t="s">
        <v>16331</v>
      </c>
      <c r="F3823" s="126"/>
      <c r="K3823" s="3">
        <f t="shared" si="138"/>
        <v>0</v>
      </c>
      <c r="L3823" s="3"/>
      <c r="M3823" s="3">
        <f t="shared" ref="M3823:M3886" si="139">K3823+F3823</f>
        <v>0</v>
      </c>
      <c r="O3823" s="5"/>
      <c r="S3823" s="6"/>
    </row>
    <row r="3824" spans="1:23" customFormat="1" x14ac:dyDescent="0.45">
      <c r="A3824">
        <v>707141</v>
      </c>
      <c r="B3824" t="s">
        <v>23502</v>
      </c>
      <c r="C3824" t="s">
        <v>23503</v>
      </c>
      <c r="D3824">
        <v>1</v>
      </c>
      <c r="F3824" s="126"/>
      <c r="G3824" s="3">
        <v>0</v>
      </c>
      <c r="H3824" s="3">
        <v>0</v>
      </c>
      <c r="I3824" s="3">
        <v>0</v>
      </c>
      <c r="J3824" s="3">
        <v>0</v>
      </c>
      <c r="K3824" s="3">
        <f t="shared" si="138"/>
        <v>0</v>
      </c>
      <c r="L3824" s="3"/>
      <c r="M3824" s="3">
        <f t="shared" si="139"/>
        <v>0</v>
      </c>
      <c r="O3824" s="5"/>
      <c r="S3824" s="6"/>
    </row>
    <row r="3825" spans="1:22" customFormat="1" x14ac:dyDescent="0.45">
      <c r="A3825">
        <v>707292</v>
      </c>
      <c r="B3825" t="s">
        <v>23504</v>
      </c>
      <c r="C3825" t="s">
        <v>23505</v>
      </c>
      <c r="D3825">
        <v>2</v>
      </c>
      <c r="F3825" s="126"/>
      <c r="G3825" s="7">
        <v>0</v>
      </c>
      <c r="H3825" s="7">
        <v>0</v>
      </c>
      <c r="I3825" s="7">
        <v>0</v>
      </c>
      <c r="J3825" s="7">
        <v>0</v>
      </c>
      <c r="K3825" s="3">
        <f t="shared" si="138"/>
        <v>0</v>
      </c>
      <c r="L3825" s="3"/>
      <c r="M3825" s="3">
        <f t="shared" si="139"/>
        <v>0</v>
      </c>
      <c r="O3825" s="5"/>
      <c r="S3825" s="6"/>
    </row>
    <row r="3826" spans="1:22" customFormat="1" x14ac:dyDescent="0.45">
      <c r="A3826">
        <v>707296</v>
      </c>
      <c r="B3826" t="s">
        <v>23506</v>
      </c>
      <c r="C3826" t="s">
        <v>23507</v>
      </c>
      <c r="D3826">
        <v>2</v>
      </c>
      <c r="F3826" s="126"/>
      <c r="G3826" s="7">
        <v>0</v>
      </c>
      <c r="H3826" s="7">
        <v>0</v>
      </c>
      <c r="I3826" s="7">
        <v>0</v>
      </c>
      <c r="J3826" s="7">
        <v>0</v>
      </c>
      <c r="K3826" s="3">
        <f t="shared" si="138"/>
        <v>0</v>
      </c>
      <c r="L3826" s="3"/>
      <c r="M3826" s="3">
        <f t="shared" si="139"/>
        <v>0</v>
      </c>
      <c r="N3826" s="7"/>
      <c r="O3826" s="5"/>
      <c r="S3826" s="6"/>
    </row>
    <row r="3827" spans="1:22" customFormat="1" x14ac:dyDescent="0.45">
      <c r="A3827">
        <v>707389</v>
      </c>
      <c r="B3827" t="s">
        <v>23508</v>
      </c>
      <c r="C3827" t="s">
        <v>16331</v>
      </c>
      <c r="D3827">
        <v>5</v>
      </c>
      <c r="E3827" t="s">
        <v>16331</v>
      </c>
      <c r="F3827" s="126"/>
      <c r="G3827" s="7">
        <v>0</v>
      </c>
      <c r="H3827" s="7">
        <v>0</v>
      </c>
      <c r="I3827" s="7">
        <v>0</v>
      </c>
      <c r="J3827" s="7">
        <v>0</v>
      </c>
      <c r="K3827" s="3">
        <f t="shared" si="138"/>
        <v>0</v>
      </c>
      <c r="L3827" s="3"/>
      <c r="M3827" s="3">
        <f t="shared" si="139"/>
        <v>0</v>
      </c>
      <c r="O3827" s="5"/>
      <c r="S3827" s="6"/>
    </row>
    <row r="3828" spans="1:22" customFormat="1" x14ac:dyDescent="0.45">
      <c r="A3828">
        <v>707424</v>
      </c>
      <c r="B3828" t="s">
        <v>23509</v>
      </c>
      <c r="C3828" t="s">
        <v>23510</v>
      </c>
      <c r="D3828">
        <v>6</v>
      </c>
      <c r="F3828" s="126"/>
      <c r="G3828" s="7">
        <v>0</v>
      </c>
      <c r="H3828" s="7">
        <v>0</v>
      </c>
      <c r="I3828" s="7">
        <v>0</v>
      </c>
      <c r="J3828" s="7">
        <v>0</v>
      </c>
      <c r="K3828" s="3">
        <f t="shared" si="138"/>
        <v>0</v>
      </c>
      <c r="L3828" s="3"/>
      <c r="M3828" s="3">
        <f t="shared" si="139"/>
        <v>0</v>
      </c>
      <c r="O3828" s="5"/>
      <c r="S3828" s="6"/>
    </row>
    <row r="3829" spans="1:22" customFormat="1" x14ac:dyDescent="0.45">
      <c r="A3829">
        <v>707491</v>
      </c>
      <c r="B3829" t="s">
        <v>23511</v>
      </c>
      <c r="C3829" t="s">
        <v>23512</v>
      </c>
      <c r="D3829">
        <v>1</v>
      </c>
      <c r="F3829" s="126"/>
      <c r="G3829" s="3"/>
      <c r="H3829" s="3"/>
      <c r="I3829" s="3"/>
      <c r="J3829" s="3"/>
      <c r="K3829" s="3">
        <f t="shared" si="138"/>
        <v>0</v>
      </c>
      <c r="L3829" s="3"/>
      <c r="M3829" s="3">
        <f t="shared" si="139"/>
        <v>0</v>
      </c>
      <c r="O3829" s="5"/>
      <c r="S3829" s="6"/>
    </row>
    <row r="3830" spans="1:22" customFormat="1" x14ac:dyDescent="0.45">
      <c r="A3830">
        <v>707499</v>
      </c>
      <c r="B3830" t="s">
        <v>23513</v>
      </c>
      <c r="C3830" t="s">
        <v>23514</v>
      </c>
      <c r="D3830">
        <v>2</v>
      </c>
      <c r="F3830" s="126"/>
      <c r="G3830" s="3">
        <v>0</v>
      </c>
      <c r="H3830" s="3">
        <v>0</v>
      </c>
      <c r="I3830" s="3">
        <v>0</v>
      </c>
      <c r="J3830" s="3">
        <v>0</v>
      </c>
      <c r="K3830" s="3">
        <f t="shared" si="138"/>
        <v>0</v>
      </c>
      <c r="L3830" s="3"/>
      <c r="M3830" s="3">
        <f t="shared" si="139"/>
        <v>0</v>
      </c>
      <c r="O3830" s="5"/>
      <c r="S3830" s="6"/>
    </row>
    <row r="3831" spans="1:22" customFormat="1" x14ac:dyDescent="0.45">
      <c r="A3831">
        <v>707505</v>
      </c>
      <c r="B3831" t="s">
        <v>23515</v>
      </c>
      <c r="C3831" t="s">
        <v>16331</v>
      </c>
      <c r="D3831">
        <v>1</v>
      </c>
      <c r="E3831" t="s">
        <v>16331</v>
      </c>
      <c r="F3831" s="126"/>
      <c r="G3831" s="7">
        <v>0</v>
      </c>
      <c r="H3831" s="7">
        <v>0</v>
      </c>
      <c r="I3831" s="7">
        <v>0</v>
      </c>
      <c r="J3831" s="7">
        <v>0</v>
      </c>
      <c r="K3831" s="3">
        <f t="shared" si="138"/>
        <v>0</v>
      </c>
      <c r="L3831" s="3"/>
      <c r="M3831" s="3">
        <f t="shared" si="139"/>
        <v>0</v>
      </c>
      <c r="O3831" s="5"/>
      <c r="S3831" s="6"/>
    </row>
    <row r="3832" spans="1:22" customFormat="1" x14ac:dyDescent="0.45">
      <c r="A3832">
        <v>707510</v>
      </c>
      <c r="B3832" t="s">
        <v>23516</v>
      </c>
      <c r="C3832" t="s">
        <v>23517</v>
      </c>
      <c r="D3832">
        <v>1</v>
      </c>
      <c r="F3832" s="126"/>
      <c r="G3832" s="3">
        <v>0</v>
      </c>
      <c r="H3832" s="3">
        <v>0</v>
      </c>
      <c r="I3832" s="3">
        <v>0</v>
      </c>
      <c r="J3832" s="3">
        <v>0</v>
      </c>
      <c r="K3832" s="3">
        <f t="shared" si="138"/>
        <v>0</v>
      </c>
      <c r="L3832" s="3"/>
      <c r="M3832" s="3">
        <f t="shared" si="139"/>
        <v>0</v>
      </c>
      <c r="O3832" s="5"/>
      <c r="S3832" s="6"/>
    </row>
    <row r="3833" spans="1:22" customFormat="1" x14ac:dyDescent="0.45">
      <c r="A3833">
        <v>707549</v>
      </c>
      <c r="B3833" t="s">
        <v>23518</v>
      </c>
      <c r="C3833" t="s">
        <v>23519</v>
      </c>
      <c r="D3833">
        <v>4</v>
      </c>
      <c r="F3833" s="126"/>
      <c r="G3833" s="3">
        <v>0</v>
      </c>
      <c r="H3833" s="3">
        <v>0</v>
      </c>
      <c r="I3833" s="3">
        <v>0</v>
      </c>
      <c r="J3833" s="3">
        <v>0</v>
      </c>
      <c r="K3833" s="3">
        <f t="shared" si="138"/>
        <v>0</v>
      </c>
      <c r="L3833" s="3"/>
      <c r="M3833" s="3">
        <f t="shared" si="139"/>
        <v>0</v>
      </c>
      <c r="O3833" s="5"/>
      <c r="S3833" s="6"/>
    </row>
    <row r="3834" spans="1:22" customFormat="1" x14ac:dyDescent="0.45">
      <c r="A3834">
        <v>707560</v>
      </c>
      <c r="B3834" t="s">
        <v>23520</v>
      </c>
      <c r="C3834" t="s">
        <v>23521</v>
      </c>
      <c r="D3834">
        <v>1</v>
      </c>
      <c r="F3834" s="126"/>
      <c r="G3834" s="3">
        <v>0</v>
      </c>
      <c r="H3834" s="3">
        <v>0</v>
      </c>
      <c r="I3834" s="3">
        <v>0</v>
      </c>
      <c r="J3834" s="3">
        <v>0</v>
      </c>
      <c r="K3834" s="3">
        <f t="shared" si="138"/>
        <v>0</v>
      </c>
      <c r="L3834" s="3"/>
      <c r="M3834" s="3">
        <f t="shared" si="139"/>
        <v>0</v>
      </c>
      <c r="O3834" s="5"/>
      <c r="S3834" s="6"/>
    </row>
    <row r="3835" spans="1:22" customFormat="1" x14ac:dyDescent="0.45">
      <c r="A3835">
        <v>707566</v>
      </c>
      <c r="B3835" t="s">
        <v>23522</v>
      </c>
      <c r="C3835" t="s">
        <v>23523</v>
      </c>
      <c r="D3835">
        <v>2</v>
      </c>
      <c r="F3835" s="126"/>
      <c r="G3835" s="3">
        <v>0</v>
      </c>
      <c r="H3835" s="3">
        <v>0</v>
      </c>
      <c r="I3835" s="3">
        <v>0</v>
      </c>
      <c r="J3835" s="3">
        <v>0</v>
      </c>
      <c r="K3835" s="3">
        <f t="shared" si="138"/>
        <v>0</v>
      </c>
      <c r="L3835" s="3"/>
      <c r="M3835" s="3">
        <f t="shared" si="139"/>
        <v>0</v>
      </c>
      <c r="O3835" s="5"/>
      <c r="S3835" s="6"/>
    </row>
    <row r="3836" spans="1:22" customFormat="1" x14ac:dyDescent="0.45">
      <c r="A3836">
        <v>707844</v>
      </c>
      <c r="B3836" t="s">
        <v>23524</v>
      </c>
      <c r="C3836" t="s">
        <v>16331</v>
      </c>
      <c r="D3836">
        <v>2</v>
      </c>
      <c r="E3836" t="s">
        <v>16331</v>
      </c>
      <c r="F3836" s="126"/>
      <c r="G3836" s="7">
        <v>0</v>
      </c>
      <c r="H3836" s="7">
        <v>0</v>
      </c>
      <c r="I3836" s="7">
        <v>0</v>
      </c>
      <c r="J3836" s="7">
        <v>0</v>
      </c>
      <c r="K3836" s="3">
        <f t="shared" ref="K3836:K3899" si="140">SUM(G3836:J3836)</f>
        <v>0</v>
      </c>
      <c r="L3836" s="3"/>
      <c r="M3836" s="3">
        <f t="shared" si="139"/>
        <v>0</v>
      </c>
      <c r="O3836" s="5"/>
      <c r="S3836" s="6"/>
    </row>
    <row r="3837" spans="1:22" customFormat="1" x14ac:dyDescent="0.45">
      <c r="A3837">
        <v>707853</v>
      </c>
      <c r="B3837" t="s">
        <v>23525</v>
      </c>
      <c r="C3837" t="s">
        <v>23526</v>
      </c>
      <c r="D3837">
        <v>1</v>
      </c>
      <c r="F3837" s="126"/>
      <c r="G3837" s="7">
        <v>0</v>
      </c>
      <c r="H3837" s="7">
        <v>0</v>
      </c>
      <c r="I3837" s="7">
        <v>0</v>
      </c>
      <c r="J3837" s="7">
        <v>0</v>
      </c>
      <c r="K3837" s="3">
        <f t="shared" si="140"/>
        <v>0</v>
      </c>
      <c r="L3837" s="3"/>
      <c r="M3837" s="3">
        <f t="shared" si="139"/>
        <v>0</v>
      </c>
      <c r="O3837" s="5"/>
      <c r="S3837" s="6"/>
    </row>
    <row r="3838" spans="1:22" x14ac:dyDescent="0.45">
      <c r="A3838" s="124">
        <v>577360</v>
      </c>
      <c r="B3838" s="124" t="s">
        <v>23527</v>
      </c>
      <c r="C3838" s="124" t="s">
        <v>23528</v>
      </c>
      <c r="D3838" s="124">
        <v>5</v>
      </c>
      <c r="E3838" s="124" t="s">
        <v>16334</v>
      </c>
      <c r="F3838" s="126">
        <v>1.6999999999999999E-3</v>
      </c>
      <c r="G3838" s="126">
        <f>(0.5%+3%)/2</f>
        <v>1.7499999999999998E-2</v>
      </c>
      <c r="H3838" s="126">
        <f>1.5%/2</f>
        <v>7.4999999999999997E-3</v>
      </c>
      <c r="I3838" s="127"/>
      <c r="J3838" s="127"/>
      <c r="K3838" s="126">
        <f t="shared" si="140"/>
        <v>2.4999999999999998E-2</v>
      </c>
      <c r="L3838" s="3"/>
      <c r="M3838" s="126">
        <f t="shared" si="139"/>
        <v>2.6699999999999998E-2</v>
      </c>
      <c r="O3838" s="125" t="s">
        <v>23529</v>
      </c>
      <c r="P3838" s="128" t="s">
        <v>26918</v>
      </c>
      <c r="Q3838" s="130">
        <f>125132+127088</f>
        <v>252220</v>
      </c>
      <c r="R3838" s="124" t="s">
        <v>16348</v>
      </c>
      <c r="S3838" s="130">
        <v>122660</v>
      </c>
      <c r="T3838" s="129">
        <f>S3838/Q3838</f>
        <v>0.48632146538736026</v>
      </c>
      <c r="V3838" s="125" t="s">
        <v>23530</v>
      </c>
    </row>
    <row r="3839" spans="1:22" customFormat="1" x14ac:dyDescent="0.45">
      <c r="A3839">
        <v>708027</v>
      </c>
      <c r="B3839" t="s">
        <v>23531</v>
      </c>
      <c r="C3839" t="s">
        <v>16331</v>
      </c>
      <c r="D3839">
        <v>1</v>
      </c>
      <c r="E3839" t="s">
        <v>16331</v>
      </c>
      <c r="F3839" s="126"/>
      <c r="K3839" s="3">
        <f t="shared" si="140"/>
        <v>0</v>
      </c>
      <c r="L3839" s="3"/>
      <c r="M3839" s="3">
        <f t="shared" si="139"/>
        <v>0</v>
      </c>
      <c r="O3839" s="5"/>
      <c r="S3839" s="6"/>
    </row>
    <row r="3840" spans="1:22" customFormat="1" x14ac:dyDescent="0.45">
      <c r="A3840">
        <v>708033</v>
      </c>
      <c r="B3840" t="s">
        <v>23532</v>
      </c>
      <c r="C3840" t="s">
        <v>16331</v>
      </c>
      <c r="D3840">
        <v>1</v>
      </c>
      <c r="E3840" t="s">
        <v>16331</v>
      </c>
      <c r="F3840" s="126"/>
      <c r="G3840" s="7">
        <v>0</v>
      </c>
      <c r="H3840" s="7">
        <v>0</v>
      </c>
      <c r="I3840" s="7">
        <v>0</v>
      </c>
      <c r="J3840" s="7">
        <v>0</v>
      </c>
      <c r="K3840" s="3">
        <f t="shared" si="140"/>
        <v>0</v>
      </c>
      <c r="L3840" s="3"/>
      <c r="M3840" s="3">
        <f t="shared" si="139"/>
        <v>0</v>
      </c>
      <c r="O3840" s="5"/>
      <c r="S3840" s="6"/>
    </row>
    <row r="3841" spans="1:19" customFormat="1" x14ac:dyDescent="0.45">
      <c r="A3841">
        <v>708063</v>
      </c>
      <c r="B3841" t="s">
        <v>23533</v>
      </c>
      <c r="C3841" t="s">
        <v>16331</v>
      </c>
      <c r="D3841">
        <v>3</v>
      </c>
      <c r="E3841" t="s">
        <v>16331</v>
      </c>
      <c r="F3841" s="126"/>
      <c r="G3841" s="7">
        <v>0</v>
      </c>
      <c r="H3841" s="7">
        <v>0</v>
      </c>
      <c r="I3841" s="7">
        <v>0</v>
      </c>
      <c r="J3841" s="7">
        <v>0</v>
      </c>
      <c r="K3841" s="3">
        <f t="shared" si="140"/>
        <v>0</v>
      </c>
      <c r="L3841" s="3"/>
      <c r="M3841" s="3">
        <f t="shared" si="139"/>
        <v>0</v>
      </c>
      <c r="O3841" s="5"/>
      <c r="S3841" s="6"/>
    </row>
    <row r="3842" spans="1:19" customFormat="1" x14ac:dyDescent="0.45">
      <c r="A3842">
        <v>708307</v>
      </c>
      <c r="B3842" t="s">
        <v>23534</v>
      </c>
      <c r="C3842" t="s">
        <v>23535</v>
      </c>
      <c r="D3842">
        <v>0</v>
      </c>
      <c r="E3842" t="s">
        <v>16561</v>
      </c>
      <c r="F3842" s="126"/>
      <c r="G3842" s="3">
        <v>0</v>
      </c>
      <c r="H3842" s="3">
        <v>0</v>
      </c>
      <c r="I3842" s="3">
        <v>0</v>
      </c>
      <c r="J3842" s="3">
        <v>0</v>
      </c>
      <c r="K3842" s="3">
        <f t="shared" si="140"/>
        <v>0</v>
      </c>
      <c r="L3842" s="3"/>
      <c r="M3842" s="3">
        <f t="shared" si="139"/>
        <v>0</v>
      </c>
      <c r="O3842" s="5"/>
      <c r="S3842" s="6"/>
    </row>
    <row r="3843" spans="1:19" customFormat="1" x14ac:dyDescent="0.45">
      <c r="A3843">
        <v>708386</v>
      </c>
      <c r="B3843" t="s">
        <v>23536</v>
      </c>
      <c r="C3843" t="s">
        <v>23537</v>
      </c>
      <c r="D3843">
        <v>4</v>
      </c>
      <c r="F3843" s="126"/>
      <c r="G3843" s="3">
        <v>0</v>
      </c>
      <c r="H3843" s="3">
        <v>0</v>
      </c>
      <c r="I3843" s="3">
        <v>0</v>
      </c>
      <c r="J3843" s="3">
        <v>0</v>
      </c>
      <c r="K3843" s="3">
        <f t="shared" si="140"/>
        <v>0</v>
      </c>
      <c r="L3843" s="3"/>
      <c r="M3843" s="3">
        <f t="shared" si="139"/>
        <v>0</v>
      </c>
      <c r="O3843" s="5"/>
      <c r="S3843" s="6"/>
    </row>
    <row r="3844" spans="1:19" customFormat="1" x14ac:dyDescent="0.45">
      <c r="A3844">
        <v>708406</v>
      </c>
      <c r="B3844" t="s">
        <v>23538</v>
      </c>
      <c r="C3844" t="s">
        <v>16331</v>
      </c>
      <c r="D3844">
        <v>1</v>
      </c>
      <c r="E3844" t="s">
        <v>16331</v>
      </c>
      <c r="F3844" s="126"/>
      <c r="G3844" s="7">
        <v>0</v>
      </c>
      <c r="H3844" s="7">
        <v>0</v>
      </c>
      <c r="I3844" s="7">
        <v>0</v>
      </c>
      <c r="J3844" s="7">
        <v>0</v>
      </c>
      <c r="K3844" s="3">
        <f t="shared" si="140"/>
        <v>0</v>
      </c>
      <c r="L3844" s="3"/>
      <c r="M3844" s="3">
        <f t="shared" si="139"/>
        <v>0</v>
      </c>
      <c r="O3844" s="5"/>
      <c r="S3844" s="6"/>
    </row>
    <row r="3845" spans="1:19" customFormat="1" x14ac:dyDescent="0.45">
      <c r="A3845">
        <v>708527</v>
      </c>
      <c r="B3845" t="s">
        <v>23539</v>
      </c>
      <c r="C3845" t="s">
        <v>23540</v>
      </c>
      <c r="D3845">
        <v>2</v>
      </c>
      <c r="F3845" s="126"/>
      <c r="G3845" s="3">
        <v>0</v>
      </c>
      <c r="H3845" s="3">
        <v>0</v>
      </c>
      <c r="I3845" s="3">
        <v>0</v>
      </c>
      <c r="J3845" s="3">
        <v>0</v>
      </c>
      <c r="K3845" s="3">
        <f t="shared" si="140"/>
        <v>0</v>
      </c>
      <c r="L3845" s="3"/>
      <c r="M3845" s="3">
        <f t="shared" si="139"/>
        <v>0</v>
      </c>
      <c r="O3845" s="5"/>
      <c r="S3845" s="6"/>
    </row>
    <row r="3846" spans="1:19" customFormat="1" x14ac:dyDescent="0.45">
      <c r="A3846">
        <v>708582</v>
      </c>
      <c r="B3846" t="s">
        <v>23541</v>
      </c>
      <c r="C3846" t="s">
        <v>23542</v>
      </c>
      <c r="D3846">
        <v>4</v>
      </c>
      <c r="F3846" s="126"/>
      <c r="G3846" s="7">
        <v>0</v>
      </c>
      <c r="H3846" s="7">
        <v>0</v>
      </c>
      <c r="I3846" s="7">
        <v>0</v>
      </c>
      <c r="J3846" s="7">
        <v>0</v>
      </c>
      <c r="K3846" s="3">
        <f t="shared" si="140"/>
        <v>0</v>
      </c>
      <c r="L3846" s="3"/>
      <c r="M3846" s="3">
        <f t="shared" si="139"/>
        <v>0</v>
      </c>
      <c r="O3846" s="5"/>
      <c r="S3846" s="6"/>
    </row>
    <row r="3847" spans="1:19" customFormat="1" x14ac:dyDescent="0.45">
      <c r="A3847">
        <v>708666</v>
      </c>
      <c r="B3847" t="s">
        <v>23543</v>
      </c>
      <c r="C3847" t="s">
        <v>23544</v>
      </c>
      <c r="D3847">
        <v>0</v>
      </c>
      <c r="E3847" t="s">
        <v>16561</v>
      </c>
      <c r="F3847" s="126"/>
      <c r="G3847" s="7">
        <v>0</v>
      </c>
      <c r="H3847" s="7">
        <v>0</v>
      </c>
      <c r="I3847" s="7">
        <v>0</v>
      </c>
      <c r="J3847" s="7">
        <v>0</v>
      </c>
      <c r="K3847" s="3">
        <f t="shared" si="140"/>
        <v>0</v>
      </c>
      <c r="L3847" s="3"/>
      <c r="M3847" s="3">
        <f t="shared" si="139"/>
        <v>0</v>
      </c>
      <c r="N3847" s="7"/>
      <c r="O3847" s="5"/>
      <c r="S3847" s="6"/>
    </row>
    <row r="3848" spans="1:19" customFormat="1" x14ac:dyDescent="0.45">
      <c r="A3848">
        <v>708668</v>
      </c>
      <c r="B3848" t="s">
        <v>23545</v>
      </c>
      <c r="C3848" t="s">
        <v>23546</v>
      </c>
      <c r="D3848">
        <v>2</v>
      </c>
      <c r="F3848" s="126"/>
      <c r="G3848" s="7">
        <v>0</v>
      </c>
      <c r="H3848" s="7">
        <v>0</v>
      </c>
      <c r="I3848" s="7">
        <v>0</v>
      </c>
      <c r="J3848" s="7">
        <v>0</v>
      </c>
      <c r="K3848" s="3">
        <f t="shared" si="140"/>
        <v>0</v>
      </c>
      <c r="L3848" s="3"/>
      <c r="M3848" s="3">
        <f t="shared" si="139"/>
        <v>0</v>
      </c>
      <c r="O3848" s="5"/>
      <c r="S3848" s="6"/>
    </row>
    <row r="3849" spans="1:19" customFormat="1" x14ac:dyDescent="0.45">
      <c r="A3849">
        <v>708736</v>
      </c>
      <c r="B3849" t="s">
        <v>23547</v>
      </c>
      <c r="C3849" t="s">
        <v>23548</v>
      </c>
      <c r="D3849">
        <v>1</v>
      </c>
      <c r="F3849" s="126"/>
      <c r="G3849" s="7">
        <v>0</v>
      </c>
      <c r="H3849" s="7">
        <v>0</v>
      </c>
      <c r="I3849" s="7">
        <v>0</v>
      </c>
      <c r="J3849" s="7">
        <v>0</v>
      </c>
      <c r="K3849" s="3">
        <f t="shared" si="140"/>
        <v>0</v>
      </c>
      <c r="L3849" s="3"/>
      <c r="M3849" s="3">
        <f t="shared" si="139"/>
        <v>0</v>
      </c>
      <c r="O3849" s="5"/>
      <c r="S3849" s="6"/>
    </row>
    <row r="3850" spans="1:19" customFormat="1" x14ac:dyDescent="0.45">
      <c r="A3850">
        <v>708789</v>
      </c>
      <c r="B3850" t="s">
        <v>23549</v>
      </c>
      <c r="C3850" t="s">
        <v>23550</v>
      </c>
      <c r="D3850">
        <v>1</v>
      </c>
      <c r="F3850" s="126"/>
      <c r="G3850" s="3">
        <v>0</v>
      </c>
      <c r="H3850" s="3">
        <v>0</v>
      </c>
      <c r="I3850" s="3">
        <v>0</v>
      </c>
      <c r="J3850" s="3">
        <v>0</v>
      </c>
      <c r="K3850" s="3">
        <f t="shared" si="140"/>
        <v>0</v>
      </c>
      <c r="L3850" s="3"/>
      <c r="M3850" s="3">
        <f t="shared" si="139"/>
        <v>0</v>
      </c>
      <c r="O3850" s="5"/>
      <c r="S3850" s="6"/>
    </row>
    <row r="3851" spans="1:19" customFormat="1" x14ac:dyDescent="0.45">
      <c r="A3851">
        <v>708813</v>
      </c>
      <c r="B3851" t="s">
        <v>23551</v>
      </c>
      <c r="C3851" t="s">
        <v>23552</v>
      </c>
      <c r="D3851">
        <v>1</v>
      </c>
      <c r="F3851" s="126"/>
      <c r="G3851" s="3">
        <v>0</v>
      </c>
      <c r="H3851" s="3">
        <v>0</v>
      </c>
      <c r="I3851" s="3">
        <v>0</v>
      </c>
      <c r="J3851" s="3">
        <v>0</v>
      </c>
      <c r="K3851" s="3">
        <f t="shared" si="140"/>
        <v>0</v>
      </c>
      <c r="L3851" s="3"/>
      <c r="M3851" s="3">
        <f t="shared" si="139"/>
        <v>0</v>
      </c>
      <c r="O3851" s="5"/>
      <c r="S3851" s="6"/>
    </row>
    <row r="3852" spans="1:19" customFormat="1" x14ac:dyDescent="0.45">
      <c r="A3852">
        <v>708839</v>
      </c>
      <c r="B3852" t="s">
        <v>23553</v>
      </c>
      <c r="C3852" t="s">
        <v>23554</v>
      </c>
      <c r="D3852">
        <v>2</v>
      </c>
      <c r="F3852" s="126"/>
      <c r="G3852" s="3"/>
      <c r="H3852" s="3"/>
      <c r="I3852" s="3"/>
      <c r="J3852" s="3"/>
      <c r="K3852" s="3">
        <f t="shared" si="140"/>
        <v>0</v>
      </c>
      <c r="L3852" s="3"/>
      <c r="M3852" s="3">
        <f t="shared" si="139"/>
        <v>0</v>
      </c>
      <c r="O3852" s="5"/>
      <c r="S3852" s="6"/>
    </row>
    <row r="3853" spans="1:19" customFormat="1" x14ac:dyDescent="0.45">
      <c r="A3853">
        <v>709091</v>
      </c>
      <c r="B3853" t="s">
        <v>23555</v>
      </c>
      <c r="C3853" t="s">
        <v>16331</v>
      </c>
      <c r="D3853">
        <v>1</v>
      </c>
      <c r="E3853" t="s">
        <v>16331</v>
      </c>
      <c r="F3853" s="126"/>
      <c r="G3853" s="7">
        <v>0</v>
      </c>
      <c r="H3853" s="7">
        <v>0</v>
      </c>
      <c r="I3853" s="7">
        <v>0</v>
      </c>
      <c r="J3853" s="7">
        <v>0</v>
      </c>
      <c r="K3853" s="3">
        <f t="shared" si="140"/>
        <v>0</v>
      </c>
      <c r="L3853" s="3"/>
      <c r="M3853" s="3">
        <f t="shared" si="139"/>
        <v>0</v>
      </c>
      <c r="O3853" s="5"/>
      <c r="S3853" s="6"/>
    </row>
    <row r="3854" spans="1:19" customFormat="1" x14ac:dyDescent="0.45">
      <c r="A3854">
        <v>709479</v>
      </c>
      <c r="B3854" t="s">
        <v>23556</v>
      </c>
      <c r="C3854" t="s">
        <v>23557</v>
      </c>
      <c r="D3854">
        <v>1</v>
      </c>
      <c r="F3854" s="126"/>
      <c r="G3854" s="3">
        <v>0</v>
      </c>
      <c r="H3854" s="3">
        <v>0</v>
      </c>
      <c r="I3854" s="3">
        <v>0</v>
      </c>
      <c r="J3854" s="3">
        <v>0</v>
      </c>
      <c r="K3854" s="3">
        <f t="shared" si="140"/>
        <v>0</v>
      </c>
      <c r="L3854" s="3"/>
      <c r="M3854" s="3">
        <f t="shared" si="139"/>
        <v>0</v>
      </c>
      <c r="O3854" s="5"/>
      <c r="S3854" s="6"/>
    </row>
    <row r="3855" spans="1:19" customFormat="1" x14ac:dyDescent="0.45">
      <c r="A3855">
        <v>709492</v>
      </c>
      <c r="B3855" t="s">
        <v>23558</v>
      </c>
      <c r="C3855" t="s">
        <v>23559</v>
      </c>
      <c r="D3855">
        <v>2</v>
      </c>
      <c r="F3855" s="126"/>
      <c r="G3855" s="3">
        <v>0</v>
      </c>
      <c r="H3855" s="3">
        <v>0</v>
      </c>
      <c r="I3855" s="3">
        <v>0</v>
      </c>
      <c r="J3855" s="3">
        <v>0</v>
      </c>
      <c r="K3855" s="3">
        <f t="shared" si="140"/>
        <v>0</v>
      </c>
      <c r="L3855" s="3"/>
      <c r="M3855" s="3">
        <f t="shared" si="139"/>
        <v>0</v>
      </c>
      <c r="O3855" s="5"/>
      <c r="S3855" s="6"/>
    </row>
    <row r="3856" spans="1:19" customFormat="1" x14ac:dyDescent="0.45">
      <c r="A3856">
        <v>709493</v>
      </c>
      <c r="B3856" t="s">
        <v>23560</v>
      </c>
      <c r="C3856" t="s">
        <v>16331</v>
      </c>
      <c r="D3856">
        <v>1</v>
      </c>
      <c r="E3856" t="s">
        <v>16331</v>
      </c>
      <c r="F3856" s="126"/>
      <c r="G3856" s="7">
        <v>0</v>
      </c>
      <c r="H3856" s="7">
        <v>0</v>
      </c>
      <c r="I3856" s="7">
        <v>0</v>
      </c>
      <c r="J3856" s="7">
        <v>0</v>
      </c>
      <c r="K3856" s="3">
        <f t="shared" si="140"/>
        <v>0</v>
      </c>
      <c r="L3856" s="3"/>
      <c r="M3856" s="3">
        <f t="shared" si="139"/>
        <v>0</v>
      </c>
      <c r="O3856" s="5"/>
      <c r="S3856" s="6"/>
    </row>
    <row r="3857" spans="1:19" customFormat="1" x14ac:dyDescent="0.45">
      <c r="A3857">
        <v>709533</v>
      </c>
      <c r="B3857" t="s">
        <v>23561</v>
      </c>
      <c r="C3857" t="s">
        <v>16331</v>
      </c>
      <c r="D3857">
        <v>1</v>
      </c>
      <c r="E3857" t="s">
        <v>16331</v>
      </c>
      <c r="F3857" s="126"/>
      <c r="G3857" s="7">
        <v>0</v>
      </c>
      <c r="H3857" s="7">
        <v>0</v>
      </c>
      <c r="I3857" s="7">
        <v>0</v>
      </c>
      <c r="J3857" s="7">
        <v>0</v>
      </c>
      <c r="K3857" s="3">
        <f t="shared" si="140"/>
        <v>0</v>
      </c>
      <c r="L3857" s="3"/>
      <c r="M3857" s="3">
        <f t="shared" si="139"/>
        <v>0</v>
      </c>
      <c r="O3857" s="5"/>
      <c r="S3857" s="6"/>
    </row>
    <row r="3858" spans="1:19" customFormat="1" x14ac:dyDescent="0.45">
      <c r="A3858">
        <v>709538</v>
      </c>
      <c r="B3858" t="s">
        <v>23562</v>
      </c>
      <c r="C3858" t="s">
        <v>23563</v>
      </c>
      <c r="D3858">
        <v>1</v>
      </c>
      <c r="F3858" s="126"/>
      <c r="G3858" s="3">
        <v>0</v>
      </c>
      <c r="H3858" s="3">
        <v>0</v>
      </c>
      <c r="I3858" s="3">
        <v>0</v>
      </c>
      <c r="J3858" s="3">
        <v>0</v>
      </c>
      <c r="K3858" s="3">
        <f t="shared" si="140"/>
        <v>0</v>
      </c>
      <c r="L3858" s="3"/>
      <c r="M3858" s="3">
        <f t="shared" si="139"/>
        <v>0</v>
      </c>
      <c r="O3858" s="5"/>
      <c r="S3858" s="6"/>
    </row>
    <row r="3859" spans="1:19" customFormat="1" x14ac:dyDescent="0.45">
      <c r="A3859">
        <v>709682</v>
      </c>
      <c r="B3859" t="s">
        <v>23564</v>
      </c>
      <c r="C3859" t="s">
        <v>23565</v>
      </c>
      <c r="D3859">
        <v>2</v>
      </c>
      <c r="F3859" s="126"/>
      <c r="G3859" s="7">
        <v>0</v>
      </c>
      <c r="H3859" s="7">
        <v>0</v>
      </c>
      <c r="I3859" s="7">
        <v>0</v>
      </c>
      <c r="J3859" s="7">
        <v>0</v>
      </c>
      <c r="K3859" s="3">
        <f t="shared" si="140"/>
        <v>0</v>
      </c>
      <c r="L3859" s="3"/>
      <c r="M3859" s="3">
        <f t="shared" si="139"/>
        <v>0</v>
      </c>
      <c r="O3859" s="5"/>
      <c r="S3859" s="6"/>
    </row>
    <row r="3860" spans="1:19" customFormat="1" x14ac:dyDescent="0.45">
      <c r="A3860">
        <v>709689</v>
      </c>
      <c r="B3860" t="s">
        <v>23566</v>
      </c>
      <c r="C3860" t="s">
        <v>23567</v>
      </c>
      <c r="D3860">
        <v>1</v>
      </c>
      <c r="F3860" s="126"/>
      <c r="G3860" s="7">
        <v>0</v>
      </c>
      <c r="H3860" s="7">
        <v>0</v>
      </c>
      <c r="I3860" s="7">
        <v>0</v>
      </c>
      <c r="J3860" s="7">
        <v>0</v>
      </c>
      <c r="K3860" s="3">
        <f t="shared" si="140"/>
        <v>0</v>
      </c>
      <c r="L3860" s="3"/>
      <c r="M3860" s="3">
        <f t="shared" si="139"/>
        <v>0</v>
      </c>
      <c r="N3860" s="7"/>
      <c r="O3860" s="5"/>
      <c r="S3860" s="6"/>
    </row>
    <row r="3861" spans="1:19" customFormat="1" x14ac:dyDescent="0.45">
      <c r="A3861">
        <v>710026</v>
      </c>
      <c r="B3861" t="s">
        <v>23568</v>
      </c>
      <c r="C3861" s="2" t="s">
        <v>23569</v>
      </c>
      <c r="D3861">
        <v>1</v>
      </c>
      <c r="F3861" s="126"/>
      <c r="G3861" s="3">
        <v>0</v>
      </c>
      <c r="H3861" s="3">
        <v>0</v>
      </c>
      <c r="I3861" s="3">
        <v>0</v>
      </c>
      <c r="J3861" s="3">
        <v>0</v>
      </c>
      <c r="K3861" s="3">
        <f t="shared" si="140"/>
        <v>0</v>
      </c>
      <c r="L3861" s="3"/>
      <c r="M3861" s="3">
        <f t="shared" si="139"/>
        <v>0</v>
      </c>
      <c r="O3861" s="5"/>
      <c r="S3861" s="6"/>
    </row>
    <row r="3862" spans="1:19" customFormat="1" x14ac:dyDescent="0.45">
      <c r="A3862">
        <v>710272</v>
      </c>
      <c r="B3862" t="s">
        <v>23570</v>
      </c>
      <c r="C3862" t="s">
        <v>23571</v>
      </c>
      <c r="D3862">
        <v>5</v>
      </c>
      <c r="F3862" s="126"/>
      <c r="G3862" s="3">
        <v>0</v>
      </c>
      <c r="H3862" s="3">
        <v>0</v>
      </c>
      <c r="I3862" s="3">
        <v>0</v>
      </c>
      <c r="J3862" s="3">
        <v>0</v>
      </c>
      <c r="K3862" s="3">
        <f t="shared" si="140"/>
        <v>0</v>
      </c>
      <c r="L3862" s="3"/>
      <c r="M3862" s="3">
        <f t="shared" si="139"/>
        <v>0</v>
      </c>
      <c r="O3862" s="5"/>
      <c r="S3862" s="6"/>
    </row>
    <row r="3863" spans="1:19" customFormat="1" x14ac:dyDescent="0.45">
      <c r="A3863">
        <v>710277</v>
      </c>
      <c r="B3863" t="s">
        <v>23572</v>
      </c>
      <c r="C3863" t="s">
        <v>23573</v>
      </c>
      <c r="D3863">
        <v>4</v>
      </c>
      <c r="F3863" s="126"/>
      <c r="G3863" s="3"/>
      <c r="H3863" s="3"/>
      <c r="I3863" s="3"/>
      <c r="J3863" s="3"/>
      <c r="K3863" s="3">
        <f t="shared" si="140"/>
        <v>0</v>
      </c>
      <c r="L3863" s="3"/>
      <c r="M3863" s="3">
        <f t="shared" si="139"/>
        <v>0</v>
      </c>
      <c r="O3863" s="5"/>
      <c r="S3863" s="6"/>
    </row>
    <row r="3864" spans="1:19" customFormat="1" x14ac:dyDescent="0.45">
      <c r="A3864">
        <v>710280</v>
      </c>
      <c r="B3864" t="s">
        <v>23574</v>
      </c>
      <c r="C3864" t="s">
        <v>23575</v>
      </c>
      <c r="D3864">
        <v>18</v>
      </c>
      <c r="F3864" s="126"/>
      <c r="G3864" s="7">
        <v>0</v>
      </c>
      <c r="H3864" s="7">
        <v>0</v>
      </c>
      <c r="I3864" s="7">
        <v>0</v>
      </c>
      <c r="J3864" s="7">
        <v>0</v>
      </c>
      <c r="K3864" s="3">
        <f t="shared" si="140"/>
        <v>0</v>
      </c>
      <c r="L3864" s="3"/>
      <c r="M3864" s="3">
        <f t="shared" si="139"/>
        <v>0</v>
      </c>
      <c r="N3864" s="7"/>
      <c r="O3864" s="5"/>
      <c r="S3864" s="6"/>
    </row>
    <row r="3865" spans="1:19" customFormat="1" x14ac:dyDescent="0.45">
      <c r="A3865">
        <v>710283</v>
      </c>
      <c r="B3865" t="s">
        <v>23576</v>
      </c>
      <c r="C3865" t="s">
        <v>23577</v>
      </c>
      <c r="D3865">
        <v>1</v>
      </c>
      <c r="F3865" s="126"/>
      <c r="G3865" s="3">
        <v>0</v>
      </c>
      <c r="H3865" s="3">
        <v>0</v>
      </c>
      <c r="I3865" s="3">
        <v>0</v>
      </c>
      <c r="J3865" s="3">
        <v>0</v>
      </c>
      <c r="K3865" s="3">
        <f t="shared" si="140"/>
        <v>0</v>
      </c>
      <c r="L3865" s="3"/>
      <c r="M3865" s="3">
        <f t="shared" si="139"/>
        <v>0</v>
      </c>
      <c r="O3865" s="5"/>
      <c r="S3865" s="6"/>
    </row>
    <row r="3866" spans="1:19" customFormat="1" x14ac:dyDescent="0.45">
      <c r="A3866">
        <v>710286</v>
      </c>
      <c r="B3866" t="s">
        <v>23578</v>
      </c>
      <c r="C3866" t="s">
        <v>23579</v>
      </c>
      <c r="D3866">
        <v>2</v>
      </c>
      <c r="F3866" s="126"/>
      <c r="G3866" s="3">
        <v>0</v>
      </c>
      <c r="H3866" s="3">
        <v>0</v>
      </c>
      <c r="I3866" s="3">
        <v>0</v>
      </c>
      <c r="J3866" s="3">
        <v>0</v>
      </c>
      <c r="K3866" s="3">
        <f t="shared" si="140"/>
        <v>0</v>
      </c>
      <c r="L3866" s="3"/>
      <c r="M3866" s="3">
        <f t="shared" si="139"/>
        <v>0</v>
      </c>
      <c r="O3866" s="5"/>
      <c r="S3866" s="6"/>
    </row>
    <row r="3867" spans="1:19" customFormat="1" x14ac:dyDescent="0.45">
      <c r="A3867">
        <v>710323</v>
      </c>
      <c r="B3867" t="s">
        <v>23580</v>
      </c>
      <c r="C3867" t="s">
        <v>23581</v>
      </c>
      <c r="D3867">
        <v>2</v>
      </c>
      <c r="F3867" s="126"/>
      <c r="G3867" s="3">
        <v>0</v>
      </c>
      <c r="H3867" s="3">
        <v>0</v>
      </c>
      <c r="I3867" s="3">
        <v>0</v>
      </c>
      <c r="J3867" s="3">
        <v>0</v>
      </c>
      <c r="K3867" s="3">
        <f t="shared" si="140"/>
        <v>0</v>
      </c>
      <c r="L3867" s="3"/>
      <c r="M3867" s="3">
        <f t="shared" si="139"/>
        <v>0</v>
      </c>
      <c r="O3867" s="5"/>
      <c r="S3867" s="6"/>
    </row>
    <row r="3868" spans="1:19" customFormat="1" x14ac:dyDescent="0.45">
      <c r="A3868">
        <v>710745</v>
      </c>
      <c r="B3868" t="s">
        <v>23582</v>
      </c>
      <c r="C3868" t="s">
        <v>23583</v>
      </c>
      <c r="D3868">
        <v>2</v>
      </c>
      <c r="F3868" s="126"/>
      <c r="G3868" s="7">
        <v>0</v>
      </c>
      <c r="H3868" s="7">
        <v>0</v>
      </c>
      <c r="I3868" s="7">
        <v>0</v>
      </c>
      <c r="J3868" s="7">
        <v>0</v>
      </c>
      <c r="K3868" s="3">
        <f t="shared" si="140"/>
        <v>0</v>
      </c>
      <c r="L3868" s="3"/>
      <c r="M3868" s="3">
        <f t="shared" si="139"/>
        <v>0</v>
      </c>
      <c r="N3868" s="7"/>
      <c r="O3868" s="5"/>
      <c r="S3868" s="6"/>
    </row>
    <row r="3869" spans="1:19" customFormat="1" x14ac:dyDescent="0.45">
      <c r="A3869">
        <v>710768</v>
      </c>
      <c r="B3869" t="s">
        <v>23584</v>
      </c>
      <c r="C3869" t="s">
        <v>16331</v>
      </c>
      <c r="D3869">
        <v>5</v>
      </c>
      <c r="E3869" t="s">
        <v>16331</v>
      </c>
      <c r="F3869" s="126"/>
      <c r="G3869" s="3"/>
      <c r="H3869" s="3"/>
      <c r="I3869" s="3"/>
      <c r="J3869" s="3"/>
      <c r="K3869" s="3">
        <f t="shared" si="140"/>
        <v>0</v>
      </c>
      <c r="L3869" s="3"/>
      <c r="M3869" s="3">
        <f t="shared" si="139"/>
        <v>0</v>
      </c>
      <c r="O3869" s="5"/>
      <c r="S3869" s="6"/>
    </row>
    <row r="3870" spans="1:19" customFormat="1" x14ac:dyDescent="0.45">
      <c r="A3870">
        <v>710850</v>
      </c>
      <c r="B3870" t="s">
        <v>23585</v>
      </c>
      <c r="C3870" t="s">
        <v>16331</v>
      </c>
      <c r="D3870">
        <v>1</v>
      </c>
      <c r="E3870" t="s">
        <v>16331</v>
      </c>
      <c r="F3870" s="126"/>
      <c r="G3870" s="7">
        <v>0</v>
      </c>
      <c r="H3870" s="7">
        <v>0</v>
      </c>
      <c r="I3870" s="7">
        <v>0</v>
      </c>
      <c r="J3870" s="7">
        <v>0</v>
      </c>
      <c r="K3870" s="3">
        <f t="shared" si="140"/>
        <v>0</v>
      </c>
      <c r="L3870" s="3"/>
      <c r="M3870" s="3">
        <f t="shared" si="139"/>
        <v>0</v>
      </c>
      <c r="O3870" s="5"/>
      <c r="S3870" s="6"/>
    </row>
    <row r="3871" spans="1:19" customFormat="1" x14ac:dyDescent="0.45">
      <c r="A3871">
        <v>711046</v>
      </c>
      <c r="B3871" t="s">
        <v>23586</v>
      </c>
      <c r="C3871" t="s">
        <v>16331</v>
      </c>
      <c r="D3871">
        <v>1</v>
      </c>
      <c r="E3871" t="s">
        <v>16331</v>
      </c>
      <c r="F3871" s="126"/>
      <c r="G3871" s="7">
        <v>0</v>
      </c>
      <c r="H3871" s="7">
        <v>0</v>
      </c>
      <c r="I3871" s="7">
        <v>0</v>
      </c>
      <c r="J3871" s="7">
        <v>0</v>
      </c>
      <c r="K3871" s="3">
        <f t="shared" si="140"/>
        <v>0</v>
      </c>
      <c r="L3871" s="3"/>
      <c r="M3871" s="3">
        <f t="shared" si="139"/>
        <v>0</v>
      </c>
      <c r="O3871" s="5"/>
      <c r="S3871" s="6"/>
    </row>
    <row r="3872" spans="1:19" customFormat="1" x14ac:dyDescent="0.45">
      <c r="A3872">
        <v>711070</v>
      </c>
      <c r="B3872" t="s">
        <v>23587</v>
      </c>
      <c r="C3872" t="s">
        <v>23588</v>
      </c>
      <c r="D3872">
        <v>2</v>
      </c>
      <c r="F3872" s="126"/>
      <c r="G3872" s="7">
        <v>0</v>
      </c>
      <c r="H3872" s="7">
        <v>0</v>
      </c>
      <c r="I3872" s="7">
        <v>0</v>
      </c>
      <c r="J3872" s="7">
        <v>0</v>
      </c>
      <c r="K3872" s="3">
        <f t="shared" si="140"/>
        <v>0</v>
      </c>
      <c r="L3872" s="3"/>
      <c r="M3872" s="3">
        <f t="shared" si="139"/>
        <v>0</v>
      </c>
      <c r="O3872" s="5"/>
      <c r="S3872" s="6"/>
    </row>
    <row r="3873" spans="1:23" customFormat="1" x14ac:dyDescent="0.45">
      <c r="A3873">
        <v>711110</v>
      </c>
      <c r="B3873" t="s">
        <v>23589</v>
      </c>
      <c r="C3873" t="s">
        <v>23590</v>
      </c>
      <c r="D3873">
        <v>7</v>
      </c>
      <c r="F3873" s="126"/>
      <c r="G3873" s="3">
        <v>0</v>
      </c>
      <c r="H3873" s="3">
        <v>0</v>
      </c>
      <c r="I3873" s="3">
        <v>0</v>
      </c>
      <c r="J3873" s="3">
        <v>0</v>
      </c>
      <c r="K3873" s="3">
        <f t="shared" si="140"/>
        <v>0</v>
      </c>
      <c r="L3873" s="3"/>
      <c r="M3873" s="3">
        <f t="shared" si="139"/>
        <v>0</v>
      </c>
      <c r="O3873" s="5"/>
      <c r="S3873" s="6"/>
    </row>
    <row r="3874" spans="1:23" customFormat="1" x14ac:dyDescent="0.45">
      <c r="A3874">
        <v>711124</v>
      </c>
      <c r="B3874" t="s">
        <v>23591</v>
      </c>
      <c r="C3874" t="s">
        <v>16331</v>
      </c>
      <c r="D3874">
        <v>2</v>
      </c>
      <c r="E3874" t="s">
        <v>16331</v>
      </c>
      <c r="F3874" s="126"/>
      <c r="G3874" s="7">
        <v>0</v>
      </c>
      <c r="H3874" s="7">
        <v>0</v>
      </c>
      <c r="I3874" s="7">
        <v>0</v>
      </c>
      <c r="J3874" s="7">
        <v>0</v>
      </c>
      <c r="K3874" s="3">
        <f t="shared" si="140"/>
        <v>0</v>
      </c>
      <c r="L3874" s="3"/>
      <c r="M3874" s="3">
        <f t="shared" si="139"/>
        <v>0</v>
      </c>
      <c r="O3874" s="5"/>
      <c r="S3874" s="6"/>
    </row>
    <row r="3875" spans="1:23" customFormat="1" x14ac:dyDescent="0.45">
      <c r="A3875">
        <v>711243</v>
      </c>
      <c r="B3875" t="s">
        <v>23592</v>
      </c>
      <c r="C3875" t="s">
        <v>23593</v>
      </c>
      <c r="D3875">
        <v>1</v>
      </c>
      <c r="F3875" s="126"/>
      <c r="G3875" s="7">
        <v>0</v>
      </c>
      <c r="H3875" s="7">
        <v>0</v>
      </c>
      <c r="I3875" s="7">
        <v>0</v>
      </c>
      <c r="J3875" s="7">
        <v>0</v>
      </c>
      <c r="K3875" s="3">
        <f t="shared" si="140"/>
        <v>0</v>
      </c>
      <c r="L3875" s="3"/>
      <c r="M3875" s="3">
        <f t="shared" si="139"/>
        <v>0</v>
      </c>
      <c r="O3875" s="5"/>
      <c r="S3875" s="6"/>
    </row>
    <row r="3876" spans="1:23" customFormat="1" x14ac:dyDescent="0.45">
      <c r="A3876">
        <v>711305</v>
      </c>
      <c r="B3876" t="s">
        <v>23594</v>
      </c>
      <c r="C3876" t="s">
        <v>16331</v>
      </c>
      <c r="D3876">
        <v>0</v>
      </c>
      <c r="E3876" t="s">
        <v>16331</v>
      </c>
      <c r="F3876" s="126"/>
      <c r="G3876" s="7">
        <v>0</v>
      </c>
      <c r="H3876" s="7">
        <v>0</v>
      </c>
      <c r="I3876" s="7">
        <v>0</v>
      </c>
      <c r="J3876" s="7">
        <v>0</v>
      </c>
      <c r="K3876" s="3">
        <f t="shared" si="140"/>
        <v>0</v>
      </c>
      <c r="L3876" s="3"/>
      <c r="M3876" s="3">
        <f t="shared" si="139"/>
        <v>0</v>
      </c>
      <c r="O3876" s="5"/>
      <c r="S3876" s="6"/>
    </row>
    <row r="3877" spans="1:23" customFormat="1" x14ac:dyDescent="0.45">
      <c r="A3877">
        <v>711711</v>
      </c>
      <c r="B3877" t="s">
        <v>23595</v>
      </c>
      <c r="C3877" t="s">
        <v>23596</v>
      </c>
      <c r="D3877">
        <v>2</v>
      </c>
      <c r="F3877" s="126"/>
      <c r="G3877" s="3">
        <v>0</v>
      </c>
      <c r="H3877" s="3">
        <v>0</v>
      </c>
      <c r="I3877" s="3">
        <v>0</v>
      </c>
      <c r="J3877" s="3">
        <v>0</v>
      </c>
      <c r="K3877" s="3">
        <f t="shared" si="140"/>
        <v>0</v>
      </c>
      <c r="L3877" s="3"/>
      <c r="M3877" s="3">
        <f t="shared" si="139"/>
        <v>0</v>
      </c>
      <c r="O3877" s="5"/>
      <c r="S3877" s="6"/>
    </row>
    <row r="3878" spans="1:23" customFormat="1" x14ac:dyDescent="0.45">
      <c r="A3878">
        <v>711846</v>
      </c>
      <c r="B3878" t="s">
        <v>23597</v>
      </c>
      <c r="C3878" t="s">
        <v>16331</v>
      </c>
      <c r="D3878">
        <v>2</v>
      </c>
      <c r="E3878" t="s">
        <v>16331</v>
      </c>
      <c r="F3878" s="126"/>
      <c r="K3878" s="3">
        <f t="shared" si="140"/>
        <v>0</v>
      </c>
      <c r="L3878" s="3"/>
      <c r="M3878" s="3">
        <f t="shared" si="139"/>
        <v>0</v>
      </c>
      <c r="O3878" s="5"/>
      <c r="S3878" s="6"/>
    </row>
    <row r="3879" spans="1:23" customFormat="1" x14ac:dyDescent="0.45">
      <c r="A3879">
        <v>711851</v>
      </c>
      <c r="B3879" t="s">
        <v>23598</v>
      </c>
      <c r="C3879" t="s">
        <v>16331</v>
      </c>
      <c r="D3879">
        <v>1</v>
      </c>
      <c r="E3879" t="s">
        <v>16331</v>
      </c>
      <c r="F3879" s="126"/>
      <c r="G3879" s="7">
        <v>0</v>
      </c>
      <c r="H3879" s="7">
        <v>0</v>
      </c>
      <c r="I3879" s="7">
        <v>0</v>
      </c>
      <c r="J3879" s="7">
        <v>0</v>
      </c>
      <c r="K3879" s="3">
        <f t="shared" si="140"/>
        <v>0</v>
      </c>
      <c r="L3879" s="3"/>
      <c r="M3879" s="3">
        <f t="shared" si="139"/>
        <v>0</v>
      </c>
      <c r="O3879" s="5"/>
      <c r="S3879" s="6"/>
    </row>
    <row r="3880" spans="1:23" customFormat="1" x14ac:dyDescent="0.45">
      <c r="A3880">
        <v>711931</v>
      </c>
      <c r="B3880" t="s">
        <v>23599</v>
      </c>
      <c r="C3880" t="s">
        <v>23600</v>
      </c>
      <c r="D3880">
        <v>3</v>
      </c>
      <c r="F3880" s="126"/>
      <c r="G3880" s="3">
        <v>0</v>
      </c>
      <c r="H3880" s="3">
        <v>0</v>
      </c>
      <c r="I3880" s="3">
        <v>0</v>
      </c>
      <c r="J3880" s="3">
        <v>0</v>
      </c>
      <c r="K3880" s="3">
        <f t="shared" si="140"/>
        <v>0</v>
      </c>
      <c r="L3880" s="3"/>
      <c r="M3880" s="3">
        <f t="shared" si="139"/>
        <v>0</v>
      </c>
      <c r="O3880" s="5"/>
      <c r="S3880" s="6"/>
    </row>
    <row r="3881" spans="1:23" customFormat="1" x14ac:dyDescent="0.45">
      <c r="A3881">
        <v>711969</v>
      </c>
      <c r="B3881" t="s">
        <v>23601</v>
      </c>
      <c r="C3881" t="s">
        <v>23602</v>
      </c>
      <c r="D3881">
        <v>2</v>
      </c>
      <c r="F3881" s="126"/>
      <c r="G3881" s="3">
        <v>0</v>
      </c>
      <c r="H3881" s="3">
        <v>0</v>
      </c>
      <c r="I3881" s="3">
        <v>0</v>
      </c>
      <c r="J3881" s="3">
        <v>0</v>
      </c>
      <c r="K3881" s="3">
        <f t="shared" si="140"/>
        <v>0</v>
      </c>
      <c r="L3881" s="3"/>
      <c r="M3881" s="3">
        <f t="shared" si="139"/>
        <v>0</v>
      </c>
      <c r="O3881" s="5"/>
      <c r="S3881" s="6"/>
    </row>
    <row r="3882" spans="1:23" x14ac:dyDescent="0.45">
      <c r="A3882" s="124">
        <v>499311</v>
      </c>
      <c r="B3882" s="124" t="s">
        <v>23603</v>
      </c>
      <c r="C3882" s="124" t="s">
        <v>23604</v>
      </c>
      <c r="D3882" s="124">
        <v>4</v>
      </c>
      <c r="E3882" s="124" t="s">
        <v>16334</v>
      </c>
      <c r="F3882" s="126">
        <v>1.6999999999999999E-3</v>
      </c>
      <c r="G3882" s="127">
        <f>((250+125+75)*10)/100000</f>
        <v>4.4999999999999998E-2</v>
      </c>
      <c r="H3882" s="126">
        <f>2.35%/2</f>
        <v>1.175E-2</v>
      </c>
      <c r="I3882" s="127">
        <v>0</v>
      </c>
      <c r="J3882" s="127"/>
      <c r="K3882" s="126">
        <f t="shared" si="140"/>
        <v>5.6749999999999995E-2</v>
      </c>
      <c r="L3882" s="3"/>
      <c r="M3882" s="126">
        <f t="shared" si="139"/>
        <v>5.8449999999999995E-2</v>
      </c>
      <c r="O3882" s="131" t="s">
        <v>23605</v>
      </c>
      <c r="P3882" s="128" t="s">
        <v>26918</v>
      </c>
      <c r="Q3882" s="130">
        <v>1842409</v>
      </c>
      <c r="R3882" s="124" t="s">
        <v>16348</v>
      </c>
      <c r="S3882" s="132">
        <v>1310223</v>
      </c>
      <c r="T3882" s="129">
        <f>S3882/Q3882</f>
        <v>0.71114665636131824</v>
      </c>
      <c r="V3882" s="125" t="s">
        <v>23606</v>
      </c>
      <c r="W3882" s="124" t="s">
        <v>23607</v>
      </c>
    </row>
    <row r="3883" spans="1:23" customFormat="1" x14ac:dyDescent="0.45">
      <c r="A3883">
        <v>712189</v>
      </c>
      <c r="B3883" t="s">
        <v>23608</v>
      </c>
      <c r="C3883" t="s">
        <v>23609</v>
      </c>
      <c r="D3883">
        <v>2</v>
      </c>
      <c r="F3883" s="126"/>
      <c r="G3883" s="7">
        <v>0</v>
      </c>
      <c r="H3883" s="7">
        <v>0</v>
      </c>
      <c r="I3883" s="7">
        <v>0</v>
      </c>
      <c r="J3883" s="7">
        <v>0</v>
      </c>
      <c r="K3883" s="3">
        <f t="shared" si="140"/>
        <v>0</v>
      </c>
      <c r="L3883" s="3"/>
      <c r="M3883" s="3">
        <f t="shared" si="139"/>
        <v>0</v>
      </c>
      <c r="O3883" s="5"/>
      <c r="S3883" s="6"/>
    </row>
    <row r="3884" spans="1:23" customFormat="1" x14ac:dyDescent="0.45">
      <c r="A3884">
        <v>712259</v>
      </c>
      <c r="B3884" t="s">
        <v>23610</v>
      </c>
      <c r="C3884" t="s">
        <v>16331</v>
      </c>
      <c r="D3884">
        <v>1</v>
      </c>
      <c r="E3884" t="s">
        <v>16331</v>
      </c>
      <c r="F3884" s="126"/>
      <c r="G3884" s="7">
        <v>0</v>
      </c>
      <c r="H3884" s="7">
        <v>0</v>
      </c>
      <c r="I3884" s="7">
        <v>0</v>
      </c>
      <c r="J3884" s="7">
        <v>0</v>
      </c>
      <c r="K3884" s="3">
        <f t="shared" si="140"/>
        <v>0</v>
      </c>
      <c r="L3884" s="3"/>
      <c r="M3884" s="3">
        <f t="shared" si="139"/>
        <v>0</v>
      </c>
      <c r="O3884" s="5"/>
      <c r="S3884" s="6"/>
    </row>
    <row r="3885" spans="1:23" customFormat="1" x14ac:dyDescent="0.45">
      <c r="A3885">
        <v>712630</v>
      </c>
      <c r="B3885" t="s">
        <v>23611</v>
      </c>
      <c r="C3885" t="s">
        <v>23612</v>
      </c>
      <c r="D3885">
        <v>1</v>
      </c>
      <c r="F3885" s="126"/>
      <c r="G3885" s="7">
        <v>0</v>
      </c>
      <c r="H3885" s="7">
        <v>0</v>
      </c>
      <c r="I3885" s="7">
        <v>0</v>
      </c>
      <c r="J3885" s="7">
        <v>0</v>
      </c>
      <c r="K3885" s="3">
        <f t="shared" si="140"/>
        <v>0</v>
      </c>
      <c r="L3885" s="3"/>
      <c r="M3885" s="3">
        <f t="shared" si="139"/>
        <v>0</v>
      </c>
      <c r="N3885" s="7"/>
      <c r="O3885" s="5"/>
      <c r="S3885" s="6"/>
    </row>
    <row r="3886" spans="1:23" customFormat="1" x14ac:dyDescent="0.45">
      <c r="A3886">
        <v>712643</v>
      </c>
      <c r="B3886" t="s">
        <v>23613</v>
      </c>
      <c r="C3886" t="s">
        <v>23614</v>
      </c>
      <c r="D3886">
        <v>1</v>
      </c>
      <c r="F3886" s="126"/>
      <c r="G3886" s="7">
        <v>0</v>
      </c>
      <c r="H3886" s="7">
        <v>0</v>
      </c>
      <c r="I3886" s="7">
        <v>0</v>
      </c>
      <c r="J3886" s="7">
        <v>0</v>
      </c>
      <c r="K3886" s="3">
        <f t="shared" si="140"/>
        <v>0</v>
      </c>
      <c r="L3886" s="3"/>
      <c r="M3886" s="3">
        <f t="shared" si="139"/>
        <v>0</v>
      </c>
      <c r="O3886" s="5"/>
      <c r="S3886" s="6"/>
    </row>
    <row r="3887" spans="1:23" customFormat="1" x14ac:dyDescent="0.45">
      <c r="A3887">
        <v>712797</v>
      </c>
      <c r="B3887" t="s">
        <v>23615</v>
      </c>
      <c r="C3887" t="s">
        <v>16331</v>
      </c>
      <c r="D3887">
        <v>1</v>
      </c>
      <c r="E3887" t="s">
        <v>16331</v>
      </c>
      <c r="F3887" s="126"/>
      <c r="G3887" s="7">
        <v>0</v>
      </c>
      <c r="H3887" s="7">
        <v>0</v>
      </c>
      <c r="I3887" s="7">
        <v>0</v>
      </c>
      <c r="J3887" s="7">
        <v>0</v>
      </c>
      <c r="K3887" s="3">
        <f t="shared" si="140"/>
        <v>0</v>
      </c>
      <c r="L3887" s="3"/>
      <c r="M3887" s="3">
        <f t="shared" ref="M3887:M3950" si="141">K3887+F3887</f>
        <v>0</v>
      </c>
      <c r="N3887" s="7"/>
      <c r="O3887" s="5"/>
      <c r="S3887" s="6"/>
    </row>
    <row r="3888" spans="1:23" customFormat="1" x14ac:dyDescent="0.45">
      <c r="A3888">
        <v>712976</v>
      </c>
      <c r="B3888" t="s">
        <v>23616</v>
      </c>
      <c r="C3888" t="s">
        <v>23617</v>
      </c>
      <c r="D3888">
        <v>1</v>
      </c>
      <c r="F3888" s="126"/>
      <c r="G3888" s="7">
        <v>0</v>
      </c>
      <c r="H3888" s="7">
        <v>0</v>
      </c>
      <c r="I3888" s="7">
        <v>0</v>
      </c>
      <c r="J3888" s="7">
        <v>0</v>
      </c>
      <c r="K3888" s="3">
        <f t="shared" si="140"/>
        <v>0</v>
      </c>
      <c r="L3888" s="3"/>
      <c r="M3888" s="3">
        <f t="shared" si="141"/>
        <v>0</v>
      </c>
      <c r="O3888" s="5"/>
      <c r="S3888" s="6"/>
    </row>
    <row r="3889" spans="1:19" customFormat="1" x14ac:dyDescent="0.45">
      <c r="A3889">
        <v>713035</v>
      </c>
      <c r="B3889" t="s">
        <v>23618</v>
      </c>
      <c r="C3889" t="s">
        <v>23619</v>
      </c>
      <c r="D3889">
        <v>8</v>
      </c>
      <c r="F3889" s="126"/>
      <c r="G3889" s="3">
        <v>0</v>
      </c>
      <c r="H3889" s="3">
        <v>0</v>
      </c>
      <c r="I3889" s="3">
        <v>0</v>
      </c>
      <c r="J3889" s="3">
        <v>0</v>
      </c>
      <c r="K3889" s="3">
        <f t="shared" si="140"/>
        <v>0</v>
      </c>
      <c r="L3889" s="3"/>
      <c r="M3889" s="3">
        <f t="shared" si="141"/>
        <v>0</v>
      </c>
      <c r="O3889" s="5"/>
      <c r="S3889" s="6"/>
    </row>
    <row r="3890" spans="1:19" customFormat="1" x14ac:dyDescent="0.45">
      <c r="A3890">
        <v>713044</v>
      </c>
      <c r="B3890" t="s">
        <v>23620</v>
      </c>
      <c r="C3890" t="s">
        <v>23621</v>
      </c>
      <c r="D3890">
        <v>1</v>
      </c>
      <c r="F3890" s="126"/>
      <c r="G3890" s="3">
        <v>0</v>
      </c>
      <c r="H3890" s="3">
        <v>0</v>
      </c>
      <c r="I3890" s="3">
        <v>0</v>
      </c>
      <c r="J3890" s="3">
        <v>0</v>
      </c>
      <c r="K3890" s="3">
        <f t="shared" si="140"/>
        <v>0</v>
      </c>
      <c r="L3890" s="3"/>
      <c r="M3890" s="3">
        <f t="shared" si="141"/>
        <v>0</v>
      </c>
      <c r="O3890" s="5"/>
      <c r="S3890" s="6"/>
    </row>
    <row r="3891" spans="1:19" customFormat="1" x14ac:dyDescent="0.45">
      <c r="A3891">
        <v>713053</v>
      </c>
      <c r="B3891" t="s">
        <v>23622</v>
      </c>
      <c r="C3891" t="s">
        <v>16331</v>
      </c>
      <c r="D3891">
        <v>1</v>
      </c>
      <c r="E3891" t="s">
        <v>16331</v>
      </c>
      <c r="F3891" s="126"/>
      <c r="G3891" s="7">
        <v>0</v>
      </c>
      <c r="H3891" s="7">
        <v>0</v>
      </c>
      <c r="I3891" s="7">
        <v>0</v>
      </c>
      <c r="J3891" s="7">
        <v>0</v>
      </c>
      <c r="K3891" s="3">
        <f t="shared" si="140"/>
        <v>0</v>
      </c>
      <c r="L3891" s="3"/>
      <c r="M3891" s="3">
        <f t="shared" si="141"/>
        <v>0</v>
      </c>
      <c r="O3891" s="5"/>
      <c r="S3891" s="6"/>
    </row>
    <row r="3892" spans="1:19" customFormat="1" x14ac:dyDescent="0.45">
      <c r="A3892">
        <v>713063</v>
      </c>
      <c r="B3892" t="s">
        <v>23623</v>
      </c>
      <c r="C3892" t="s">
        <v>23624</v>
      </c>
      <c r="D3892">
        <v>3</v>
      </c>
      <c r="F3892" s="126"/>
      <c r="G3892" s="7">
        <v>0</v>
      </c>
      <c r="H3892" s="7">
        <v>0</v>
      </c>
      <c r="I3892" s="7">
        <v>0</v>
      </c>
      <c r="J3892" s="7">
        <v>0</v>
      </c>
      <c r="K3892" s="3">
        <f t="shared" si="140"/>
        <v>0</v>
      </c>
      <c r="L3892" s="3"/>
      <c r="M3892" s="3">
        <f t="shared" si="141"/>
        <v>0</v>
      </c>
      <c r="N3892" s="7"/>
      <c r="O3892" s="5"/>
      <c r="S3892" s="6"/>
    </row>
    <row r="3893" spans="1:19" customFormat="1" x14ac:dyDescent="0.45">
      <c r="A3893">
        <v>713216</v>
      </c>
      <c r="B3893" t="s">
        <v>23625</v>
      </c>
      <c r="C3893" t="s">
        <v>16331</v>
      </c>
      <c r="D3893">
        <v>1</v>
      </c>
      <c r="E3893" t="s">
        <v>16331</v>
      </c>
      <c r="F3893" s="126"/>
      <c r="G3893" s="7">
        <v>0</v>
      </c>
      <c r="H3893" s="7">
        <v>0</v>
      </c>
      <c r="I3893" s="7">
        <v>0</v>
      </c>
      <c r="J3893" s="7">
        <v>0</v>
      </c>
      <c r="K3893" s="3">
        <f t="shared" si="140"/>
        <v>0</v>
      </c>
      <c r="L3893" s="3"/>
      <c r="M3893" s="3">
        <f t="shared" si="141"/>
        <v>0</v>
      </c>
      <c r="O3893" s="5"/>
      <c r="S3893" s="6"/>
    </row>
    <row r="3894" spans="1:19" customFormat="1" x14ac:dyDescent="0.45">
      <c r="A3894">
        <v>713294</v>
      </c>
      <c r="B3894" t="s">
        <v>23626</v>
      </c>
      <c r="C3894" t="s">
        <v>16331</v>
      </c>
      <c r="D3894">
        <v>1</v>
      </c>
      <c r="E3894" t="s">
        <v>16331</v>
      </c>
      <c r="F3894" s="126"/>
      <c r="G3894" s="7">
        <v>0</v>
      </c>
      <c r="H3894" s="7">
        <v>0</v>
      </c>
      <c r="I3894" s="7">
        <v>0</v>
      </c>
      <c r="J3894" s="7">
        <v>0</v>
      </c>
      <c r="K3894" s="3">
        <f t="shared" si="140"/>
        <v>0</v>
      </c>
      <c r="L3894" s="3"/>
      <c r="M3894" s="3">
        <f t="shared" si="141"/>
        <v>0</v>
      </c>
      <c r="O3894" s="5"/>
      <c r="S3894" s="6"/>
    </row>
    <row r="3895" spans="1:19" customFormat="1" x14ac:dyDescent="0.45">
      <c r="A3895">
        <v>713421</v>
      </c>
      <c r="B3895" t="s">
        <v>23627</v>
      </c>
      <c r="C3895" t="s">
        <v>23628</v>
      </c>
      <c r="D3895">
        <v>3</v>
      </c>
      <c r="F3895" s="126"/>
      <c r="G3895" s="7">
        <v>0</v>
      </c>
      <c r="H3895" s="7">
        <v>0</v>
      </c>
      <c r="I3895" s="7">
        <v>0</v>
      </c>
      <c r="J3895" s="7">
        <v>0</v>
      </c>
      <c r="K3895" s="3">
        <f t="shared" si="140"/>
        <v>0</v>
      </c>
      <c r="L3895" s="3"/>
      <c r="M3895" s="3">
        <f t="shared" si="141"/>
        <v>0</v>
      </c>
      <c r="O3895" s="5"/>
      <c r="S3895" s="6"/>
    </row>
    <row r="3896" spans="1:19" customFormat="1" x14ac:dyDescent="0.45">
      <c r="A3896">
        <v>713438</v>
      </c>
      <c r="B3896" t="s">
        <v>23629</v>
      </c>
      <c r="C3896" t="s">
        <v>23630</v>
      </c>
      <c r="D3896">
        <v>5</v>
      </c>
      <c r="F3896" s="126"/>
      <c r="G3896" s="3"/>
      <c r="H3896" s="3"/>
      <c r="I3896" s="3"/>
      <c r="J3896" s="3"/>
      <c r="K3896" s="3">
        <f t="shared" si="140"/>
        <v>0</v>
      </c>
      <c r="L3896" s="3"/>
      <c r="M3896" s="3">
        <f t="shared" si="141"/>
        <v>0</v>
      </c>
      <c r="O3896" s="5"/>
      <c r="S3896" s="6"/>
    </row>
    <row r="3897" spans="1:19" customFormat="1" x14ac:dyDescent="0.45">
      <c r="A3897">
        <v>713439</v>
      </c>
      <c r="B3897" t="s">
        <v>23631</v>
      </c>
      <c r="C3897" t="s">
        <v>23632</v>
      </c>
      <c r="D3897">
        <v>3</v>
      </c>
      <c r="F3897" s="126"/>
      <c r="G3897" s="7">
        <v>0</v>
      </c>
      <c r="H3897" s="7">
        <v>0</v>
      </c>
      <c r="I3897" s="7">
        <v>0</v>
      </c>
      <c r="J3897" s="7">
        <v>0</v>
      </c>
      <c r="K3897" s="3">
        <f t="shared" si="140"/>
        <v>0</v>
      </c>
      <c r="L3897" s="3"/>
      <c r="M3897" s="3">
        <f t="shared" si="141"/>
        <v>0</v>
      </c>
      <c r="O3897" s="5"/>
      <c r="S3897" s="6"/>
    </row>
    <row r="3898" spans="1:19" customFormat="1" x14ac:dyDescent="0.45">
      <c r="A3898">
        <v>713442</v>
      </c>
      <c r="B3898" t="s">
        <v>23633</v>
      </c>
      <c r="C3898" t="s">
        <v>23634</v>
      </c>
      <c r="D3898">
        <v>5</v>
      </c>
      <c r="F3898" s="126"/>
      <c r="G3898" s="3">
        <v>0</v>
      </c>
      <c r="H3898" s="3">
        <v>0</v>
      </c>
      <c r="I3898" s="3">
        <v>0</v>
      </c>
      <c r="J3898" s="3">
        <v>0</v>
      </c>
      <c r="K3898" s="3">
        <f t="shared" si="140"/>
        <v>0</v>
      </c>
      <c r="L3898" s="3"/>
      <c r="M3898" s="3">
        <f t="shared" si="141"/>
        <v>0</v>
      </c>
      <c r="O3898" s="5"/>
      <c r="S3898" s="6"/>
    </row>
    <row r="3899" spans="1:19" customFormat="1" x14ac:dyDescent="0.45">
      <c r="A3899">
        <v>713637</v>
      </c>
      <c r="B3899" t="s">
        <v>23635</v>
      </c>
      <c r="C3899" t="s">
        <v>16331</v>
      </c>
      <c r="D3899">
        <v>1</v>
      </c>
      <c r="E3899" t="s">
        <v>16331</v>
      </c>
      <c r="F3899" s="126"/>
      <c r="G3899" s="7">
        <v>0</v>
      </c>
      <c r="H3899" s="7">
        <v>0</v>
      </c>
      <c r="I3899" s="7">
        <v>0</v>
      </c>
      <c r="J3899" s="7">
        <v>0</v>
      </c>
      <c r="K3899" s="3">
        <f t="shared" si="140"/>
        <v>0</v>
      </c>
      <c r="L3899" s="3"/>
      <c r="M3899" s="3">
        <f t="shared" si="141"/>
        <v>0</v>
      </c>
      <c r="O3899" s="5"/>
      <c r="S3899" s="6"/>
    </row>
    <row r="3900" spans="1:19" customFormat="1" x14ac:dyDescent="0.45">
      <c r="A3900">
        <v>713714</v>
      </c>
      <c r="B3900" t="s">
        <v>23636</v>
      </c>
      <c r="C3900" t="s">
        <v>23637</v>
      </c>
      <c r="D3900">
        <v>1</v>
      </c>
      <c r="F3900" s="126"/>
      <c r="G3900" s="3">
        <v>0</v>
      </c>
      <c r="H3900" s="3">
        <v>0</v>
      </c>
      <c r="I3900" s="3">
        <v>0</v>
      </c>
      <c r="J3900" s="3">
        <v>0</v>
      </c>
      <c r="K3900" s="3">
        <f t="shared" ref="K3900:K3963" si="142">SUM(G3900:J3900)</f>
        <v>0</v>
      </c>
      <c r="L3900" s="3"/>
      <c r="M3900" s="3">
        <f t="shared" si="141"/>
        <v>0</v>
      </c>
      <c r="O3900" s="5"/>
      <c r="S3900" s="6"/>
    </row>
    <row r="3901" spans="1:19" customFormat="1" x14ac:dyDescent="0.45">
      <c r="A3901">
        <v>713784</v>
      </c>
      <c r="B3901" t="s">
        <v>23638</v>
      </c>
      <c r="C3901" t="s">
        <v>23639</v>
      </c>
      <c r="D3901">
        <v>1</v>
      </c>
      <c r="F3901" s="126"/>
      <c r="K3901" s="3">
        <f t="shared" si="142"/>
        <v>0</v>
      </c>
      <c r="L3901" s="3"/>
      <c r="M3901" s="3">
        <f t="shared" si="141"/>
        <v>0</v>
      </c>
      <c r="O3901" s="5"/>
      <c r="S3901" s="6"/>
    </row>
    <row r="3902" spans="1:19" customFormat="1" x14ac:dyDescent="0.45">
      <c r="A3902">
        <v>713801</v>
      </c>
      <c r="B3902" t="s">
        <v>23640</v>
      </c>
      <c r="C3902" t="s">
        <v>23641</v>
      </c>
      <c r="D3902">
        <v>2</v>
      </c>
      <c r="F3902" s="126"/>
      <c r="G3902" s="7">
        <v>0</v>
      </c>
      <c r="H3902" s="7">
        <v>0</v>
      </c>
      <c r="I3902" s="7">
        <v>0</v>
      </c>
      <c r="J3902" s="7">
        <v>0</v>
      </c>
      <c r="K3902" s="3">
        <f t="shared" si="142"/>
        <v>0</v>
      </c>
      <c r="L3902" s="3"/>
      <c r="M3902" s="3">
        <f t="shared" si="141"/>
        <v>0</v>
      </c>
      <c r="O3902" s="5"/>
      <c r="S3902" s="6"/>
    </row>
    <row r="3903" spans="1:19" customFormat="1" x14ac:dyDescent="0.45">
      <c r="A3903">
        <v>713818</v>
      </c>
      <c r="B3903" t="s">
        <v>23642</v>
      </c>
      <c r="C3903" t="s">
        <v>23643</v>
      </c>
      <c r="D3903">
        <v>1</v>
      </c>
      <c r="F3903" s="126"/>
      <c r="G3903" s="3">
        <v>0</v>
      </c>
      <c r="H3903" s="3">
        <v>0</v>
      </c>
      <c r="I3903" s="3">
        <v>0</v>
      </c>
      <c r="J3903" s="3">
        <v>0</v>
      </c>
      <c r="K3903" s="3">
        <f t="shared" si="142"/>
        <v>0</v>
      </c>
      <c r="L3903" s="3"/>
      <c r="M3903" s="3">
        <f t="shared" si="141"/>
        <v>0</v>
      </c>
      <c r="O3903" s="5"/>
      <c r="S3903" s="6"/>
    </row>
    <row r="3904" spans="1:19" customFormat="1" x14ac:dyDescent="0.45">
      <c r="A3904">
        <v>713851</v>
      </c>
      <c r="B3904" t="s">
        <v>23644</v>
      </c>
      <c r="C3904" t="s">
        <v>16331</v>
      </c>
      <c r="D3904">
        <v>1</v>
      </c>
      <c r="E3904" t="s">
        <v>16331</v>
      </c>
      <c r="F3904" s="126"/>
      <c r="K3904" s="3">
        <f t="shared" si="142"/>
        <v>0</v>
      </c>
      <c r="L3904" s="3"/>
      <c r="M3904" s="3">
        <f t="shared" si="141"/>
        <v>0</v>
      </c>
      <c r="O3904" s="5"/>
      <c r="S3904" s="6"/>
    </row>
    <row r="3905" spans="1:22" customFormat="1" x14ac:dyDescent="0.45">
      <c r="A3905">
        <v>713967</v>
      </c>
      <c r="B3905" t="s">
        <v>23645</v>
      </c>
      <c r="C3905" t="s">
        <v>23646</v>
      </c>
      <c r="D3905">
        <v>1</v>
      </c>
      <c r="F3905" s="126"/>
      <c r="G3905" s="3">
        <v>0</v>
      </c>
      <c r="H3905" s="3">
        <v>0</v>
      </c>
      <c r="I3905" s="3">
        <v>0</v>
      </c>
      <c r="J3905" s="3">
        <v>0</v>
      </c>
      <c r="K3905" s="3">
        <f t="shared" si="142"/>
        <v>0</v>
      </c>
      <c r="L3905" s="3"/>
      <c r="M3905" s="3">
        <f t="shared" si="141"/>
        <v>0</v>
      </c>
      <c r="O3905" s="5"/>
      <c r="S3905" s="6"/>
    </row>
    <row r="3906" spans="1:22" customFormat="1" x14ac:dyDescent="0.45">
      <c r="A3906">
        <v>713975</v>
      </c>
      <c r="B3906" t="s">
        <v>23647</v>
      </c>
      <c r="C3906" t="s">
        <v>16331</v>
      </c>
      <c r="D3906">
        <v>2</v>
      </c>
      <c r="E3906" t="s">
        <v>16331</v>
      </c>
      <c r="F3906" s="126"/>
      <c r="G3906" s="7">
        <v>0</v>
      </c>
      <c r="H3906" s="7">
        <v>0</v>
      </c>
      <c r="I3906" s="7">
        <v>0</v>
      </c>
      <c r="J3906" s="7">
        <v>0</v>
      </c>
      <c r="K3906" s="3">
        <f t="shared" si="142"/>
        <v>0</v>
      </c>
      <c r="L3906" s="3"/>
      <c r="M3906" s="3">
        <f t="shared" si="141"/>
        <v>0</v>
      </c>
      <c r="N3906" s="7"/>
      <c r="O3906" s="5"/>
      <c r="S3906" s="6"/>
    </row>
    <row r="3907" spans="1:22" customFormat="1" x14ac:dyDescent="0.45">
      <c r="A3907">
        <v>713979</v>
      </c>
      <c r="B3907" t="s">
        <v>23648</v>
      </c>
      <c r="C3907" t="s">
        <v>23649</v>
      </c>
      <c r="D3907">
        <v>2</v>
      </c>
      <c r="F3907" s="126"/>
      <c r="G3907" s="3">
        <v>0</v>
      </c>
      <c r="H3907" s="3">
        <v>0</v>
      </c>
      <c r="I3907" s="3">
        <v>0</v>
      </c>
      <c r="J3907" s="3">
        <v>0</v>
      </c>
      <c r="K3907" s="3">
        <f t="shared" si="142"/>
        <v>0</v>
      </c>
      <c r="L3907" s="3"/>
      <c r="M3907" s="3">
        <f t="shared" si="141"/>
        <v>0</v>
      </c>
      <c r="O3907" s="5"/>
      <c r="S3907" s="6"/>
    </row>
    <row r="3908" spans="1:22" customFormat="1" x14ac:dyDescent="0.45">
      <c r="A3908">
        <v>714004</v>
      </c>
      <c r="B3908" t="s">
        <v>23650</v>
      </c>
      <c r="C3908" t="s">
        <v>16331</v>
      </c>
      <c r="D3908">
        <v>1</v>
      </c>
      <c r="E3908" t="s">
        <v>16331</v>
      </c>
      <c r="F3908" s="126"/>
      <c r="G3908" s="7">
        <v>0</v>
      </c>
      <c r="H3908" s="7">
        <v>0</v>
      </c>
      <c r="I3908" s="7">
        <v>0</v>
      </c>
      <c r="J3908" s="7">
        <v>0</v>
      </c>
      <c r="K3908" s="3">
        <f t="shared" si="142"/>
        <v>0</v>
      </c>
      <c r="L3908" s="3"/>
      <c r="M3908" s="3">
        <f t="shared" si="141"/>
        <v>0</v>
      </c>
      <c r="O3908" s="5"/>
      <c r="S3908" s="6"/>
    </row>
    <row r="3909" spans="1:22" customFormat="1" x14ac:dyDescent="0.45">
      <c r="A3909">
        <v>714162</v>
      </c>
      <c r="B3909" t="s">
        <v>23651</v>
      </c>
      <c r="C3909" t="s">
        <v>23652</v>
      </c>
      <c r="D3909">
        <v>1</v>
      </c>
      <c r="F3909" s="126"/>
      <c r="G3909" s="3">
        <v>0</v>
      </c>
      <c r="H3909" s="3">
        <v>0</v>
      </c>
      <c r="I3909" s="3">
        <v>0</v>
      </c>
      <c r="J3909" s="3">
        <v>0</v>
      </c>
      <c r="K3909" s="3">
        <f t="shared" si="142"/>
        <v>0</v>
      </c>
      <c r="L3909" s="3"/>
      <c r="M3909" s="3">
        <f t="shared" si="141"/>
        <v>0</v>
      </c>
      <c r="O3909" s="5"/>
      <c r="S3909" s="6"/>
    </row>
    <row r="3910" spans="1:22" customFormat="1" x14ac:dyDescent="0.45">
      <c r="A3910">
        <v>714199</v>
      </c>
      <c r="B3910" t="s">
        <v>23653</v>
      </c>
      <c r="C3910" t="s">
        <v>23654</v>
      </c>
      <c r="D3910">
        <v>1</v>
      </c>
      <c r="F3910" s="126"/>
      <c r="G3910" s="3">
        <v>0</v>
      </c>
      <c r="H3910" s="3">
        <v>0</v>
      </c>
      <c r="I3910" s="3">
        <v>0</v>
      </c>
      <c r="J3910" s="3">
        <v>0</v>
      </c>
      <c r="K3910" s="3">
        <f t="shared" si="142"/>
        <v>0</v>
      </c>
      <c r="L3910" s="3"/>
      <c r="M3910" s="3">
        <f t="shared" si="141"/>
        <v>0</v>
      </c>
      <c r="O3910" s="5"/>
      <c r="S3910" s="6"/>
    </row>
    <row r="3911" spans="1:22" x14ac:dyDescent="0.45">
      <c r="A3911" s="124">
        <v>913373</v>
      </c>
      <c r="B3911" s="124" t="s">
        <v>23655</v>
      </c>
      <c r="C3911" s="124" t="s">
        <v>23656</v>
      </c>
      <c r="D3911" s="124">
        <v>2</v>
      </c>
      <c r="E3911" s="124" t="s">
        <v>16334</v>
      </c>
      <c r="F3911" s="126">
        <v>1.6999999999999999E-3</v>
      </c>
      <c r="G3911" s="126">
        <v>1.7500000000000002E-2</v>
      </c>
      <c r="H3911" s="126">
        <v>1.9E-2</v>
      </c>
      <c r="I3911" s="127"/>
      <c r="J3911" s="127"/>
      <c r="K3911" s="126">
        <f t="shared" si="142"/>
        <v>3.6500000000000005E-2</v>
      </c>
      <c r="L3911" s="3"/>
      <c r="M3911" s="126">
        <f t="shared" si="141"/>
        <v>3.8200000000000005E-2</v>
      </c>
      <c r="O3911" s="131" t="s">
        <v>23657</v>
      </c>
      <c r="P3911" s="128" t="s">
        <v>26918</v>
      </c>
      <c r="Q3911" s="130">
        <f>68292+3927</f>
        <v>72219</v>
      </c>
      <c r="R3911" s="124" t="s">
        <v>16348</v>
      </c>
      <c r="S3911" s="132">
        <v>49386</v>
      </c>
      <c r="T3911" s="129">
        <f>S3911/Q3911</f>
        <v>0.68383666348190919</v>
      </c>
      <c r="V3911" s="125" t="s">
        <v>23658</v>
      </c>
    </row>
    <row r="3912" spans="1:22" customFormat="1" x14ac:dyDescent="0.45">
      <c r="A3912">
        <v>714305</v>
      </c>
      <c r="B3912" t="s">
        <v>23659</v>
      </c>
      <c r="C3912" t="s">
        <v>23660</v>
      </c>
      <c r="D3912">
        <v>1</v>
      </c>
      <c r="F3912" s="126"/>
      <c r="G3912" s="3">
        <v>0</v>
      </c>
      <c r="H3912" s="3">
        <v>0</v>
      </c>
      <c r="I3912" s="3">
        <v>0</v>
      </c>
      <c r="J3912" s="3">
        <v>0</v>
      </c>
      <c r="K3912" s="3">
        <f t="shared" si="142"/>
        <v>0</v>
      </c>
      <c r="L3912" s="3"/>
      <c r="M3912" s="3">
        <f t="shared" si="141"/>
        <v>0</v>
      </c>
      <c r="O3912" s="5"/>
      <c r="S3912" s="6"/>
    </row>
    <row r="3913" spans="1:22" customFormat="1" x14ac:dyDescent="0.45">
      <c r="A3913">
        <v>714320</v>
      </c>
      <c r="B3913" t="s">
        <v>23661</v>
      </c>
      <c r="C3913" t="s">
        <v>23662</v>
      </c>
      <c r="D3913">
        <v>1</v>
      </c>
      <c r="F3913" s="126"/>
      <c r="G3913" s="7">
        <v>0</v>
      </c>
      <c r="H3913" s="7">
        <v>0</v>
      </c>
      <c r="I3913" s="7">
        <v>0</v>
      </c>
      <c r="J3913" s="7">
        <v>0</v>
      </c>
      <c r="K3913" s="3">
        <f t="shared" si="142"/>
        <v>0</v>
      </c>
      <c r="L3913" s="3"/>
      <c r="M3913" s="3">
        <f t="shared" si="141"/>
        <v>0</v>
      </c>
      <c r="O3913" s="5"/>
      <c r="S3913" s="6"/>
    </row>
    <row r="3914" spans="1:22" customFormat="1" x14ac:dyDescent="0.45">
      <c r="A3914">
        <v>714405</v>
      </c>
      <c r="B3914" t="s">
        <v>23663</v>
      </c>
      <c r="C3914" t="s">
        <v>16331</v>
      </c>
      <c r="D3914">
        <v>1</v>
      </c>
      <c r="E3914" t="s">
        <v>16331</v>
      </c>
      <c r="F3914" s="126"/>
      <c r="K3914" s="3">
        <f t="shared" si="142"/>
        <v>0</v>
      </c>
      <c r="L3914" s="3"/>
      <c r="M3914" s="3">
        <f t="shared" si="141"/>
        <v>0</v>
      </c>
      <c r="O3914" s="5"/>
      <c r="S3914" s="6"/>
    </row>
    <row r="3915" spans="1:22" customFormat="1" x14ac:dyDescent="0.45">
      <c r="A3915">
        <v>714652</v>
      </c>
      <c r="B3915" t="s">
        <v>23664</v>
      </c>
      <c r="C3915" t="s">
        <v>16331</v>
      </c>
      <c r="D3915">
        <v>1</v>
      </c>
      <c r="E3915" t="s">
        <v>16331</v>
      </c>
      <c r="F3915" s="126"/>
      <c r="G3915" s="7">
        <v>0</v>
      </c>
      <c r="H3915" s="7">
        <v>0</v>
      </c>
      <c r="I3915" s="7">
        <v>0</v>
      </c>
      <c r="J3915" s="7">
        <v>0</v>
      </c>
      <c r="K3915" s="3">
        <f t="shared" si="142"/>
        <v>0</v>
      </c>
      <c r="L3915" s="3"/>
      <c r="M3915" s="3">
        <f t="shared" si="141"/>
        <v>0</v>
      </c>
      <c r="O3915" s="5"/>
      <c r="S3915" s="6"/>
    </row>
    <row r="3916" spans="1:22" customFormat="1" x14ac:dyDescent="0.45">
      <c r="A3916">
        <v>714664</v>
      </c>
      <c r="B3916" t="s">
        <v>23665</v>
      </c>
      <c r="C3916" t="s">
        <v>16331</v>
      </c>
      <c r="D3916">
        <v>1</v>
      </c>
      <c r="E3916" t="s">
        <v>16331</v>
      </c>
      <c r="F3916" s="126"/>
      <c r="G3916" s="7">
        <v>0</v>
      </c>
      <c r="H3916" s="7">
        <v>0</v>
      </c>
      <c r="I3916" s="7">
        <v>0</v>
      </c>
      <c r="J3916" s="7">
        <v>0</v>
      </c>
      <c r="K3916" s="3">
        <f t="shared" si="142"/>
        <v>0</v>
      </c>
      <c r="L3916" s="3"/>
      <c r="M3916" s="3">
        <f t="shared" si="141"/>
        <v>0</v>
      </c>
      <c r="O3916" s="5"/>
      <c r="S3916" s="6"/>
    </row>
    <row r="3917" spans="1:22" customFormat="1" x14ac:dyDescent="0.45">
      <c r="A3917">
        <v>714672</v>
      </c>
      <c r="B3917" t="s">
        <v>23666</v>
      </c>
      <c r="C3917" t="s">
        <v>16331</v>
      </c>
      <c r="D3917">
        <v>1</v>
      </c>
      <c r="E3917" t="s">
        <v>16331</v>
      </c>
      <c r="F3917" s="126"/>
      <c r="G3917" s="7">
        <v>0</v>
      </c>
      <c r="H3917" s="7">
        <v>0</v>
      </c>
      <c r="I3917" s="7">
        <v>0</v>
      </c>
      <c r="J3917" s="7">
        <v>0</v>
      </c>
      <c r="K3917" s="3">
        <f t="shared" si="142"/>
        <v>0</v>
      </c>
      <c r="L3917" s="3"/>
      <c r="M3917" s="3">
        <f t="shared" si="141"/>
        <v>0</v>
      </c>
      <c r="O3917" s="5"/>
      <c r="S3917" s="6"/>
    </row>
    <row r="3918" spans="1:22" customFormat="1" x14ac:dyDescent="0.45">
      <c r="A3918">
        <v>714717</v>
      </c>
      <c r="B3918" t="s">
        <v>23667</v>
      </c>
      <c r="C3918" t="s">
        <v>23668</v>
      </c>
      <c r="D3918">
        <v>2</v>
      </c>
      <c r="F3918" s="126"/>
      <c r="G3918" s="3"/>
      <c r="H3918" s="3"/>
      <c r="I3918" s="3"/>
      <c r="J3918" s="3"/>
      <c r="K3918" s="3">
        <f t="shared" si="142"/>
        <v>0</v>
      </c>
      <c r="L3918" s="3"/>
      <c r="M3918" s="3">
        <f t="shared" si="141"/>
        <v>0</v>
      </c>
      <c r="O3918" s="5"/>
      <c r="S3918" s="6"/>
    </row>
    <row r="3919" spans="1:22" customFormat="1" x14ac:dyDescent="0.45">
      <c r="A3919">
        <v>714745</v>
      </c>
      <c r="B3919" t="s">
        <v>23669</v>
      </c>
      <c r="C3919" t="s">
        <v>23670</v>
      </c>
      <c r="D3919">
        <v>2</v>
      </c>
      <c r="F3919" s="126"/>
      <c r="G3919" s="3">
        <v>0</v>
      </c>
      <c r="H3919" s="3">
        <v>0</v>
      </c>
      <c r="I3919" s="3">
        <v>0</v>
      </c>
      <c r="J3919" s="3">
        <v>0</v>
      </c>
      <c r="K3919" s="3">
        <f t="shared" si="142"/>
        <v>0</v>
      </c>
      <c r="L3919" s="3"/>
      <c r="M3919" s="3">
        <f t="shared" si="141"/>
        <v>0</v>
      </c>
      <c r="O3919" s="5"/>
      <c r="S3919" s="6"/>
    </row>
    <row r="3920" spans="1:22" customFormat="1" x14ac:dyDescent="0.45">
      <c r="A3920">
        <v>714833</v>
      </c>
      <c r="B3920" t="s">
        <v>23671</v>
      </c>
      <c r="C3920" t="s">
        <v>23672</v>
      </c>
      <c r="D3920">
        <v>3</v>
      </c>
      <c r="F3920" s="126"/>
      <c r="G3920" s="3">
        <v>0</v>
      </c>
      <c r="H3920" s="3">
        <v>0</v>
      </c>
      <c r="I3920" s="3">
        <v>0</v>
      </c>
      <c r="J3920" s="3">
        <v>0</v>
      </c>
      <c r="K3920" s="3">
        <f t="shared" si="142"/>
        <v>0</v>
      </c>
      <c r="L3920" s="3"/>
      <c r="M3920" s="3">
        <f t="shared" si="141"/>
        <v>0</v>
      </c>
      <c r="O3920" s="5"/>
      <c r="S3920" s="6"/>
    </row>
    <row r="3921" spans="1:19" customFormat="1" x14ac:dyDescent="0.45">
      <c r="A3921">
        <v>714847</v>
      </c>
      <c r="B3921" t="s">
        <v>23673</v>
      </c>
      <c r="C3921" t="s">
        <v>23674</v>
      </c>
      <c r="D3921">
        <v>1</v>
      </c>
      <c r="F3921" s="126"/>
      <c r="G3921" s="7">
        <v>0</v>
      </c>
      <c r="H3921" s="7">
        <v>0</v>
      </c>
      <c r="I3921" s="7">
        <v>0</v>
      </c>
      <c r="J3921" s="7">
        <v>0</v>
      </c>
      <c r="K3921" s="3">
        <f t="shared" si="142"/>
        <v>0</v>
      </c>
      <c r="L3921" s="3"/>
      <c r="M3921" s="3">
        <f t="shared" si="141"/>
        <v>0</v>
      </c>
      <c r="O3921" s="5"/>
      <c r="S3921" s="6"/>
    </row>
    <row r="3922" spans="1:19" customFormat="1" x14ac:dyDescent="0.45">
      <c r="A3922">
        <v>714940</v>
      </c>
      <c r="B3922" t="s">
        <v>23675</v>
      </c>
      <c r="C3922" t="s">
        <v>23676</v>
      </c>
      <c r="D3922">
        <v>1</v>
      </c>
      <c r="F3922" s="126"/>
      <c r="K3922" s="3">
        <f t="shared" si="142"/>
        <v>0</v>
      </c>
      <c r="L3922" s="3"/>
      <c r="M3922" s="3">
        <f t="shared" si="141"/>
        <v>0</v>
      </c>
      <c r="O3922" s="5"/>
      <c r="S3922" s="6"/>
    </row>
    <row r="3923" spans="1:19" customFormat="1" x14ac:dyDescent="0.45">
      <c r="A3923">
        <v>715058</v>
      </c>
      <c r="B3923" t="s">
        <v>23677</v>
      </c>
      <c r="C3923" t="s">
        <v>16331</v>
      </c>
      <c r="D3923">
        <v>2</v>
      </c>
      <c r="E3923" t="s">
        <v>16331</v>
      </c>
      <c r="F3923" s="126"/>
      <c r="G3923" s="7">
        <v>0</v>
      </c>
      <c r="H3923" s="7">
        <v>0</v>
      </c>
      <c r="I3923" s="7">
        <v>0</v>
      </c>
      <c r="J3923" s="7">
        <v>0</v>
      </c>
      <c r="K3923" s="3">
        <f t="shared" si="142"/>
        <v>0</v>
      </c>
      <c r="L3923" s="3"/>
      <c r="M3923" s="3">
        <f t="shared" si="141"/>
        <v>0</v>
      </c>
      <c r="O3923" s="5"/>
      <c r="S3923" s="6"/>
    </row>
    <row r="3924" spans="1:19" customFormat="1" x14ac:dyDescent="0.45">
      <c r="A3924">
        <v>715105</v>
      </c>
      <c r="B3924" t="s">
        <v>23678</v>
      </c>
      <c r="C3924" t="s">
        <v>16331</v>
      </c>
      <c r="D3924">
        <v>1</v>
      </c>
      <c r="E3924" t="s">
        <v>16331</v>
      </c>
      <c r="F3924" s="126"/>
      <c r="K3924" s="3">
        <f t="shared" si="142"/>
        <v>0</v>
      </c>
      <c r="L3924" s="3"/>
      <c r="M3924" s="3">
        <f t="shared" si="141"/>
        <v>0</v>
      </c>
      <c r="O3924" s="5"/>
      <c r="S3924" s="6"/>
    </row>
    <row r="3925" spans="1:19" customFormat="1" x14ac:dyDescent="0.45">
      <c r="A3925">
        <v>715396</v>
      </c>
      <c r="B3925" t="s">
        <v>23679</v>
      </c>
      <c r="C3925" t="s">
        <v>16331</v>
      </c>
      <c r="D3925">
        <v>0</v>
      </c>
      <c r="E3925" t="s">
        <v>16331</v>
      </c>
      <c r="F3925" s="126"/>
      <c r="G3925" s="7">
        <v>0</v>
      </c>
      <c r="H3925" s="7">
        <v>0</v>
      </c>
      <c r="I3925" s="7">
        <v>0</v>
      </c>
      <c r="J3925" s="7">
        <v>0</v>
      </c>
      <c r="K3925" s="3">
        <f t="shared" si="142"/>
        <v>0</v>
      </c>
      <c r="L3925" s="3"/>
      <c r="M3925" s="3">
        <f t="shared" si="141"/>
        <v>0</v>
      </c>
      <c r="O3925" s="5"/>
      <c r="S3925" s="6"/>
    </row>
    <row r="3926" spans="1:19" customFormat="1" x14ac:dyDescent="0.45">
      <c r="A3926">
        <v>715670</v>
      </c>
      <c r="B3926" t="s">
        <v>23680</v>
      </c>
      <c r="C3926" t="s">
        <v>16331</v>
      </c>
      <c r="D3926">
        <v>1</v>
      </c>
      <c r="E3926" t="s">
        <v>16331</v>
      </c>
      <c r="F3926" s="126"/>
      <c r="G3926" s="7">
        <v>0</v>
      </c>
      <c r="H3926" s="7">
        <v>0</v>
      </c>
      <c r="I3926" s="7">
        <v>0</v>
      </c>
      <c r="J3926" s="7">
        <v>0</v>
      </c>
      <c r="K3926" s="3">
        <f t="shared" si="142"/>
        <v>0</v>
      </c>
      <c r="L3926" s="3"/>
      <c r="M3926" s="3">
        <f t="shared" si="141"/>
        <v>0</v>
      </c>
      <c r="O3926" s="5"/>
      <c r="S3926" s="6"/>
    </row>
    <row r="3927" spans="1:19" customFormat="1" x14ac:dyDescent="0.45">
      <c r="A3927">
        <v>715678</v>
      </c>
      <c r="B3927" t="s">
        <v>23681</v>
      </c>
      <c r="C3927" t="s">
        <v>23682</v>
      </c>
      <c r="D3927">
        <v>5</v>
      </c>
      <c r="F3927" s="126"/>
      <c r="G3927" s="3">
        <v>0</v>
      </c>
      <c r="H3927" s="3">
        <v>0</v>
      </c>
      <c r="I3927" s="3">
        <v>0</v>
      </c>
      <c r="J3927" s="3">
        <v>0</v>
      </c>
      <c r="K3927" s="3">
        <f t="shared" si="142"/>
        <v>0</v>
      </c>
      <c r="L3927" s="3"/>
      <c r="M3927" s="3">
        <f t="shared" si="141"/>
        <v>0</v>
      </c>
      <c r="O3927" s="5"/>
      <c r="S3927" s="6"/>
    </row>
    <row r="3928" spans="1:19" customFormat="1" x14ac:dyDescent="0.45">
      <c r="A3928">
        <v>715787</v>
      </c>
      <c r="B3928" t="s">
        <v>23683</v>
      </c>
      <c r="C3928" t="s">
        <v>16331</v>
      </c>
      <c r="D3928">
        <v>2</v>
      </c>
      <c r="E3928" t="s">
        <v>16331</v>
      </c>
      <c r="F3928" s="126"/>
      <c r="G3928" s="7">
        <v>0</v>
      </c>
      <c r="H3928" s="7">
        <v>0</v>
      </c>
      <c r="I3928" s="7">
        <v>0</v>
      </c>
      <c r="J3928" s="7">
        <v>0</v>
      </c>
      <c r="K3928" s="3">
        <f t="shared" si="142"/>
        <v>0</v>
      </c>
      <c r="L3928" s="3"/>
      <c r="M3928" s="3">
        <f t="shared" si="141"/>
        <v>0</v>
      </c>
      <c r="O3928" s="5"/>
      <c r="S3928" s="6"/>
    </row>
    <row r="3929" spans="1:19" customFormat="1" x14ac:dyDescent="0.45">
      <c r="A3929">
        <v>715797</v>
      </c>
      <c r="B3929" t="s">
        <v>23684</v>
      </c>
      <c r="C3929" t="s">
        <v>16331</v>
      </c>
      <c r="D3929">
        <v>1</v>
      </c>
      <c r="E3929" t="s">
        <v>16331</v>
      </c>
      <c r="F3929" s="126"/>
      <c r="G3929" s="7">
        <v>0</v>
      </c>
      <c r="H3929" s="7">
        <v>0</v>
      </c>
      <c r="I3929" s="7">
        <v>0</v>
      </c>
      <c r="J3929" s="7">
        <v>0</v>
      </c>
      <c r="K3929" s="3">
        <f t="shared" si="142"/>
        <v>0</v>
      </c>
      <c r="L3929" s="3"/>
      <c r="M3929" s="3">
        <f t="shared" si="141"/>
        <v>0</v>
      </c>
      <c r="O3929" s="5"/>
      <c r="S3929" s="6"/>
    </row>
    <row r="3930" spans="1:19" customFormat="1" x14ac:dyDescent="0.45">
      <c r="A3930">
        <v>715854</v>
      </c>
      <c r="B3930" t="s">
        <v>23685</v>
      </c>
      <c r="C3930" s="2" t="s">
        <v>23686</v>
      </c>
      <c r="D3930">
        <v>1</v>
      </c>
      <c r="F3930" s="126"/>
      <c r="G3930" s="3">
        <v>0</v>
      </c>
      <c r="H3930" s="3">
        <v>0</v>
      </c>
      <c r="I3930" s="3">
        <v>0</v>
      </c>
      <c r="J3930" s="3">
        <v>0</v>
      </c>
      <c r="K3930" s="3">
        <f t="shared" si="142"/>
        <v>0</v>
      </c>
      <c r="L3930" s="3"/>
      <c r="M3930" s="3">
        <f t="shared" si="141"/>
        <v>0</v>
      </c>
      <c r="O3930" s="5"/>
      <c r="S3930" s="6"/>
    </row>
    <row r="3931" spans="1:19" customFormat="1" x14ac:dyDescent="0.45">
      <c r="A3931">
        <v>715880</v>
      </c>
      <c r="B3931" t="s">
        <v>23687</v>
      </c>
      <c r="C3931" t="s">
        <v>16331</v>
      </c>
      <c r="D3931">
        <v>1</v>
      </c>
      <c r="E3931" t="s">
        <v>16331</v>
      </c>
      <c r="F3931" s="126"/>
      <c r="G3931" s="7">
        <v>0</v>
      </c>
      <c r="H3931" s="7">
        <v>0</v>
      </c>
      <c r="I3931" s="7">
        <v>0</v>
      </c>
      <c r="J3931" s="7">
        <v>0</v>
      </c>
      <c r="K3931" s="3">
        <f t="shared" si="142"/>
        <v>0</v>
      </c>
      <c r="L3931" s="3"/>
      <c r="M3931" s="3">
        <f t="shared" si="141"/>
        <v>0</v>
      </c>
      <c r="O3931" s="5"/>
      <c r="S3931" s="6"/>
    </row>
    <row r="3932" spans="1:19" customFormat="1" x14ac:dyDescent="0.45">
      <c r="A3932">
        <v>716330</v>
      </c>
      <c r="B3932" t="s">
        <v>23688</v>
      </c>
      <c r="C3932" t="s">
        <v>23689</v>
      </c>
      <c r="D3932">
        <v>1</v>
      </c>
      <c r="F3932" s="126"/>
      <c r="G3932" s="7">
        <v>0</v>
      </c>
      <c r="H3932" s="7">
        <v>0</v>
      </c>
      <c r="I3932" s="7">
        <v>0</v>
      </c>
      <c r="J3932" s="7">
        <v>0</v>
      </c>
      <c r="K3932" s="3">
        <f t="shared" si="142"/>
        <v>0</v>
      </c>
      <c r="L3932" s="3"/>
      <c r="M3932" s="3">
        <f t="shared" si="141"/>
        <v>0</v>
      </c>
      <c r="N3932" s="7"/>
      <c r="O3932" s="5"/>
      <c r="S3932" s="6"/>
    </row>
    <row r="3933" spans="1:19" customFormat="1" x14ac:dyDescent="0.45">
      <c r="A3933">
        <v>716367</v>
      </c>
      <c r="B3933" t="s">
        <v>23690</v>
      </c>
      <c r="C3933" t="s">
        <v>23691</v>
      </c>
      <c r="D3933">
        <v>1</v>
      </c>
      <c r="F3933" s="126"/>
      <c r="G3933" s="3">
        <v>0</v>
      </c>
      <c r="H3933" s="3">
        <v>0</v>
      </c>
      <c r="I3933" s="3">
        <v>0</v>
      </c>
      <c r="J3933" s="3">
        <v>0</v>
      </c>
      <c r="K3933" s="3">
        <f t="shared" si="142"/>
        <v>0</v>
      </c>
      <c r="L3933" s="3"/>
      <c r="M3933" s="3">
        <f t="shared" si="141"/>
        <v>0</v>
      </c>
      <c r="O3933" s="5"/>
      <c r="S3933" s="6"/>
    </row>
    <row r="3934" spans="1:19" customFormat="1" x14ac:dyDescent="0.45">
      <c r="A3934">
        <v>716526</v>
      </c>
      <c r="B3934" t="s">
        <v>23692</v>
      </c>
      <c r="C3934" t="s">
        <v>23693</v>
      </c>
      <c r="D3934">
        <v>1</v>
      </c>
      <c r="F3934" s="126"/>
      <c r="K3934" s="3">
        <f t="shared" si="142"/>
        <v>0</v>
      </c>
      <c r="L3934" s="3"/>
      <c r="M3934" s="3">
        <f t="shared" si="141"/>
        <v>0</v>
      </c>
      <c r="O3934" s="5"/>
      <c r="S3934" s="6"/>
    </row>
    <row r="3935" spans="1:19" customFormat="1" x14ac:dyDescent="0.45">
      <c r="A3935">
        <v>716700</v>
      </c>
      <c r="B3935" t="s">
        <v>23694</v>
      </c>
      <c r="C3935" t="s">
        <v>23695</v>
      </c>
      <c r="D3935">
        <v>1</v>
      </c>
      <c r="F3935" s="126"/>
      <c r="G3935" s="3">
        <v>0</v>
      </c>
      <c r="H3935" s="3">
        <v>0</v>
      </c>
      <c r="I3935" s="3">
        <v>0</v>
      </c>
      <c r="J3935" s="3">
        <v>0</v>
      </c>
      <c r="K3935" s="3">
        <f t="shared" si="142"/>
        <v>0</v>
      </c>
      <c r="L3935" s="3"/>
      <c r="M3935" s="3">
        <f t="shared" si="141"/>
        <v>0</v>
      </c>
      <c r="O3935" s="5"/>
      <c r="S3935" s="6"/>
    </row>
    <row r="3936" spans="1:19" customFormat="1" x14ac:dyDescent="0.45">
      <c r="A3936">
        <v>716709</v>
      </c>
      <c r="B3936" t="s">
        <v>23696</v>
      </c>
      <c r="C3936" t="s">
        <v>23697</v>
      </c>
      <c r="D3936">
        <v>1</v>
      </c>
      <c r="F3936" s="126"/>
      <c r="G3936" s="3">
        <v>0</v>
      </c>
      <c r="H3936" s="3">
        <v>0</v>
      </c>
      <c r="I3936" s="3">
        <v>0</v>
      </c>
      <c r="J3936" s="3">
        <v>0</v>
      </c>
      <c r="K3936" s="3">
        <f t="shared" si="142"/>
        <v>0</v>
      </c>
      <c r="L3936" s="3"/>
      <c r="M3936" s="3">
        <f t="shared" si="141"/>
        <v>0</v>
      </c>
      <c r="O3936" s="5"/>
      <c r="S3936" s="6"/>
    </row>
    <row r="3937" spans="1:22" customFormat="1" x14ac:dyDescent="0.45">
      <c r="A3937">
        <v>716741</v>
      </c>
      <c r="B3937" t="s">
        <v>23698</v>
      </c>
      <c r="C3937" t="s">
        <v>16331</v>
      </c>
      <c r="D3937">
        <v>1</v>
      </c>
      <c r="E3937" t="s">
        <v>16331</v>
      </c>
      <c r="F3937" s="126"/>
      <c r="G3937" s="7">
        <v>0</v>
      </c>
      <c r="H3937" s="7">
        <v>0</v>
      </c>
      <c r="I3937" s="7">
        <v>0</v>
      </c>
      <c r="J3937" s="7">
        <v>0</v>
      </c>
      <c r="K3937" s="3">
        <f t="shared" si="142"/>
        <v>0</v>
      </c>
      <c r="L3937" s="3"/>
      <c r="M3937" s="3">
        <f t="shared" si="141"/>
        <v>0</v>
      </c>
      <c r="O3937" s="5"/>
      <c r="S3937" s="6"/>
    </row>
    <row r="3938" spans="1:22" customFormat="1" x14ac:dyDescent="0.45">
      <c r="A3938">
        <v>717296</v>
      </c>
      <c r="B3938" t="s">
        <v>23699</v>
      </c>
      <c r="C3938" t="s">
        <v>16331</v>
      </c>
      <c r="D3938">
        <v>1</v>
      </c>
      <c r="E3938" t="s">
        <v>16331</v>
      </c>
      <c r="F3938" s="126"/>
      <c r="G3938" s="7">
        <v>0</v>
      </c>
      <c r="H3938" s="7">
        <v>0</v>
      </c>
      <c r="I3938" s="7">
        <v>0</v>
      </c>
      <c r="J3938" s="7">
        <v>0</v>
      </c>
      <c r="K3938" s="3">
        <f t="shared" si="142"/>
        <v>0</v>
      </c>
      <c r="L3938" s="3"/>
      <c r="M3938" s="3">
        <f t="shared" si="141"/>
        <v>0</v>
      </c>
      <c r="O3938" s="5"/>
      <c r="S3938" s="6"/>
    </row>
    <row r="3939" spans="1:22" customFormat="1" x14ac:dyDescent="0.45">
      <c r="A3939">
        <v>717307</v>
      </c>
      <c r="B3939" t="s">
        <v>23700</v>
      </c>
      <c r="C3939" t="s">
        <v>23701</v>
      </c>
      <c r="D3939">
        <v>7</v>
      </c>
      <c r="F3939" s="126"/>
      <c r="G3939" s="3">
        <v>0</v>
      </c>
      <c r="H3939" s="3">
        <v>0</v>
      </c>
      <c r="I3939" s="3">
        <v>0</v>
      </c>
      <c r="J3939" s="3">
        <v>0</v>
      </c>
      <c r="K3939" s="3">
        <f t="shared" si="142"/>
        <v>0</v>
      </c>
      <c r="L3939" s="3"/>
      <c r="M3939" s="3">
        <f t="shared" si="141"/>
        <v>0</v>
      </c>
      <c r="O3939" s="5"/>
      <c r="S3939" s="6"/>
    </row>
    <row r="3940" spans="1:22" customFormat="1" x14ac:dyDescent="0.45">
      <c r="A3940">
        <v>717312</v>
      </c>
      <c r="B3940" t="s">
        <v>23702</v>
      </c>
      <c r="C3940" t="s">
        <v>16331</v>
      </c>
      <c r="D3940">
        <v>1</v>
      </c>
      <c r="E3940" t="s">
        <v>16331</v>
      </c>
      <c r="F3940" s="126"/>
      <c r="G3940" s="7">
        <v>0</v>
      </c>
      <c r="H3940" s="7">
        <v>0</v>
      </c>
      <c r="I3940" s="7">
        <v>0</v>
      </c>
      <c r="J3940" s="7">
        <v>0</v>
      </c>
      <c r="K3940" s="3">
        <f t="shared" si="142"/>
        <v>0</v>
      </c>
      <c r="L3940" s="3"/>
      <c r="M3940" s="3">
        <f t="shared" si="141"/>
        <v>0</v>
      </c>
      <c r="O3940" s="5"/>
      <c r="S3940" s="6"/>
    </row>
    <row r="3941" spans="1:22" customFormat="1" x14ac:dyDescent="0.45">
      <c r="A3941">
        <v>717351</v>
      </c>
      <c r="B3941" t="s">
        <v>23703</v>
      </c>
      <c r="C3941" t="s">
        <v>16331</v>
      </c>
      <c r="D3941">
        <v>1</v>
      </c>
      <c r="E3941" t="s">
        <v>16331</v>
      </c>
      <c r="F3941" s="126"/>
      <c r="G3941" s="7">
        <v>0</v>
      </c>
      <c r="H3941" s="7">
        <v>0</v>
      </c>
      <c r="I3941" s="7">
        <v>0</v>
      </c>
      <c r="J3941" s="7">
        <v>0</v>
      </c>
      <c r="K3941" s="3">
        <f t="shared" si="142"/>
        <v>0</v>
      </c>
      <c r="L3941" s="3"/>
      <c r="M3941" s="3">
        <f t="shared" si="141"/>
        <v>0</v>
      </c>
      <c r="O3941" s="5"/>
      <c r="S3941" s="6"/>
    </row>
    <row r="3942" spans="1:22" customFormat="1" x14ac:dyDescent="0.45">
      <c r="A3942">
        <v>717535</v>
      </c>
      <c r="B3942" t="s">
        <v>23704</v>
      </c>
      <c r="C3942" t="s">
        <v>23705</v>
      </c>
      <c r="D3942">
        <v>3</v>
      </c>
      <c r="F3942" s="126"/>
      <c r="G3942" s="7">
        <v>0</v>
      </c>
      <c r="H3942" s="7">
        <v>0</v>
      </c>
      <c r="I3942" s="7">
        <v>0</v>
      </c>
      <c r="J3942" s="7">
        <v>0</v>
      </c>
      <c r="K3942" s="3">
        <f t="shared" si="142"/>
        <v>0</v>
      </c>
      <c r="L3942" s="3"/>
      <c r="M3942" s="3">
        <f t="shared" si="141"/>
        <v>0</v>
      </c>
      <c r="O3942" s="5"/>
      <c r="S3942" s="6"/>
    </row>
    <row r="3943" spans="1:22" customFormat="1" x14ac:dyDescent="0.45">
      <c r="A3943">
        <v>717555</v>
      </c>
      <c r="B3943" t="s">
        <v>23706</v>
      </c>
      <c r="C3943" t="s">
        <v>23707</v>
      </c>
      <c r="D3943">
        <v>2</v>
      </c>
      <c r="F3943" s="126"/>
      <c r="G3943" s="3">
        <v>0</v>
      </c>
      <c r="H3943" s="3">
        <v>0</v>
      </c>
      <c r="I3943" s="3">
        <v>0</v>
      </c>
      <c r="J3943" s="3">
        <v>0</v>
      </c>
      <c r="K3943" s="3">
        <f t="shared" si="142"/>
        <v>0</v>
      </c>
      <c r="L3943" s="3"/>
      <c r="M3943" s="3">
        <f t="shared" si="141"/>
        <v>0</v>
      </c>
      <c r="O3943" s="5"/>
      <c r="S3943" s="6"/>
    </row>
    <row r="3944" spans="1:22" x14ac:dyDescent="0.45">
      <c r="A3944" s="124">
        <v>459515</v>
      </c>
      <c r="B3944" s="124" t="s">
        <v>23708</v>
      </c>
      <c r="C3944" s="124" t="s">
        <v>23709</v>
      </c>
      <c r="D3944" s="124">
        <v>4</v>
      </c>
      <c r="E3944" s="124" t="s">
        <v>16334</v>
      </c>
      <c r="F3944" s="126">
        <v>1.6999999999999999E-3</v>
      </c>
      <c r="G3944" s="126">
        <v>2.5000000000000001E-2</v>
      </c>
      <c r="H3944" s="126">
        <v>0.01</v>
      </c>
      <c r="I3944" s="127">
        <v>0</v>
      </c>
      <c r="J3944" s="127">
        <v>0</v>
      </c>
      <c r="K3944" s="126">
        <f t="shared" si="142"/>
        <v>3.5000000000000003E-2</v>
      </c>
      <c r="L3944" s="3"/>
      <c r="M3944" s="126">
        <f t="shared" si="141"/>
        <v>3.6700000000000003E-2</v>
      </c>
      <c r="O3944" s="131" t="s">
        <v>23710</v>
      </c>
      <c r="P3944" s="128" t="s">
        <v>26918</v>
      </c>
      <c r="Q3944" s="130">
        <f>252835+39905</f>
        <v>292740</v>
      </c>
      <c r="R3944" s="124" t="s">
        <v>16348</v>
      </c>
      <c r="S3944" s="132">
        <v>247749</v>
      </c>
      <c r="T3944" s="129">
        <f>S3944/Q3944</f>
        <v>0.84631071940971514</v>
      </c>
      <c r="V3944" s="125" t="s">
        <v>23711</v>
      </c>
    </row>
    <row r="3945" spans="1:22" customFormat="1" x14ac:dyDescent="0.45">
      <c r="A3945">
        <v>717860</v>
      </c>
      <c r="B3945" t="s">
        <v>23712</v>
      </c>
      <c r="C3945" t="s">
        <v>23713</v>
      </c>
      <c r="D3945">
        <v>1</v>
      </c>
      <c r="F3945" s="126"/>
      <c r="G3945" s="3">
        <v>0</v>
      </c>
      <c r="H3945" s="3">
        <v>0</v>
      </c>
      <c r="I3945" s="3">
        <v>0</v>
      </c>
      <c r="J3945" s="3">
        <v>0</v>
      </c>
      <c r="K3945" s="3">
        <f t="shared" si="142"/>
        <v>0</v>
      </c>
      <c r="L3945" s="3"/>
      <c r="M3945" s="3">
        <f t="shared" si="141"/>
        <v>0</v>
      </c>
      <c r="O3945" s="5"/>
      <c r="S3945" s="6"/>
    </row>
    <row r="3946" spans="1:22" customFormat="1" x14ac:dyDescent="0.45">
      <c r="A3946">
        <v>717863</v>
      </c>
      <c r="B3946" t="s">
        <v>23714</v>
      </c>
      <c r="C3946" t="s">
        <v>23715</v>
      </c>
      <c r="D3946">
        <v>1</v>
      </c>
      <c r="F3946" s="126"/>
      <c r="G3946" s="7">
        <v>0</v>
      </c>
      <c r="H3946" s="7">
        <v>0</v>
      </c>
      <c r="I3946" s="7">
        <v>0</v>
      </c>
      <c r="J3946" s="7">
        <v>0</v>
      </c>
      <c r="K3946" s="3">
        <f t="shared" si="142"/>
        <v>0</v>
      </c>
      <c r="L3946" s="3"/>
      <c r="M3946" s="3">
        <f t="shared" si="141"/>
        <v>0</v>
      </c>
      <c r="O3946" s="5"/>
      <c r="S3946" s="6"/>
    </row>
    <row r="3947" spans="1:22" customFormat="1" x14ac:dyDescent="0.45">
      <c r="A3947">
        <v>717874</v>
      </c>
      <c r="B3947" t="s">
        <v>23716</v>
      </c>
      <c r="C3947" t="s">
        <v>23717</v>
      </c>
      <c r="D3947">
        <v>2</v>
      </c>
      <c r="F3947" s="126"/>
      <c r="G3947" s="3">
        <v>0</v>
      </c>
      <c r="H3947" s="3">
        <v>0</v>
      </c>
      <c r="I3947" s="3">
        <v>0</v>
      </c>
      <c r="J3947" s="3">
        <v>0</v>
      </c>
      <c r="K3947" s="3">
        <f t="shared" si="142"/>
        <v>0</v>
      </c>
      <c r="L3947" s="3"/>
      <c r="M3947" s="3">
        <f t="shared" si="141"/>
        <v>0</v>
      </c>
      <c r="O3947" s="5"/>
      <c r="S3947" s="6"/>
    </row>
    <row r="3948" spans="1:22" customFormat="1" x14ac:dyDescent="0.45">
      <c r="A3948">
        <v>717892</v>
      </c>
      <c r="B3948" t="s">
        <v>23718</v>
      </c>
      <c r="C3948" t="s">
        <v>16331</v>
      </c>
      <c r="D3948">
        <v>5</v>
      </c>
      <c r="E3948" t="s">
        <v>16331</v>
      </c>
      <c r="F3948" s="126"/>
      <c r="G3948" s="7">
        <v>0</v>
      </c>
      <c r="H3948" s="7">
        <v>0</v>
      </c>
      <c r="I3948" s="7">
        <v>0</v>
      </c>
      <c r="J3948" s="7">
        <v>0</v>
      </c>
      <c r="K3948" s="3">
        <f t="shared" si="142"/>
        <v>0</v>
      </c>
      <c r="L3948" s="3"/>
      <c r="M3948" s="3">
        <f t="shared" si="141"/>
        <v>0</v>
      </c>
      <c r="O3948" s="5"/>
      <c r="S3948" s="6"/>
    </row>
    <row r="3949" spans="1:22" customFormat="1" x14ac:dyDescent="0.45">
      <c r="A3949">
        <v>717987</v>
      </c>
      <c r="B3949" t="s">
        <v>23719</v>
      </c>
      <c r="C3949" t="s">
        <v>16331</v>
      </c>
      <c r="D3949">
        <v>1</v>
      </c>
      <c r="E3949" t="s">
        <v>16331</v>
      </c>
      <c r="F3949" s="126"/>
      <c r="G3949" s="7">
        <v>0</v>
      </c>
      <c r="H3949" s="7">
        <v>0</v>
      </c>
      <c r="I3949" s="7">
        <v>0</v>
      </c>
      <c r="J3949" s="7">
        <v>0</v>
      </c>
      <c r="K3949" s="3">
        <f t="shared" si="142"/>
        <v>0</v>
      </c>
      <c r="L3949" s="3"/>
      <c r="M3949" s="3">
        <f t="shared" si="141"/>
        <v>0</v>
      </c>
      <c r="O3949" s="5"/>
      <c r="S3949" s="6"/>
    </row>
    <row r="3950" spans="1:22" x14ac:dyDescent="0.45">
      <c r="A3950" s="124">
        <v>530750</v>
      </c>
      <c r="B3950" s="124" t="s">
        <v>23720</v>
      </c>
      <c r="C3950" s="125" t="s">
        <v>23721</v>
      </c>
      <c r="D3950" s="124">
        <v>25</v>
      </c>
      <c r="E3950" s="124" t="s">
        <v>16334</v>
      </c>
      <c r="F3950" s="126">
        <v>1.6999999999999999E-3</v>
      </c>
      <c r="G3950" s="126">
        <v>1.7500000000000002E-2</v>
      </c>
      <c r="H3950" s="126">
        <v>0.01</v>
      </c>
      <c r="I3950" s="127">
        <v>0</v>
      </c>
      <c r="J3950" s="127">
        <v>0</v>
      </c>
      <c r="K3950" s="126">
        <f t="shared" si="142"/>
        <v>2.7500000000000004E-2</v>
      </c>
      <c r="L3950" s="3"/>
      <c r="M3950" s="126">
        <f t="shared" si="141"/>
        <v>2.9200000000000004E-2</v>
      </c>
      <c r="O3950" s="131" t="s">
        <v>23722</v>
      </c>
      <c r="P3950" s="128" t="s">
        <v>26918</v>
      </c>
      <c r="Q3950" s="130">
        <f>57168+8023</f>
        <v>65191</v>
      </c>
      <c r="R3950" s="124" t="s">
        <v>16348</v>
      </c>
      <c r="S3950" s="132">
        <v>23619</v>
      </c>
      <c r="T3950" s="129">
        <f>S3950/Q3950</f>
        <v>0.36230461259989877</v>
      </c>
      <c r="V3950" s="125" t="s">
        <v>23723</v>
      </c>
    </row>
    <row r="3951" spans="1:22" customFormat="1" x14ac:dyDescent="0.45">
      <c r="A3951">
        <v>718072</v>
      </c>
      <c r="B3951" t="s">
        <v>23724</v>
      </c>
      <c r="C3951" t="s">
        <v>23725</v>
      </c>
      <c r="D3951">
        <v>1</v>
      </c>
      <c r="F3951" s="126"/>
      <c r="G3951" s="19"/>
      <c r="H3951" s="19"/>
      <c r="I3951" s="19"/>
      <c r="J3951" s="19"/>
      <c r="K3951" s="3">
        <f t="shared" si="142"/>
        <v>0</v>
      </c>
      <c r="L3951" s="3"/>
      <c r="M3951" s="3">
        <f t="shared" ref="M3951:M4015" si="143">K3951+F3951</f>
        <v>0</v>
      </c>
      <c r="O3951" s="5"/>
      <c r="S3951" s="6"/>
    </row>
    <row r="3952" spans="1:22" customFormat="1" x14ac:dyDescent="0.45">
      <c r="A3952">
        <v>718073</v>
      </c>
      <c r="B3952" t="s">
        <v>23726</v>
      </c>
      <c r="C3952" t="s">
        <v>23727</v>
      </c>
      <c r="D3952">
        <v>2</v>
      </c>
      <c r="F3952" s="126"/>
      <c r="G3952" s="7">
        <v>0</v>
      </c>
      <c r="H3952" s="7">
        <v>0</v>
      </c>
      <c r="I3952" s="7">
        <v>0</v>
      </c>
      <c r="J3952" s="7">
        <v>0</v>
      </c>
      <c r="K3952" s="3">
        <f t="shared" si="142"/>
        <v>0</v>
      </c>
      <c r="L3952" s="3"/>
      <c r="M3952" s="3">
        <f t="shared" si="143"/>
        <v>0</v>
      </c>
      <c r="N3952" s="7"/>
      <c r="O3952" s="5"/>
      <c r="S3952" s="6"/>
    </row>
    <row r="3953" spans="1:19" customFormat="1" x14ac:dyDescent="0.45">
      <c r="A3953">
        <v>718256</v>
      </c>
      <c r="B3953" t="s">
        <v>23728</v>
      </c>
      <c r="C3953" t="s">
        <v>23729</v>
      </c>
      <c r="D3953">
        <v>1</v>
      </c>
      <c r="F3953" s="126"/>
      <c r="G3953" s="7">
        <v>0</v>
      </c>
      <c r="H3953" s="7">
        <v>0</v>
      </c>
      <c r="I3953" s="7">
        <v>0</v>
      </c>
      <c r="J3953" s="7">
        <v>0</v>
      </c>
      <c r="K3953" s="3">
        <f t="shared" si="142"/>
        <v>0</v>
      </c>
      <c r="L3953" s="3"/>
      <c r="M3953" s="3">
        <f t="shared" si="143"/>
        <v>0</v>
      </c>
      <c r="N3953" s="7"/>
      <c r="O3953" s="5"/>
      <c r="S3953" s="6"/>
    </row>
    <row r="3954" spans="1:19" customFormat="1" x14ac:dyDescent="0.45">
      <c r="A3954">
        <v>718394</v>
      </c>
      <c r="B3954" t="s">
        <v>23730</v>
      </c>
      <c r="C3954" t="s">
        <v>23731</v>
      </c>
      <c r="D3954">
        <v>3</v>
      </c>
      <c r="F3954" s="126"/>
      <c r="G3954" s="7">
        <v>0</v>
      </c>
      <c r="H3954" s="3">
        <v>0</v>
      </c>
      <c r="I3954" s="3">
        <v>0</v>
      </c>
      <c r="J3954">
        <v>0</v>
      </c>
      <c r="K3954" s="3">
        <f t="shared" si="142"/>
        <v>0</v>
      </c>
      <c r="L3954" s="3"/>
      <c r="M3954" s="3">
        <f t="shared" si="143"/>
        <v>0</v>
      </c>
      <c r="O3954" s="5"/>
      <c r="S3954" s="6"/>
    </row>
    <row r="3955" spans="1:19" customFormat="1" x14ac:dyDescent="0.45">
      <c r="A3955">
        <v>718558</v>
      </c>
      <c r="B3955" t="s">
        <v>23732</v>
      </c>
      <c r="C3955" t="s">
        <v>23733</v>
      </c>
      <c r="D3955">
        <v>2</v>
      </c>
      <c r="F3955" s="126"/>
      <c r="G3955" s="7">
        <v>0</v>
      </c>
      <c r="H3955" s="7">
        <v>0</v>
      </c>
      <c r="I3955" s="7">
        <v>0</v>
      </c>
      <c r="J3955" s="7">
        <v>0</v>
      </c>
      <c r="K3955" s="3">
        <f t="shared" si="142"/>
        <v>0</v>
      </c>
      <c r="L3955" s="3"/>
      <c r="M3955" s="3">
        <f t="shared" si="143"/>
        <v>0</v>
      </c>
      <c r="N3955" s="7"/>
      <c r="O3955" s="5"/>
      <c r="S3955" s="6"/>
    </row>
    <row r="3956" spans="1:19" customFormat="1" x14ac:dyDescent="0.45">
      <c r="A3956">
        <v>718755</v>
      </c>
      <c r="B3956" t="s">
        <v>23734</v>
      </c>
      <c r="C3956" t="s">
        <v>23735</v>
      </c>
      <c r="D3956">
        <v>2</v>
      </c>
      <c r="F3956" s="126"/>
      <c r="G3956" s="3">
        <v>0</v>
      </c>
      <c r="H3956" s="3">
        <v>0</v>
      </c>
      <c r="I3956" s="3">
        <v>0</v>
      </c>
      <c r="J3956" s="3">
        <v>0</v>
      </c>
      <c r="K3956" s="3">
        <f t="shared" si="142"/>
        <v>0</v>
      </c>
      <c r="L3956" s="3"/>
      <c r="M3956" s="3">
        <f t="shared" si="143"/>
        <v>0</v>
      </c>
      <c r="O3956" s="5"/>
      <c r="S3956" s="6"/>
    </row>
    <row r="3957" spans="1:19" customFormat="1" x14ac:dyDescent="0.45">
      <c r="A3957">
        <v>719064</v>
      </c>
      <c r="B3957" t="s">
        <v>23736</v>
      </c>
      <c r="C3957" t="s">
        <v>23737</v>
      </c>
      <c r="D3957">
        <v>1</v>
      </c>
      <c r="F3957" s="126"/>
      <c r="G3957" s="7">
        <v>0</v>
      </c>
      <c r="H3957" s="7">
        <v>0</v>
      </c>
      <c r="I3957" s="7">
        <v>0</v>
      </c>
      <c r="J3957" s="7">
        <v>0</v>
      </c>
      <c r="K3957" s="3">
        <f t="shared" si="142"/>
        <v>0</v>
      </c>
      <c r="L3957" s="3"/>
      <c r="M3957" s="3">
        <f t="shared" si="143"/>
        <v>0</v>
      </c>
      <c r="O3957" s="5"/>
      <c r="S3957" s="6"/>
    </row>
    <row r="3958" spans="1:19" customFormat="1" x14ac:dyDescent="0.45">
      <c r="A3958">
        <v>719066</v>
      </c>
      <c r="B3958" t="s">
        <v>23738</v>
      </c>
      <c r="C3958" t="s">
        <v>16331</v>
      </c>
      <c r="D3958">
        <v>1</v>
      </c>
      <c r="E3958" t="s">
        <v>16331</v>
      </c>
      <c r="F3958" s="126"/>
      <c r="G3958" s="7">
        <v>0</v>
      </c>
      <c r="H3958" s="7">
        <v>0</v>
      </c>
      <c r="I3958" s="7">
        <v>0</v>
      </c>
      <c r="J3958" s="7">
        <v>0</v>
      </c>
      <c r="K3958" s="3">
        <f t="shared" si="142"/>
        <v>0</v>
      </c>
      <c r="L3958" s="3"/>
      <c r="M3958" s="3">
        <f t="shared" si="143"/>
        <v>0</v>
      </c>
      <c r="N3958" s="7"/>
      <c r="O3958" s="5"/>
      <c r="S3958" s="6"/>
    </row>
    <row r="3959" spans="1:19" customFormat="1" x14ac:dyDescent="0.45">
      <c r="A3959">
        <v>719086</v>
      </c>
      <c r="B3959" t="s">
        <v>23739</v>
      </c>
      <c r="C3959" t="s">
        <v>23740</v>
      </c>
      <c r="D3959">
        <v>0</v>
      </c>
      <c r="E3959" t="s">
        <v>16334</v>
      </c>
      <c r="F3959" s="126"/>
      <c r="G3959" s="7">
        <v>0</v>
      </c>
      <c r="H3959" s="7">
        <v>0</v>
      </c>
      <c r="I3959" s="7">
        <v>0</v>
      </c>
      <c r="J3959" s="7">
        <v>0</v>
      </c>
      <c r="K3959" s="3">
        <f t="shared" si="142"/>
        <v>0</v>
      </c>
      <c r="L3959" s="3"/>
      <c r="M3959" s="3">
        <f t="shared" si="143"/>
        <v>0</v>
      </c>
      <c r="O3959" s="5"/>
      <c r="S3959" s="6"/>
    </row>
    <row r="3960" spans="1:19" customFormat="1" x14ac:dyDescent="0.45">
      <c r="A3960">
        <v>719170</v>
      </c>
      <c r="B3960" t="s">
        <v>23741</v>
      </c>
      <c r="C3960" t="s">
        <v>16331</v>
      </c>
      <c r="D3960">
        <v>3</v>
      </c>
      <c r="E3960" t="s">
        <v>16331</v>
      </c>
      <c r="F3960" s="126"/>
      <c r="G3960" s="7">
        <v>0</v>
      </c>
      <c r="H3960" s="7">
        <v>0</v>
      </c>
      <c r="I3960" s="7">
        <v>0</v>
      </c>
      <c r="J3960" s="7">
        <v>0</v>
      </c>
      <c r="K3960" s="3">
        <f t="shared" si="142"/>
        <v>0</v>
      </c>
      <c r="L3960" s="3"/>
      <c r="M3960" s="3">
        <f t="shared" si="143"/>
        <v>0</v>
      </c>
      <c r="O3960" s="5"/>
      <c r="S3960" s="6"/>
    </row>
    <row r="3961" spans="1:19" customFormat="1" x14ac:dyDescent="0.45">
      <c r="A3961">
        <v>719208</v>
      </c>
      <c r="B3961" t="s">
        <v>23742</v>
      </c>
      <c r="C3961" t="s">
        <v>16331</v>
      </c>
      <c r="D3961">
        <v>1</v>
      </c>
      <c r="E3961" t="s">
        <v>16331</v>
      </c>
      <c r="F3961" s="126"/>
      <c r="G3961" s="7">
        <v>0</v>
      </c>
      <c r="H3961" s="7">
        <v>0</v>
      </c>
      <c r="I3961" s="7">
        <v>0</v>
      </c>
      <c r="J3961" s="7">
        <v>0</v>
      </c>
      <c r="K3961" s="3">
        <f t="shared" si="142"/>
        <v>0</v>
      </c>
      <c r="L3961" s="3"/>
      <c r="M3961" s="3">
        <f t="shared" si="143"/>
        <v>0</v>
      </c>
      <c r="O3961" s="5"/>
      <c r="S3961" s="6"/>
    </row>
    <row r="3962" spans="1:19" customFormat="1" x14ac:dyDescent="0.45">
      <c r="A3962">
        <v>719241</v>
      </c>
      <c r="B3962" t="s">
        <v>23743</v>
      </c>
      <c r="C3962" t="s">
        <v>23744</v>
      </c>
      <c r="D3962">
        <v>2</v>
      </c>
      <c r="F3962" s="126"/>
      <c r="G3962" s="3"/>
      <c r="H3962" s="3"/>
      <c r="I3962" s="3"/>
      <c r="J3962" s="3"/>
      <c r="K3962" s="3">
        <f t="shared" si="142"/>
        <v>0</v>
      </c>
      <c r="L3962" s="3"/>
      <c r="M3962" s="3">
        <f t="shared" si="143"/>
        <v>0</v>
      </c>
      <c r="O3962" s="5"/>
      <c r="S3962" s="6"/>
    </row>
    <row r="3963" spans="1:19" customFormat="1" x14ac:dyDescent="0.45">
      <c r="A3963">
        <v>719377</v>
      </c>
      <c r="B3963" t="s">
        <v>23745</v>
      </c>
      <c r="C3963" t="s">
        <v>23746</v>
      </c>
      <c r="D3963">
        <v>0</v>
      </c>
      <c r="E3963" t="s">
        <v>16334</v>
      </c>
      <c r="F3963" s="126"/>
      <c r="G3963" s="7">
        <v>0</v>
      </c>
      <c r="H3963" s="7">
        <v>0</v>
      </c>
      <c r="I3963" s="7">
        <v>0</v>
      </c>
      <c r="J3963" s="7">
        <v>0</v>
      </c>
      <c r="K3963" s="3">
        <f t="shared" si="142"/>
        <v>0</v>
      </c>
      <c r="L3963" s="3"/>
      <c r="M3963" s="3">
        <f t="shared" si="143"/>
        <v>0</v>
      </c>
      <c r="O3963" s="5"/>
      <c r="S3963" s="6"/>
    </row>
    <row r="3964" spans="1:19" customFormat="1" x14ac:dyDescent="0.45">
      <c r="A3964">
        <v>719403</v>
      </c>
      <c r="B3964" t="s">
        <v>23747</v>
      </c>
      <c r="C3964" t="s">
        <v>16331</v>
      </c>
      <c r="D3964">
        <v>1</v>
      </c>
      <c r="E3964" t="s">
        <v>16331</v>
      </c>
      <c r="F3964" s="126"/>
      <c r="G3964" s="7">
        <v>0</v>
      </c>
      <c r="H3964" s="7">
        <v>0</v>
      </c>
      <c r="I3964" s="7">
        <v>0</v>
      </c>
      <c r="J3964" s="7">
        <v>0</v>
      </c>
      <c r="K3964" s="3">
        <f t="shared" ref="K3964:K4015" si="144">SUM(G3964:J3964)</f>
        <v>0</v>
      </c>
      <c r="L3964" s="3"/>
      <c r="M3964" s="3">
        <f t="shared" si="143"/>
        <v>0</v>
      </c>
      <c r="O3964" s="5"/>
      <c r="S3964" s="6"/>
    </row>
    <row r="3965" spans="1:19" customFormat="1" x14ac:dyDescent="0.45">
      <c r="A3965">
        <v>719536</v>
      </c>
      <c r="B3965" t="s">
        <v>23748</v>
      </c>
      <c r="C3965" t="s">
        <v>23749</v>
      </c>
      <c r="D3965">
        <v>1</v>
      </c>
      <c r="F3965" s="126"/>
      <c r="G3965" s="7">
        <v>0</v>
      </c>
      <c r="H3965" s="7">
        <v>0</v>
      </c>
      <c r="I3965" s="7">
        <v>0</v>
      </c>
      <c r="J3965" s="7">
        <v>0</v>
      </c>
      <c r="K3965" s="3">
        <f t="shared" si="144"/>
        <v>0</v>
      </c>
      <c r="L3965" s="3"/>
      <c r="M3965" s="3">
        <f t="shared" si="143"/>
        <v>0</v>
      </c>
      <c r="O3965" s="5"/>
      <c r="S3965" s="6"/>
    </row>
    <row r="3966" spans="1:19" customFormat="1" x14ac:dyDescent="0.45">
      <c r="A3966">
        <v>719732</v>
      </c>
      <c r="B3966" t="s">
        <v>23750</v>
      </c>
      <c r="C3966" t="s">
        <v>16331</v>
      </c>
      <c r="D3966">
        <v>2</v>
      </c>
      <c r="E3966" t="s">
        <v>16331</v>
      </c>
      <c r="F3966" s="126"/>
      <c r="G3966" s="7">
        <v>0</v>
      </c>
      <c r="H3966" s="7">
        <v>0</v>
      </c>
      <c r="I3966" s="7">
        <v>0</v>
      </c>
      <c r="J3966" s="7">
        <v>0</v>
      </c>
      <c r="K3966" s="3">
        <f t="shared" si="144"/>
        <v>0</v>
      </c>
      <c r="L3966" s="3"/>
      <c r="M3966" s="3">
        <f t="shared" si="143"/>
        <v>0</v>
      </c>
      <c r="O3966" s="5"/>
      <c r="S3966" s="6"/>
    </row>
    <row r="3967" spans="1:19" customFormat="1" x14ac:dyDescent="0.45">
      <c r="A3967">
        <v>719977</v>
      </c>
      <c r="B3967" t="s">
        <v>23751</v>
      </c>
      <c r="C3967" t="s">
        <v>16331</v>
      </c>
      <c r="D3967">
        <v>1</v>
      </c>
      <c r="E3967" t="s">
        <v>16331</v>
      </c>
      <c r="F3967" s="126"/>
      <c r="G3967" s="7">
        <v>0</v>
      </c>
      <c r="H3967" s="7">
        <v>0</v>
      </c>
      <c r="I3967" s="7">
        <v>0</v>
      </c>
      <c r="J3967" s="7">
        <v>0</v>
      </c>
      <c r="K3967" s="3">
        <f t="shared" si="144"/>
        <v>0</v>
      </c>
      <c r="L3967" s="3"/>
      <c r="M3967" s="3">
        <f t="shared" si="143"/>
        <v>0</v>
      </c>
      <c r="N3967" s="7"/>
      <c r="O3967" s="5"/>
      <c r="S3967" s="6"/>
    </row>
    <row r="3968" spans="1:19" customFormat="1" x14ac:dyDescent="0.45">
      <c r="A3968">
        <v>719991</v>
      </c>
      <c r="B3968" t="s">
        <v>23752</v>
      </c>
      <c r="C3968" t="s">
        <v>23753</v>
      </c>
      <c r="D3968">
        <v>2</v>
      </c>
      <c r="F3968" s="126"/>
      <c r="G3968" s="3"/>
      <c r="H3968" s="3"/>
      <c r="I3968" s="3"/>
      <c r="J3968" s="3"/>
      <c r="K3968" s="3">
        <f t="shared" si="144"/>
        <v>0</v>
      </c>
      <c r="L3968" s="3"/>
      <c r="M3968" s="3">
        <f t="shared" si="143"/>
        <v>0</v>
      </c>
      <c r="O3968" s="5"/>
      <c r="S3968" s="6"/>
    </row>
    <row r="3969" spans="1:22" customFormat="1" x14ac:dyDescent="0.45">
      <c r="A3969">
        <v>720102</v>
      </c>
      <c r="B3969" t="s">
        <v>23754</v>
      </c>
      <c r="C3969" t="s">
        <v>16331</v>
      </c>
      <c r="D3969">
        <v>0</v>
      </c>
      <c r="E3969" t="s">
        <v>16331</v>
      </c>
      <c r="F3969" s="126"/>
      <c r="G3969" s="7">
        <v>0</v>
      </c>
      <c r="H3969" s="7">
        <v>0</v>
      </c>
      <c r="I3969" s="7">
        <v>0</v>
      </c>
      <c r="J3969" s="7">
        <v>0</v>
      </c>
      <c r="K3969" s="3">
        <f t="shared" si="144"/>
        <v>0</v>
      </c>
      <c r="L3969" s="3"/>
      <c r="M3969" s="3">
        <f t="shared" si="143"/>
        <v>0</v>
      </c>
      <c r="O3969" s="5"/>
      <c r="S3969" s="6"/>
    </row>
    <row r="3970" spans="1:22" customFormat="1" x14ac:dyDescent="0.45">
      <c r="A3970">
        <v>720105</v>
      </c>
      <c r="B3970" t="s">
        <v>23755</v>
      </c>
      <c r="C3970" t="s">
        <v>23756</v>
      </c>
      <c r="D3970">
        <v>1</v>
      </c>
      <c r="F3970" s="126"/>
      <c r="G3970" s="3">
        <v>0</v>
      </c>
      <c r="H3970" s="3">
        <v>0</v>
      </c>
      <c r="I3970" s="3">
        <v>0</v>
      </c>
      <c r="J3970" s="3">
        <v>0</v>
      </c>
      <c r="K3970" s="3">
        <f t="shared" si="144"/>
        <v>0</v>
      </c>
      <c r="L3970" s="3"/>
      <c r="M3970" s="3">
        <f t="shared" si="143"/>
        <v>0</v>
      </c>
      <c r="O3970" s="5"/>
      <c r="S3970" s="6"/>
    </row>
    <row r="3971" spans="1:22" customFormat="1" x14ac:dyDescent="0.45">
      <c r="A3971">
        <v>720217</v>
      </c>
      <c r="B3971" t="s">
        <v>23757</v>
      </c>
      <c r="C3971" t="s">
        <v>23758</v>
      </c>
      <c r="D3971">
        <v>0</v>
      </c>
      <c r="E3971" t="s">
        <v>16561</v>
      </c>
      <c r="F3971" s="126"/>
      <c r="G3971" s="7">
        <v>0</v>
      </c>
      <c r="H3971" s="7">
        <v>0</v>
      </c>
      <c r="I3971" s="7">
        <v>0</v>
      </c>
      <c r="J3971" s="7">
        <v>0</v>
      </c>
      <c r="K3971" s="3">
        <f t="shared" si="144"/>
        <v>0</v>
      </c>
      <c r="L3971" s="3"/>
      <c r="M3971" s="3">
        <f t="shared" si="143"/>
        <v>0</v>
      </c>
      <c r="N3971" s="7"/>
      <c r="O3971" s="5"/>
      <c r="S3971" s="6"/>
    </row>
    <row r="3972" spans="1:22" customFormat="1" x14ac:dyDescent="0.45">
      <c r="A3972">
        <v>720230</v>
      </c>
      <c r="B3972" t="s">
        <v>23759</v>
      </c>
      <c r="C3972" s="2" t="s">
        <v>23760</v>
      </c>
      <c r="D3972">
        <v>1</v>
      </c>
      <c r="F3972" s="126"/>
      <c r="G3972" s="3">
        <v>0</v>
      </c>
      <c r="H3972" s="3">
        <v>0</v>
      </c>
      <c r="I3972" s="3">
        <v>0</v>
      </c>
      <c r="J3972" s="3">
        <v>0</v>
      </c>
      <c r="K3972" s="3">
        <f t="shared" si="144"/>
        <v>0</v>
      </c>
      <c r="L3972" s="3"/>
      <c r="M3972" s="3">
        <f t="shared" si="143"/>
        <v>0</v>
      </c>
      <c r="O3972" s="5"/>
      <c r="S3972" s="6"/>
    </row>
    <row r="3973" spans="1:22" customFormat="1" x14ac:dyDescent="0.45">
      <c r="A3973">
        <v>720238</v>
      </c>
      <c r="B3973" t="s">
        <v>23761</v>
      </c>
      <c r="C3973" t="s">
        <v>23762</v>
      </c>
      <c r="D3973">
        <v>6</v>
      </c>
      <c r="F3973" s="126"/>
      <c r="G3973" s="3">
        <v>0</v>
      </c>
      <c r="H3973" s="3">
        <v>0</v>
      </c>
      <c r="I3973" s="3">
        <v>0</v>
      </c>
      <c r="J3973" s="3">
        <v>0</v>
      </c>
      <c r="K3973" s="3">
        <f t="shared" si="144"/>
        <v>0</v>
      </c>
      <c r="L3973" s="3"/>
      <c r="M3973" s="3">
        <f t="shared" si="143"/>
        <v>0</v>
      </c>
      <c r="O3973" s="5"/>
      <c r="S3973" s="6"/>
    </row>
    <row r="3974" spans="1:22" customFormat="1" x14ac:dyDescent="0.45">
      <c r="A3974">
        <v>720807</v>
      </c>
      <c r="B3974" t="s">
        <v>23763</v>
      </c>
      <c r="C3974" t="s">
        <v>16331</v>
      </c>
      <c r="D3974">
        <v>3</v>
      </c>
      <c r="E3974" t="s">
        <v>16331</v>
      </c>
      <c r="F3974" s="126"/>
      <c r="G3974" s="7">
        <v>0</v>
      </c>
      <c r="H3974" s="7">
        <v>0</v>
      </c>
      <c r="I3974" s="7">
        <v>0</v>
      </c>
      <c r="J3974" s="7">
        <v>0</v>
      </c>
      <c r="K3974" s="3">
        <f t="shared" si="144"/>
        <v>0</v>
      </c>
      <c r="L3974" s="3"/>
      <c r="M3974" s="3">
        <f t="shared" si="143"/>
        <v>0</v>
      </c>
      <c r="O3974" s="5"/>
      <c r="S3974" s="6"/>
    </row>
    <row r="3975" spans="1:22" x14ac:dyDescent="0.45">
      <c r="A3975" s="124">
        <v>533004</v>
      </c>
      <c r="B3975" s="124" t="s">
        <v>23764</v>
      </c>
      <c r="C3975" s="124" t="s">
        <v>23765</v>
      </c>
      <c r="D3975" s="124">
        <v>1</v>
      </c>
      <c r="E3975" s="124" t="s">
        <v>16417</v>
      </c>
      <c r="F3975" s="126">
        <v>2.2000000000000001E-3</v>
      </c>
      <c r="G3975" s="126">
        <v>0.03</v>
      </c>
      <c r="H3975" s="126">
        <v>0.01</v>
      </c>
      <c r="I3975" s="127">
        <v>0</v>
      </c>
      <c r="J3975" s="127"/>
      <c r="K3975" s="126">
        <f t="shared" si="144"/>
        <v>0.04</v>
      </c>
      <c r="L3975" s="30"/>
      <c r="M3975" s="126">
        <f t="shared" si="143"/>
        <v>4.2200000000000001E-2</v>
      </c>
      <c r="N3975" s="126" t="s">
        <v>23766</v>
      </c>
      <c r="O3975" s="131" t="s">
        <v>23767</v>
      </c>
      <c r="Q3975" s="130">
        <f>21895536+2032833</f>
        <v>23928369</v>
      </c>
      <c r="R3975" s="124" t="s">
        <v>16348</v>
      </c>
      <c r="S3975" s="130">
        <v>21891619</v>
      </c>
      <c r="T3975" s="129">
        <f>S3975/Q3975</f>
        <v>0.91488136947403309</v>
      </c>
      <c r="V3975" s="125" t="s">
        <v>18729</v>
      </c>
    </row>
    <row r="3976" spans="1:22" customFormat="1" x14ac:dyDescent="0.45">
      <c r="A3976">
        <v>721501</v>
      </c>
      <c r="B3976" t="s">
        <v>23768</v>
      </c>
      <c r="C3976" t="s">
        <v>16331</v>
      </c>
      <c r="D3976">
        <v>1</v>
      </c>
      <c r="E3976" t="s">
        <v>16331</v>
      </c>
      <c r="F3976" s="126"/>
      <c r="G3976" s="7">
        <v>0</v>
      </c>
      <c r="H3976" s="7">
        <v>0</v>
      </c>
      <c r="I3976" s="7">
        <v>0</v>
      </c>
      <c r="J3976" s="7">
        <v>0</v>
      </c>
      <c r="K3976" s="3">
        <f t="shared" si="144"/>
        <v>0</v>
      </c>
      <c r="L3976" s="3"/>
      <c r="M3976" s="3">
        <f t="shared" si="143"/>
        <v>0</v>
      </c>
      <c r="O3976" s="5"/>
      <c r="S3976" s="6"/>
    </row>
    <row r="3977" spans="1:22" customFormat="1" x14ac:dyDescent="0.45">
      <c r="A3977">
        <v>721539</v>
      </c>
      <c r="B3977" t="s">
        <v>23769</v>
      </c>
      <c r="C3977" t="s">
        <v>16331</v>
      </c>
      <c r="D3977">
        <v>1</v>
      </c>
      <c r="E3977" t="s">
        <v>16331</v>
      </c>
      <c r="F3977" s="126"/>
      <c r="K3977" s="3">
        <f t="shared" si="144"/>
        <v>0</v>
      </c>
      <c r="L3977" s="3"/>
      <c r="M3977" s="3">
        <f t="shared" si="143"/>
        <v>0</v>
      </c>
      <c r="O3977" s="5"/>
      <c r="S3977" s="6"/>
    </row>
    <row r="3978" spans="1:22" customFormat="1" x14ac:dyDescent="0.45">
      <c r="A3978">
        <v>722559</v>
      </c>
      <c r="B3978" t="s">
        <v>23770</v>
      </c>
      <c r="C3978" t="s">
        <v>23771</v>
      </c>
      <c r="D3978">
        <v>2</v>
      </c>
      <c r="F3978" s="126"/>
      <c r="G3978" s="3">
        <v>0</v>
      </c>
      <c r="H3978" s="3">
        <v>0</v>
      </c>
      <c r="I3978" s="3">
        <v>0</v>
      </c>
      <c r="J3978" s="3">
        <v>0</v>
      </c>
      <c r="K3978" s="3">
        <f t="shared" si="144"/>
        <v>0</v>
      </c>
      <c r="L3978" s="3"/>
      <c r="M3978" s="3">
        <f t="shared" si="143"/>
        <v>0</v>
      </c>
      <c r="O3978" s="5"/>
      <c r="S3978" s="6"/>
    </row>
    <row r="3979" spans="1:22" customFormat="1" x14ac:dyDescent="0.45">
      <c r="A3979">
        <v>722573</v>
      </c>
      <c r="B3979" t="s">
        <v>23772</v>
      </c>
      <c r="C3979" s="2" t="s">
        <v>23773</v>
      </c>
      <c r="D3979">
        <v>4</v>
      </c>
      <c r="F3979" s="126"/>
      <c r="G3979" s="3">
        <v>0</v>
      </c>
      <c r="H3979" s="3">
        <v>0</v>
      </c>
      <c r="I3979" s="3">
        <v>0</v>
      </c>
      <c r="J3979" s="3">
        <v>0</v>
      </c>
      <c r="K3979" s="3">
        <f t="shared" si="144"/>
        <v>0</v>
      </c>
      <c r="L3979" s="3"/>
      <c r="M3979" s="3">
        <f t="shared" si="143"/>
        <v>0</v>
      </c>
      <c r="O3979" s="5"/>
      <c r="S3979" s="6"/>
    </row>
    <row r="3980" spans="1:22" customFormat="1" x14ac:dyDescent="0.45">
      <c r="A3980">
        <v>722670</v>
      </c>
      <c r="B3980" t="s">
        <v>23774</v>
      </c>
      <c r="C3980" t="s">
        <v>23775</v>
      </c>
      <c r="D3980">
        <v>1</v>
      </c>
      <c r="F3980" s="126"/>
      <c r="G3980" s="7">
        <v>0</v>
      </c>
      <c r="H3980" s="7">
        <v>0</v>
      </c>
      <c r="I3980" s="7">
        <v>0</v>
      </c>
      <c r="J3980" s="7">
        <v>0</v>
      </c>
      <c r="K3980" s="3">
        <f t="shared" si="144"/>
        <v>0</v>
      </c>
      <c r="L3980" s="3"/>
      <c r="M3980" s="3">
        <f t="shared" si="143"/>
        <v>0</v>
      </c>
      <c r="O3980" s="5"/>
      <c r="S3980" s="6"/>
    </row>
    <row r="3981" spans="1:22" customFormat="1" x14ac:dyDescent="0.45">
      <c r="A3981">
        <v>722685</v>
      </c>
      <c r="B3981" t="s">
        <v>23776</v>
      </c>
      <c r="C3981" t="s">
        <v>23777</v>
      </c>
      <c r="D3981">
        <v>1</v>
      </c>
      <c r="F3981" s="126"/>
      <c r="G3981" s="3"/>
      <c r="H3981" s="3"/>
      <c r="I3981" s="3"/>
      <c r="J3981" s="3"/>
      <c r="K3981" s="3">
        <f t="shared" si="144"/>
        <v>0</v>
      </c>
      <c r="L3981" s="3"/>
      <c r="M3981" s="3">
        <f t="shared" si="143"/>
        <v>0</v>
      </c>
      <c r="O3981" s="5"/>
      <c r="S3981" s="6"/>
    </row>
    <row r="3982" spans="1:22" x14ac:dyDescent="0.45">
      <c r="A3982" s="124">
        <v>608678</v>
      </c>
      <c r="B3982" s="124" t="s">
        <v>23778</v>
      </c>
      <c r="C3982" s="125" t="s">
        <v>23779</v>
      </c>
      <c r="D3982" s="124">
        <v>8</v>
      </c>
      <c r="E3982" s="124" t="s">
        <v>16334</v>
      </c>
      <c r="F3982" s="126">
        <v>1.6999999999999999E-3</v>
      </c>
      <c r="G3982" s="126">
        <v>0.02</v>
      </c>
      <c r="H3982" s="126">
        <v>0.01</v>
      </c>
      <c r="I3982" s="127"/>
      <c r="J3982" s="127"/>
      <c r="K3982" s="126">
        <f t="shared" si="144"/>
        <v>0.03</v>
      </c>
      <c r="L3982" s="3"/>
      <c r="M3982" s="126">
        <f t="shared" si="143"/>
        <v>3.1699999999999999E-2</v>
      </c>
      <c r="O3982" s="131" t="s">
        <v>23780</v>
      </c>
      <c r="P3982" s="128" t="s">
        <v>26918</v>
      </c>
      <c r="Q3982" s="124">
        <f>276399+769610</f>
        <v>1046009</v>
      </c>
      <c r="R3982" s="124" t="s">
        <v>16348</v>
      </c>
      <c r="S3982" s="132">
        <v>871196</v>
      </c>
      <c r="T3982" s="129">
        <f>S3982/Q3982</f>
        <v>0.83287619896195919</v>
      </c>
      <c r="V3982" s="125" t="s">
        <v>23781</v>
      </c>
    </row>
    <row r="3983" spans="1:22" customFormat="1" x14ac:dyDescent="0.45">
      <c r="A3983">
        <v>722840</v>
      </c>
      <c r="B3983" t="s">
        <v>23782</v>
      </c>
      <c r="C3983" t="s">
        <v>23783</v>
      </c>
      <c r="D3983">
        <v>1</v>
      </c>
      <c r="F3983" s="126"/>
      <c r="G3983" s="7">
        <v>0</v>
      </c>
      <c r="H3983" s="7">
        <v>0</v>
      </c>
      <c r="I3983" s="7">
        <v>0</v>
      </c>
      <c r="J3983" s="7">
        <v>0</v>
      </c>
      <c r="K3983" s="3">
        <f t="shared" si="144"/>
        <v>0</v>
      </c>
      <c r="L3983" s="3"/>
      <c r="M3983" s="3">
        <f t="shared" si="143"/>
        <v>0</v>
      </c>
      <c r="N3983" s="7"/>
      <c r="O3983" s="5"/>
      <c r="S3983" s="6"/>
    </row>
    <row r="3984" spans="1:22" customFormat="1" x14ac:dyDescent="0.45">
      <c r="A3984">
        <v>723097</v>
      </c>
      <c r="B3984" t="s">
        <v>23784</v>
      </c>
      <c r="C3984" t="s">
        <v>23785</v>
      </c>
      <c r="D3984">
        <v>2</v>
      </c>
      <c r="F3984" s="126"/>
      <c r="G3984" s="3"/>
      <c r="H3984" s="3"/>
      <c r="I3984" s="3"/>
      <c r="J3984" s="3"/>
      <c r="K3984" s="3">
        <f t="shared" si="144"/>
        <v>0</v>
      </c>
      <c r="L3984" s="3"/>
      <c r="M3984" s="3">
        <f t="shared" si="143"/>
        <v>0</v>
      </c>
      <c r="O3984" s="5"/>
      <c r="S3984" s="6"/>
    </row>
    <row r="3985" spans="1:19" customFormat="1" x14ac:dyDescent="0.45">
      <c r="A3985">
        <v>723127</v>
      </c>
      <c r="B3985" t="s">
        <v>23786</v>
      </c>
      <c r="C3985" t="s">
        <v>16331</v>
      </c>
      <c r="D3985">
        <v>2</v>
      </c>
      <c r="E3985" t="s">
        <v>16331</v>
      </c>
      <c r="F3985" s="126"/>
      <c r="G3985" s="7">
        <v>0</v>
      </c>
      <c r="H3985" s="7">
        <v>0</v>
      </c>
      <c r="I3985" s="7">
        <v>0</v>
      </c>
      <c r="J3985" s="7">
        <v>0</v>
      </c>
      <c r="K3985" s="3">
        <f t="shared" si="144"/>
        <v>0</v>
      </c>
      <c r="L3985" s="3"/>
      <c r="M3985" s="3">
        <f t="shared" si="143"/>
        <v>0</v>
      </c>
      <c r="N3985" s="7"/>
      <c r="O3985" s="5"/>
      <c r="S3985" s="6"/>
    </row>
    <row r="3986" spans="1:19" customFormat="1" x14ac:dyDescent="0.45">
      <c r="A3986">
        <v>723906</v>
      </c>
      <c r="B3986" t="s">
        <v>23787</v>
      </c>
      <c r="C3986" t="s">
        <v>23788</v>
      </c>
      <c r="D3986">
        <v>1</v>
      </c>
      <c r="F3986" s="126"/>
      <c r="G3986" s="7">
        <v>0</v>
      </c>
      <c r="H3986" s="7">
        <v>0</v>
      </c>
      <c r="I3986" s="7">
        <v>0</v>
      </c>
      <c r="J3986" s="7">
        <v>0</v>
      </c>
      <c r="K3986" s="3">
        <f t="shared" si="144"/>
        <v>0</v>
      </c>
      <c r="L3986" s="3"/>
      <c r="M3986" s="3">
        <f t="shared" si="143"/>
        <v>0</v>
      </c>
      <c r="O3986" s="5"/>
      <c r="S3986" s="6"/>
    </row>
    <row r="3987" spans="1:19" customFormat="1" x14ac:dyDescent="0.45">
      <c r="A3987">
        <v>723966</v>
      </c>
      <c r="B3987" t="s">
        <v>23789</v>
      </c>
      <c r="C3987" t="s">
        <v>16331</v>
      </c>
      <c r="D3987">
        <v>1</v>
      </c>
      <c r="E3987" t="s">
        <v>16331</v>
      </c>
      <c r="F3987" s="126"/>
      <c r="G3987" s="7">
        <v>0</v>
      </c>
      <c r="H3987" s="7">
        <v>0</v>
      </c>
      <c r="I3987" s="7">
        <v>0</v>
      </c>
      <c r="J3987" s="7">
        <v>0</v>
      </c>
      <c r="K3987" s="3">
        <f t="shared" si="144"/>
        <v>0</v>
      </c>
      <c r="L3987" s="3"/>
      <c r="M3987" s="3">
        <f t="shared" si="143"/>
        <v>0</v>
      </c>
      <c r="O3987" s="5"/>
      <c r="S3987" s="6"/>
    </row>
    <row r="3988" spans="1:19" customFormat="1" x14ac:dyDescent="0.45">
      <c r="A3988">
        <v>724139</v>
      </c>
      <c r="B3988" t="s">
        <v>23790</v>
      </c>
      <c r="C3988" t="s">
        <v>23791</v>
      </c>
      <c r="D3988">
        <v>2</v>
      </c>
      <c r="F3988" s="126"/>
      <c r="G3988" s="3">
        <v>0</v>
      </c>
      <c r="H3988" s="3">
        <v>0</v>
      </c>
      <c r="I3988" s="3">
        <v>0</v>
      </c>
      <c r="J3988" s="3">
        <v>0</v>
      </c>
      <c r="K3988" s="3">
        <f t="shared" si="144"/>
        <v>0</v>
      </c>
      <c r="L3988" s="3"/>
      <c r="M3988" s="3">
        <f t="shared" si="143"/>
        <v>0</v>
      </c>
      <c r="O3988" s="5"/>
      <c r="S3988" s="6"/>
    </row>
    <row r="3989" spans="1:19" customFormat="1" x14ac:dyDescent="0.45">
      <c r="A3989">
        <v>724303</v>
      </c>
      <c r="B3989" t="s">
        <v>23792</v>
      </c>
      <c r="C3989" t="s">
        <v>16331</v>
      </c>
      <c r="D3989">
        <v>1</v>
      </c>
      <c r="E3989" t="s">
        <v>16331</v>
      </c>
      <c r="F3989" s="126"/>
      <c r="G3989" s="7">
        <v>0</v>
      </c>
      <c r="H3989" s="7">
        <v>0</v>
      </c>
      <c r="I3989" s="7">
        <v>0</v>
      </c>
      <c r="J3989" s="7">
        <v>0</v>
      </c>
      <c r="K3989" s="3">
        <f t="shared" si="144"/>
        <v>0</v>
      </c>
      <c r="L3989" s="3"/>
      <c r="M3989" s="3">
        <f t="shared" si="143"/>
        <v>0</v>
      </c>
      <c r="O3989" s="5"/>
      <c r="S3989" s="6"/>
    </row>
    <row r="3990" spans="1:19" customFormat="1" x14ac:dyDescent="0.45">
      <c r="A3990">
        <v>724401</v>
      </c>
      <c r="B3990" t="s">
        <v>23793</v>
      </c>
      <c r="C3990" t="s">
        <v>16331</v>
      </c>
      <c r="D3990">
        <v>1</v>
      </c>
      <c r="E3990" t="s">
        <v>16331</v>
      </c>
      <c r="F3990" s="126"/>
      <c r="G3990" s="7">
        <v>0</v>
      </c>
      <c r="H3990" s="7">
        <v>0</v>
      </c>
      <c r="I3990" s="7">
        <v>0</v>
      </c>
      <c r="J3990" s="7">
        <v>0</v>
      </c>
      <c r="K3990" s="3">
        <f t="shared" si="144"/>
        <v>0</v>
      </c>
      <c r="L3990" s="3"/>
      <c r="M3990" s="3">
        <f t="shared" si="143"/>
        <v>0</v>
      </c>
      <c r="O3990" s="5"/>
      <c r="S3990" s="6"/>
    </row>
    <row r="3991" spans="1:19" customFormat="1" x14ac:dyDescent="0.45">
      <c r="A3991">
        <v>724525</v>
      </c>
      <c r="B3991" t="s">
        <v>23794</v>
      </c>
      <c r="C3991" t="s">
        <v>23795</v>
      </c>
      <c r="D3991">
        <v>3</v>
      </c>
      <c r="F3991" s="126"/>
      <c r="G3991" s="3"/>
      <c r="H3991" s="3"/>
      <c r="I3991" s="3"/>
      <c r="J3991" s="3"/>
      <c r="K3991" s="3">
        <f t="shared" si="144"/>
        <v>0</v>
      </c>
      <c r="L3991" s="3"/>
      <c r="M3991" s="3">
        <f t="shared" si="143"/>
        <v>0</v>
      </c>
      <c r="O3991" s="5"/>
      <c r="S3991" s="6"/>
    </row>
    <row r="3992" spans="1:19" customFormat="1" x14ac:dyDescent="0.45">
      <c r="A3992">
        <v>724852</v>
      </c>
      <c r="B3992" t="s">
        <v>23796</v>
      </c>
      <c r="C3992" t="s">
        <v>16331</v>
      </c>
      <c r="D3992">
        <v>1</v>
      </c>
      <c r="E3992" t="s">
        <v>16331</v>
      </c>
      <c r="F3992" s="126"/>
      <c r="G3992" s="7">
        <v>0</v>
      </c>
      <c r="H3992" s="7">
        <v>0</v>
      </c>
      <c r="I3992" s="7">
        <v>0</v>
      </c>
      <c r="J3992" s="7">
        <v>0</v>
      </c>
      <c r="K3992" s="3">
        <f t="shared" si="144"/>
        <v>0</v>
      </c>
      <c r="L3992" s="3"/>
      <c r="M3992" s="3">
        <f t="shared" si="143"/>
        <v>0</v>
      </c>
      <c r="O3992" s="5"/>
      <c r="S3992" s="6"/>
    </row>
    <row r="3993" spans="1:19" customFormat="1" x14ac:dyDescent="0.45">
      <c r="A3993">
        <v>724878</v>
      </c>
      <c r="B3993" t="s">
        <v>23797</v>
      </c>
      <c r="C3993" t="s">
        <v>16331</v>
      </c>
      <c r="D3993">
        <v>2</v>
      </c>
      <c r="E3993" t="s">
        <v>16331</v>
      </c>
      <c r="F3993" s="126"/>
      <c r="G3993" s="7">
        <v>0</v>
      </c>
      <c r="H3993" s="7">
        <v>0</v>
      </c>
      <c r="I3993" s="7">
        <v>0</v>
      </c>
      <c r="J3993" s="7">
        <v>0</v>
      </c>
      <c r="K3993" s="3">
        <f t="shared" si="144"/>
        <v>0</v>
      </c>
      <c r="L3993" s="3"/>
      <c r="M3993" s="3">
        <f t="shared" si="143"/>
        <v>0</v>
      </c>
      <c r="O3993" s="5"/>
      <c r="S3993" s="6"/>
    </row>
    <row r="3994" spans="1:19" customFormat="1" x14ac:dyDescent="0.45">
      <c r="A3994">
        <v>725129</v>
      </c>
      <c r="B3994" t="s">
        <v>23798</v>
      </c>
      <c r="C3994" t="s">
        <v>23799</v>
      </c>
      <c r="D3994">
        <v>1</v>
      </c>
      <c r="F3994" s="126"/>
      <c r="G3994" s="3">
        <v>0</v>
      </c>
      <c r="H3994" s="3">
        <v>0</v>
      </c>
      <c r="I3994" s="3">
        <v>0</v>
      </c>
      <c r="J3994" s="3">
        <v>0</v>
      </c>
      <c r="K3994" s="3">
        <f t="shared" si="144"/>
        <v>0</v>
      </c>
      <c r="L3994" s="3"/>
      <c r="M3994" s="3">
        <f t="shared" si="143"/>
        <v>0</v>
      </c>
      <c r="O3994" s="5"/>
      <c r="S3994" s="6"/>
    </row>
    <row r="3995" spans="1:19" customFormat="1" x14ac:dyDescent="0.45">
      <c r="A3995">
        <v>725689</v>
      </c>
      <c r="B3995" t="s">
        <v>23800</v>
      </c>
      <c r="C3995" t="s">
        <v>23801</v>
      </c>
      <c r="D3995">
        <v>1</v>
      </c>
      <c r="F3995" s="126"/>
      <c r="G3995" s="3">
        <v>0</v>
      </c>
      <c r="H3995" s="3">
        <v>0</v>
      </c>
      <c r="I3995" s="3">
        <v>0</v>
      </c>
      <c r="J3995" s="3">
        <v>0</v>
      </c>
      <c r="K3995" s="3">
        <f t="shared" si="144"/>
        <v>0</v>
      </c>
      <c r="L3995" s="3"/>
      <c r="M3995" s="3">
        <f t="shared" si="143"/>
        <v>0</v>
      </c>
      <c r="O3995" s="5"/>
      <c r="S3995" s="6"/>
    </row>
    <row r="3996" spans="1:19" customFormat="1" x14ac:dyDescent="0.45">
      <c r="A3996">
        <v>725992</v>
      </c>
      <c r="B3996" t="s">
        <v>23802</v>
      </c>
      <c r="C3996" t="s">
        <v>23803</v>
      </c>
      <c r="D3996">
        <v>0</v>
      </c>
      <c r="E3996" t="s">
        <v>16561</v>
      </c>
      <c r="F3996" s="126"/>
      <c r="G3996" s="7">
        <v>0</v>
      </c>
      <c r="H3996" s="7">
        <v>0</v>
      </c>
      <c r="I3996" s="7">
        <v>0</v>
      </c>
      <c r="J3996" s="7">
        <v>0</v>
      </c>
      <c r="K3996" s="3">
        <f t="shared" si="144"/>
        <v>0</v>
      </c>
      <c r="L3996" s="3"/>
      <c r="M3996" s="3">
        <f t="shared" si="143"/>
        <v>0</v>
      </c>
      <c r="N3996" s="7"/>
      <c r="O3996" s="5"/>
      <c r="S3996" s="6"/>
    </row>
    <row r="3997" spans="1:19" customFormat="1" x14ac:dyDescent="0.45">
      <c r="A3997">
        <v>725999</v>
      </c>
      <c r="B3997" t="s">
        <v>23804</v>
      </c>
      <c r="C3997" t="s">
        <v>23805</v>
      </c>
      <c r="D3997">
        <v>1</v>
      </c>
      <c r="F3997" s="126"/>
      <c r="G3997" s="3">
        <v>0</v>
      </c>
      <c r="H3997" s="3">
        <v>0</v>
      </c>
      <c r="I3997" s="3">
        <v>0</v>
      </c>
      <c r="J3997" s="3">
        <v>0</v>
      </c>
      <c r="K3997" s="3">
        <f t="shared" si="144"/>
        <v>0</v>
      </c>
      <c r="L3997" s="3"/>
      <c r="M3997" s="3">
        <f t="shared" si="143"/>
        <v>0</v>
      </c>
      <c r="O3997" s="5"/>
      <c r="S3997" s="6"/>
    </row>
    <row r="3998" spans="1:19" customFormat="1" x14ac:dyDescent="0.45">
      <c r="A3998">
        <v>726052</v>
      </c>
      <c r="B3998" t="s">
        <v>23806</v>
      </c>
      <c r="C3998" t="s">
        <v>16331</v>
      </c>
      <c r="D3998">
        <v>1</v>
      </c>
      <c r="E3998" t="s">
        <v>16331</v>
      </c>
      <c r="F3998" s="126"/>
      <c r="K3998" s="3">
        <f t="shared" si="144"/>
        <v>0</v>
      </c>
      <c r="L3998" s="3"/>
      <c r="M3998" s="3">
        <f t="shared" si="143"/>
        <v>0</v>
      </c>
      <c r="O3998" s="5"/>
      <c r="S3998" s="6"/>
    </row>
    <row r="3999" spans="1:19" customFormat="1" x14ac:dyDescent="0.45">
      <c r="A3999">
        <v>726090</v>
      </c>
      <c r="B3999" t="s">
        <v>23807</v>
      </c>
      <c r="C3999" t="s">
        <v>23808</v>
      </c>
      <c r="D3999">
        <v>4</v>
      </c>
      <c r="F3999" s="126"/>
      <c r="G3999" s="7">
        <v>0</v>
      </c>
      <c r="H3999" s="7">
        <v>0</v>
      </c>
      <c r="I3999" s="7">
        <v>0</v>
      </c>
      <c r="J3999" s="7">
        <v>0</v>
      </c>
      <c r="K3999" s="3">
        <f t="shared" si="144"/>
        <v>0</v>
      </c>
      <c r="L3999" s="3"/>
      <c r="M3999" s="3">
        <f t="shared" si="143"/>
        <v>0</v>
      </c>
      <c r="O3999" s="5"/>
      <c r="S3999" s="6"/>
    </row>
    <row r="4000" spans="1:19" customFormat="1" x14ac:dyDescent="0.45">
      <c r="A4000">
        <v>726137</v>
      </c>
      <c r="B4000" t="s">
        <v>23809</v>
      </c>
      <c r="C4000" t="s">
        <v>23810</v>
      </c>
      <c r="D4000">
        <v>3</v>
      </c>
      <c r="F4000" s="126"/>
      <c r="G4000" s="7">
        <v>0</v>
      </c>
      <c r="H4000" s="7">
        <v>0</v>
      </c>
      <c r="I4000" s="7">
        <v>0</v>
      </c>
      <c r="J4000" s="7">
        <v>0</v>
      </c>
      <c r="K4000" s="3">
        <f t="shared" si="144"/>
        <v>0</v>
      </c>
      <c r="L4000" s="3"/>
      <c r="M4000" s="3">
        <f t="shared" si="143"/>
        <v>0</v>
      </c>
      <c r="N4000" s="7"/>
      <c r="O4000" s="5"/>
      <c r="S4000" s="6"/>
    </row>
    <row r="4001" spans="1:19" customFormat="1" x14ac:dyDescent="0.45">
      <c r="A4001">
        <v>726208</v>
      </c>
      <c r="B4001" t="s">
        <v>23811</v>
      </c>
      <c r="C4001" t="s">
        <v>23812</v>
      </c>
      <c r="D4001">
        <v>2</v>
      </c>
      <c r="F4001" s="126"/>
      <c r="G4001" s="3">
        <v>0</v>
      </c>
      <c r="H4001" s="3">
        <v>0</v>
      </c>
      <c r="I4001" s="3">
        <v>0</v>
      </c>
      <c r="J4001" s="3">
        <v>0</v>
      </c>
      <c r="K4001" s="3">
        <f t="shared" si="144"/>
        <v>0</v>
      </c>
      <c r="L4001" s="3"/>
      <c r="M4001" s="3">
        <f t="shared" si="143"/>
        <v>0</v>
      </c>
      <c r="O4001" s="5"/>
      <c r="S4001" s="6"/>
    </row>
    <row r="4002" spans="1:19" customFormat="1" x14ac:dyDescent="0.45">
      <c r="A4002">
        <v>726352</v>
      </c>
      <c r="B4002" t="s">
        <v>23813</v>
      </c>
      <c r="C4002" t="s">
        <v>23814</v>
      </c>
      <c r="D4002">
        <v>2</v>
      </c>
      <c r="F4002" s="126"/>
      <c r="G4002" s="7">
        <v>0</v>
      </c>
      <c r="H4002" s="7">
        <v>0</v>
      </c>
      <c r="I4002" s="7">
        <v>0</v>
      </c>
      <c r="J4002" s="7">
        <v>0</v>
      </c>
      <c r="K4002" s="3">
        <f t="shared" si="144"/>
        <v>0</v>
      </c>
      <c r="L4002" s="3"/>
      <c r="M4002" s="3">
        <f t="shared" si="143"/>
        <v>0</v>
      </c>
      <c r="O4002" s="5"/>
      <c r="S4002" s="6"/>
    </row>
    <row r="4003" spans="1:19" customFormat="1" x14ac:dyDescent="0.45">
      <c r="A4003">
        <v>726448</v>
      </c>
      <c r="B4003" t="s">
        <v>23815</v>
      </c>
      <c r="C4003" t="s">
        <v>16331</v>
      </c>
      <c r="D4003">
        <v>1</v>
      </c>
      <c r="E4003" t="s">
        <v>16331</v>
      </c>
      <c r="F4003" s="126"/>
      <c r="G4003" s="7">
        <v>0</v>
      </c>
      <c r="H4003" s="7">
        <v>0</v>
      </c>
      <c r="I4003" s="7">
        <v>0</v>
      </c>
      <c r="J4003" s="7">
        <v>0</v>
      </c>
      <c r="K4003" s="3">
        <f t="shared" si="144"/>
        <v>0</v>
      </c>
      <c r="L4003" s="3"/>
      <c r="M4003" s="3">
        <f t="shared" si="143"/>
        <v>0</v>
      </c>
      <c r="O4003" s="5"/>
      <c r="S4003" s="6"/>
    </row>
    <row r="4004" spans="1:19" customFormat="1" x14ac:dyDescent="0.45">
      <c r="A4004">
        <v>726620</v>
      </c>
      <c r="B4004" t="s">
        <v>23816</v>
      </c>
      <c r="C4004" t="s">
        <v>23817</v>
      </c>
      <c r="D4004">
        <v>9</v>
      </c>
      <c r="F4004" s="126"/>
      <c r="G4004" s="7">
        <v>0</v>
      </c>
      <c r="H4004" s="7">
        <v>0</v>
      </c>
      <c r="I4004" s="7">
        <v>0</v>
      </c>
      <c r="J4004" s="7">
        <v>0</v>
      </c>
      <c r="K4004" s="3">
        <f t="shared" si="144"/>
        <v>0</v>
      </c>
      <c r="L4004" s="3"/>
      <c r="M4004" s="3">
        <f t="shared" si="143"/>
        <v>0</v>
      </c>
      <c r="O4004" s="5"/>
      <c r="S4004" s="6"/>
    </row>
    <row r="4005" spans="1:19" customFormat="1" x14ac:dyDescent="0.45">
      <c r="A4005">
        <v>727212</v>
      </c>
      <c r="B4005" t="s">
        <v>23818</v>
      </c>
      <c r="C4005" t="s">
        <v>16331</v>
      </c>
      <c r="D4005">
        <v>2</v>
      </c>
      <c r="E4005" t="s">
        <v>16331</v>
      </c>
      <c r="F4005" s="126"/>
      <c r="G4005" s="7">
        <v>0</v>
      </c>
      <c r="H4005" s="7">
        <v>0</v>
      </c>
      <c r="I4005" s="7">
        <v>0</v>
      </c>
      <c r="J4005" s="7">
        <v>0</v>
      </c>
      <c r="K4005" s="3">
        <f t="shared" si="144"/>
        <v>0</v>
      </c>
      <c r="L4005" s="3"/>
      <c r="M4005" s="3">
        <f t="shared" si="143"/>
        <v>0</v>
      </c>
      <c r="O4005" s="5"/>
      <c r="S4005" s="6"/>
    </row>
    <row r="4006" spans="1:19" customFormat="1" x14ac:dyDescent="0.45">
      <c r="A4006">
        <v>727583</v>
      </c>
      <c r="B4006" t="s">
        <v>23819</v>
      </c>
      <c r="C4006" t="s">
        <v>16331</v>
      </c>
      <c r="D4006">
        <v>5</v>
      </c>
      <c r="E4006" t="s">
        <v>16331</v>
      </c>
      <c r="F4006" s="126"/>
      <c r="G4006" s="7">
        <v>0</v>
      </c>
      <c r="H4006" s="7">
        <v>0</v>
      </c>
      <c r="I4006" s="7">
        <v>0</v>
      </c>
      <c r="J4006" s="7">
        <v>0</v>
      </c>
      <c r="K4006" s="3">
        <f t="shared" si="144"/>
        <v>0</v>
      </c>
      <c r="L4006" s="3"/>
      <c r="M4006" s="3">
        <f t="shared" si="143"/>
        <v>0</v>
      </c>
      <c r="O4006" s="5"/>
      <c r="S4006" s="6"/>
    </row>
    <row r="4007" spans="1:19" customFormat="1" x14ac:dyDescent="0.45">
      <c r="A4007">
        <v>727691</v>
      </c>
      <c r="B4007" t="s">
        <v>23820</v>
      </c>
      <c r="C4007" t="s">
        <v>16331</v>
      </c>
      <c r="D4007">
        <v>1</v>
      </c>
      <c r="E4007" t="s">
        <v>16331</v>
      </c>
      <c r="F4007" s="126"/>
      <c r="G4007" s="7">
        <v>0</v>
      </c>
      <c r="H4007" s="7">
        <v>0</v>
      </c>
      <c r="I4007" s="7">
        <v>0</v>
      </c>
      <c r="J4007" s="7">
        <v>0</v>
      </c>
      <c r="K4007" s="3">
        <f t="shared" si="144"/>
        <v>0</v>
      </c>
      <c r="L4007" s="3"/>
      <c r="M4007" s="3">
        <f t="shared" si="143"/>
        <v>0</v>
      </c>
      <c r="O4007" s="5"/>
      <c r="S4007" s="6"/>
    </row>
    <row r="4008" spans="1:19" customFormat="1" x14ac:dyDescent="0.45">
      <c r="A4008">
        <v>728107</v>
      </c>
      <c r="B4008" t="s">
        <v>23821</v>
      </c>
      <c r="C4008" t="s">
        <v>23822</v>
      </c>
      <c r="D4008">
        <v>2</v>
      </c>
      <c r="F4008" s="126"/>
      <c r="G4008" s="3">
        <v>0</v>
      </c>
      <c r="H4008" s="3">
        <v>0</v>
      </c>
      <c r="I4008" s="3">
        <v>0</v>
      </c>
      <c r="J4008" s="3">
        <v>0</v>
      </c>
      <c r="K4008" s="3">
        <f t="shared" si="144"/>
        <v>0</v>
      </c>
      <c r="L4008" s="3"/>
      <c r="M4008" s="3">
        <f t="shared" si="143"/>
        <v>0</v>
      </c>
      <c r="O4008" s="5"/>
      <c r="S4008" s="6"/>
    </row>
    <row r="4009" spans="1:19" customFormat="1" x14ac:dyDescent="0.45">
      <c r="A4009">
        <v>728136</v>
      </c>
      <c r="B4009" t="s">
        <v>23823</v>
      </c>
      <c r="C4009" t="s">
        <v>23824</v>
      </c>
      <c r="D4009">
        <v>2</v>
      </c>
      <c r="F4009" s="126"/>
      <c r="G4009" s="3">
        <v>0</v>
      </c>
      <c r="H4009" s="3">
        <v>0</v>
      </c>
      <c r="I4009" s="3">
        <v>0</v>
      </c>
      <c r="J4009" s="3">
        <v>0</v>
      </c>
      <c r="K4009" s="3">
        <f t="shared" si="144"/>
        <v>0</v>
      </c>
      <c r="L4009" s="3"/>
      <c r="M4009" s="3">
        <f t="shared" si="143"/>
        <v>0</v>
      </c>
      <c r="O4009" s="5"/>
      <c r="S4009" s="6"/>
    </row>
    <row r="4010" spans="1:19" customFormat="1" x14ac:dyDescent="0.45">
      <c r="A4010">
        <v>728490</v>
      </c>
      <c r="B4010" t="s">
        <v>23825</v>
      </c>
      <c r="C4010" t="s">
        <v>23826</v>
      </c>
      <c r="D4010">
        <v>1</v>
      </c>
      <c r="F4010" s="126"/>
      <c r="G4010" s="7">
        <v>0</v>
      </c>
      <c r="H4010" s="3">
        <v>0</v>
      </c>
      <c r="I4010" s="3">
        <v>0</v>
      </c>
      <c r="J4010">
        <v>0</v>
      </c>
      <c r="K4010" s="3">
        <f t="shared" si="144"/>
        <v>0</v>
      </c>
      <c r="L4010" s="3"/>
      <c r="M4010" s="3">
        <f t="shared" si="143"/>
        <v>0</v>
      </c>
      <c r="O4010" s="5"/>
      <c r="S4010" s="6"/>
    </row>
    <row r="4011" spans="1:19" customFormat="1" x14ac:dyDescent="0.45">
      <c r="A4011">
        <v>728707</v>
      </c>
      <c r="B4011" t="s">
        <v>23827</v>
      </c>
      <c r="C4011" t="s">
        <v>23828</v>
      </c>
      <c r="D4011">
        <v>4</v>
      </c>
      <c r="F4011" s="126"/>
      <c r="G4011" s="3"/>
      <c r="H4011" s="3"/>
      <c r="I4011" s="3"/>
      <c r="J4011" s="3"/>
      <c r="K4011" s="3">
        <f t="shared" si="144"/>
        <v>0</v>
      </c>
      <c r="L4011" s="3"/>
      <c r="M4011" s="3">
        <f t="shared" si="143"/>
        <v>0</v>
      </c>
      <c r="O4011" s="5"/>
      <c r="S4011" s="6"/>
    </row>
    <row r="4012" spans="1:19" customFormat="1" x14ac:dyDescent="0.45">
      <c r="A4012">
        <v>729066</v>
      </c>
      <c r="B4012" t="s">
        <v>23829</v>
      </c>
      <c r="C4012" t="s">
        <v>23830</v>
      </c>
      <c r="D4012">
        <v>1</v>
      </c>
      <c r="F4012" s="126"/>
      <c r="G4012" s="3">
        <v>0</v>
      </c>
      <c r="H4012" s="3">
        <v>0</v>
      </c>
      <c r="I4012" s="3">
        <v>0</v>
      </c>
      <c r="J4012" s="3">
        <v>0</v>
      </c>
      <c r="K4012" s="3">
        <f t="shared" si="144"/>
        <v>0</v>
      </c>
      <c r="L4012" s="3"/>
      <c r="M4012" s="3">
        <f t="shared" si="143"/>
        <v>0</v>
      </c>
      <c r="O4012" s="5"/>
      <c r="S4012" s="6"/>
    </row>
    <row r="4013" spans="1:19" customFormat="1" x14ac:dyDescent="0.45">
      <c r="A4013">
        <v>729282</v>
      </c>
      <c r="B4013" t="s">
        <v>23831</v>
      </c>
      <c r="C4013" t="s">
        <v>16331</v>
      </c>
      <c r="D4013">
        <v>3</v>
      </c>
      <c r="E4013" t="s">
        <v>16331</v>
      </c>
      <c r="F4013" s="126"/>
      <c r="G4013" s="7">
        <v>0</v>
      </c>
      <c r="H4013" s="7">
        <v>0</v>
      </c>
      <c r="I4013" s="7">
        <v>0</v>
      </c>
      <c r="J4013" s="7">
        <v>0</v>
      </c>
      <c r="K4013" s="3">
        <f t="shared" si="144"/>
        <v>0</v>
      </c>
      <c r="L4013" s="3"/>
      <c r="M4013" s="3">
        <f t="shared" si="143"/>
        <v>0</v>
      </c>
      <c r="O4013" s="5"/>
      <c r="S4013" s="6"/>
    </row>
    <row r="4014" spans="1:19" customFormat="1" x14ac:dyDescent="0.45">
      <c r="A4014">
        <v>729419</v>
      </c>
      <c r="B4014" t="s">
        <v>23832</v>
      </c>
      <c r="C4014" t="s">
        <v>23833</v>
      </c>
      <c r="D4014">
        <v>1</v>
      </c>
      <c r="F4014" s="126"/>
      <c r="G4014" s="7">
        <v>0</v>
      </c>
      <c r="H4014" s="7">
        <v>0</v>
      </c>
      <c r="I4014" s="7">
        <v>0</v>
      </c>
      <c r="J4014" s="7">
        <v>0</v>
      </c>
      <c r="K4014" s="3">
        <f t="shared" si="144"/>
        <v>0</v>
      </c>
      <c r="L4014" s="3"/>
      <c r="M4014" s="3">
        <f t="shared" si="143"/>
        <v>0</v>
      </c>
      <c r="O4014" s="5"/>
      <c r="S4014" s="6"/>
    </row>
    <row r="4015" spans="1:19" customFormat="1" x14ac:dyDescent="0.45">
      <c r="A4015">
        <v>729441</v>
      </c>
      <c r="B4015" t="s">
        <v>23834</v>
      </c>
      <c r="C4015" t="s">
        <v>16331</v>
      </c>
      <c r="D4015">
        <v>1</v>
      </c>
      <c r="E4015" t="s">
        <v>16331</v>
      </c>
      <c r="F4015" s="126"/>
      <c r="G4015" s="7">
        <v>0</v>
      </c>
      <c r="H4015" s="7">
        <v>0</v>
      </c>
      <c r="I4015" s="7">
        <v>0</v>
      </c>
      <c r="J4015" s="7">
        <v>0</v>
      </c>
      <c r="K4015" s="3">
        <f t="shared" si="144"/>
        <v>0</v>
      </c>
      <c r="L4015" s="3"/>
      <c r="M4015" s="3">
        <f t="shared" si="143"/>
        <v>0</v>
      </c>
      <c r="O4015" s="5"/>
      <c r="S4015" s="6"/>
    </row>
    <row r="4016" spans="1:19" customFormat="1" x14ac:dyDescent="0.45">
      <c r="A4016">
        <v>729444</v>
      </c>
      <c r="B4016" t="s">
        <v>23835</v>
      </c>
      <c r="C4016" t="s">
        <v>23836</v>
      </c>
      <c r="D4016">
        <v>1</v>
      </c>
      <c r="E4016" t="s">
        <v>17621</v>
      </c>
      <c r="F4016" s="126"/>
      <c r="G4016" s="3"/>
      <c r="H4016" s="3"/>
      <c r="I4016" s="4"/>
      <c r="J4016" s="4"/>
      <c r="K4016" s="3"/>
      <c r="L4016" s="3"/>
      <c r="M4016" s="3"/>
      <c r="N4016" t="s">
        <v>23837</v>
      </c>
      <c r="O4016" s="5"/>
      <c r="S4016" s="6"/>
    </row>
    <row r="4017" spans="1:22" customFormat="1" x14ac:dyDescent="0.45">
      <c r="A4017">
        <v>729853</v>
      </c>
      <c r="B4017" t="s">
        <v>23838</v>
      </c>
      <c r="C4017" s="2" t="s">
        <v>23839</v>
      </c>
      <c r="D4017">
        <v>11</v>
      </c>
      <c r="F4017" s="126"/>
      <c r="K4017" s="3">
        <f t="shared" ref="K4017:K4080" si="145">SUM(G4017:J4017)</f>
        <v>0</v>
      </c>
      <c r="L4017" s="3"/>
      <c r="M4017" s="3">
        <f t="shared" ref="M4017:M4080" si="146">K4017+F4017</f>
        <v>0</v>
      </c>
      <c r="O4017" s="5"/>
      <c r="S4017" s="6"/>
    </row>
    <row r="4018" spans="1:22" customFormat="1" x14ac:dyDescent="0.45">
      <c r="A4018">
        <v>730427</v>
      </c>
      <c r="B4018" t="s">
        <v>23840</v>
      </c>
      <c r="C4018" t="s">
        <v>23841</v>
      </c>
      <c r="D4018">
        <v>0</v>
      </c>
      <c r="E4018" t="s">
        <v>16561</v>
      </c>
      <c r="F4018" s="126"/>
      <c r="G4018" s="7">
        <v>0</v>
      </c>
      <c r="H4018" s="7">
        <v>0</v>
      </c>
      <c r="I4018" s="7">
        <v>0</v>
      </c>
      <c r="J4018" s="7">
        <v>0</v>
      </c>
      <c r="K4018" s="3">
        <f t="shared" si="145"/>
        <v>0</v>
      </c>
      <c r="L4018" s="3"/>
      <c r="M4018" s="3">
        <f t="shared" si="146"/>
        <v>0</v>
      </c>
      <c r="N4018" s="7"/>
      <c r="O4018" s="5"/>
      <c r="S4018" s="6"/>
    </row>
    <row r="4019" spans="1:22" customFormat="1" x14ac:dyDescent="0.45">
      <c r="A4019">
        <v>730591</v>
      </c>
      <c r="B4019" t="s">
        <v>23842</v>
      </c>
      <c r="C4019" t="s">
        <v>16331</v>
      </c>
      <c r="D4019">
        <v>1</v>
      </c>
      <c r="E4019" t="s">
        <v>16331</v>
      </c>
      <c r="F4019" s="126"/>
      <c r="G4019" s="7">
        <v>0</v>
      </c>
      <c r="H4019" s="7">
        <v>0</v>
      </c>
      <c r="I4019" s="7">
        <v>0</v>
      </c>
      <c r="J4019" s="7">
        <v>0</v>
      </c>
      <c r="K4019" s="3">
        <f t="shared" si="145"/>
        <v>0</v>
      </c>
      <c r="L4019" s="3"/>
      <c r="M4019" s="3">
        <f t="shared" si="146"/>
        <v>0</v>
      </c>
      <c r="O4019" s="5"/>
      <c r="S4019" s="6"/>
    </row>
    <row r="4020" spans="1:22" customFormat="1" x14ac:dyDescent="0.45">
      <c r="A4020">
        <v>731020</v>
      </c>
      <c r="B4020" t="s">
        <v>23843</v>
      </c>
      <c r="C4020" t="s">
        <v>23844</v>
      </c>
      <c r="D4020">
        <v>9</v>
      </c>
      <c r="F4020" s="126"/>
      <c r="G4020" s="7">
        <v>0</v>
      </c>
      <c r="H4020" s="7">
        <v>0</v>
      </c>
      <c r="I4020" s="7">
        <v>0</v>
      </c>
      <c r="J4020" s="7">
        <v>0</v>
      </c>
      <c r="K4020" s="3">
        <f t="shared" si="145"/>
        <v>0</v>
      </c>
      <c r="L4020" s="3"/>
      <c r="M4020" s="3">
        <f t="shared" si="146"/>
        <v>0</v>
      </c>
      <c r="O4020" s="5"/>
      <c r="S4020" s="6"/>
    </row>
    <row r="4021" spans="1:22" x14ac:dyDescent="0.45">
      <c r="A4021" s="124">
        <v>590387</v>
      </c>
      <c r="B4021" s="124" t="s">
        <v>23845</v>
      </c>
      <c r="C4021" s="124" t="s">
        <v>23846</v>
      </c>
      <c r="D4021" s="124">
        <v>2</v>
      </c>
      <c r="E4021" s="124" t="s">
        <v>16334</v>
      </c>
      <c r="F4021" s="126">
        <v>1.6999999999999999E-3</v>
      </c>
      <c r="G4021" s="126">
        <v>8.9999999999999993E-3</v>
      </c>
      <c r="H4021" s="126">
        <v>5.6639999999999998E-3</v>
      </c>
      <c r="I4021" s="127">
        <v>0</v>
      </c>
      <c r="J4021" s="127">
        <v>0</v>
      </c>
      <c r="K4021" s="126">
        <f t="shared" si="145"/>
        <v>1.4664E-2</v>
      </c>
      <c r="L4021" s="3"/>
      <c r="M4021" s="126">
        <f t="shared" si="146"/>
        <v>1.6364E-2</v>
      </c>
      <c r="O4021" s="131" t="s">
        <v>23847</v>
      </c>
      <c r="P4021" s="128" t="s">
        <v>26918</v>
      </c>
      <c r="Q4021" s="130">
        <f>62510+56643</f>
        <v>119153</v>
      </c>
      <c r="R4021" s="124" t="s">
        <v>16348</v>
      </c>
      <c r="S4021" s="132">
        <v>90986</v>
      </c>
      <c r="T4021" s="129">
        <f>S4021/Q4021</f>
        <v>0.76360645556553342</v>
      </c>
      <c r="V4021" s="125" t="s">
        <v>23848</v>
      </c>
    </row>
    <row r="4022" spans="1:22" customFormat="1" x14ac:dyDescent="0.45">
      <c r="A4022">
        <v>731132</v>
      </c>
      <c r="B4022" t="s">
        <v>23849</v>
      </c>
      <c r="C4022" t="s">
        <v>23850</v>
      </c>
      <c r="D4022">
        <v>1</v>
      </c>
      <c r="F4022" s="126"/>
      <c r="G4022" s="3">
        <v>0</v>
      </c>
      <c r="H4022" s="3">
        <v>0</v>
      </c>
      <c r="I4022" s="3">
        <v>0</v>
      </c>
      <c r="J4022" s="3">
        <v>0</v>
      </c>
      <c r="K4022" s="3">
        <f t="shared" si="145"/>
        <v>0</v>
      </c>
      <c r="L4022" s="3"/>
      <c r="M4022" s="3">
        <f t="shared" si="146"/>
        <v>0</v>
      </c>
      <c r="O4022" s="5"/>
      <c r="S4022" s="6"/>
    </row>
    <row r="4023" spans="1:22" customFormat="1" x14ac:dyDescent="0.45">
      <c r="A4023">
        <v>731359</v>
      </c>
      <c r="B4023" t="s">
        <v>23851</v>
      </c>
      <c r="C4023" t="s">
        <v>23852</v>
      </c>
      <c r="D4023">
        <v>1</v>
      </c>
      <c r="F4023" s="126"/>
      <c r="G4023" s="7">
        <v>0</v>
      </c>
      <c r="H4023" s="7">
        <v>0</v>
      </c>
      <c r="I4023" s="7">
        <v>0</v>
      </c>
      <c r="J4023" s="7">
        <v>0</v>
      </c>
      <c r="K4023" s="3">
        <f t="shared" si="145"/>
        <v>0</v>
      </c>
      <c r="L4023" s="3"/>
      <c r="M4023" s="3">
        <f t="shared" si="146"/>
        <v>0</v>
      </c>
      <c r="O4023" s="5"/>
      <c r="S4023" s="6"/>
    </row>
    <row r="4024" spans="1:22" customFormat="1" x14ac:dyDescent="0.45">
      <c r="A4024">
        <v>731380</v>
      </c>
      <c r="B4024" t="s">
        <v>23853</v>
      </c>
      <c r="C4024" t="s">
        <v>23854</v>
      </c>
      <c r="D4024">
        <v>3</v>
      </c>
      <c r="F4024" s="126"/>
      <c r="G4024" s="3"/>
      <c r="H4024" s="3"/>
      <c r="I4024" s="3"/>
      <c r="J4024" s="3"/>
      <c r="K4024" s="3">
        <f t="shared" si="145"/>
        <v>0</v>
      </c>
      <c r="L4024" s="3"/>
      <c r="M4024" s="3">
        <f t="shared" si="146"/>
        <v>0</v>
      </c>
      <c r="O4024" s="5"/>
      <c r="S4024" s="6"/>
    </row>
    <row r="4025" spans="1:22" customFormat="1" x14ac:dyDescent="0.45">
      <c r="A4025">
        <v>731610</v>
      </c>
      <c r="B4025" t="s">
        <v>23855</v>
      </c>
      <c r="C4025" t="s">
        <v>23856</v>
      </c>
      <c r="D4025">
        <v>2</v>
      </c>
      <c r="F4025" s="126"/>
      <c r="G4025" s="3"/>
      <c r="H4025" s="3"/>
      <c r="I4025" s="3"/>
      <c r="J4025" s="3"/>
      <c r="K4025" s="3">
        <f t="shared" si="145"/>
        <v>0</v>
      </c>
      <c r="L4025" s="3"/>
      <c r="M4025" s="3">
        <f t="shared" si="146"/>
        <v>0</v>
      </c>
      <c r="O4025" s="5"/>
      <c r="S4025" s="6"/>
    </row>
    <row r="4026" spans="1:22" customFormat="1" x14ac:dyDescent="0.45">
      <c r="A4026">
        <v>732088</v>
      </c>
      <c r="B4026" t="s">
        <v>23857</v>
      </c>
      <c r="C4026" t="s">
        <v>23858</v>
      </c>
      <c r="D4026">
        <v>1</v>
      </c>
      <c r="F4026" s="126"/>
      <c r="G4026" s="7">
        <v>0</v>
      </c>
      <c r="H4026" s="7">
        <v>0</v>
      </c>
      <c r="I4026" s="7">
        <v>0</v>
      </c>
      <c r="J4026" s="7">
        <v>0</v>
      </c>
      <c r="K4026" s="3">
        <f t="shared" si="145"/>
        <v>0</v>
      </c>
      <c r="L4026" s="3"/>
      <c r="M4026" s="3">
        <f t="shared" si="146"/>
        <v>0</v>
      </c>
      <c r="O4026" s="5"/>
      <c r="S4026" s="6"/>
    </row>
    <row r="4027" spans="1:22" customFormat="1" x14ac:dyDescent="0.45">
      <c r="A4027">
        <v>732303</v>
      </c>
      <c r="B4027" t="s">
        <v>23859</v>
      </c>
      <c r="C4027" t="s">
        <v>16331</v>
      </c>
      <c r="D4027">
        <v>1</v>
      </c>
      <c r="E4027" t="s">
        <v>16331</v>
      </c>
      <c r="F4027" s="126"/>
      <c r="G4027" s="7">
        <v>0</v>
      </c>
      <c r="H4027" s="7">
        <v>0</v>
      </c>
      <c r="I4027" s="7">
        <v>0</v>
      </c>
      <c r="J4027" s="7">
        <v>0</v>
      </c>
      <c r="K4027" s="3">
        <f t="shared" si="145"/>
        <v>0</v>
      </c>
      <c r="L4027" s="3"/>
      <c r="M4027" s="3">
        <f t="shared" si="146"/>
        <v>0</v>
      </c>
      <c r="O4027" s="5"/>
      <c r="S4027" s="6"/>
    </row>
    <row r="4028" spans="1:22" customFormat="1" x14ac:dyDescent="0.45">
      <c r="A4028">
        <v>732318</v>
      </c>
      <c r="B4028" t="s">
        <v>23860</v>
      </c>
      <c r="C4028" t="s">
        <v>23861</v>
      </c>
      <c r="D4028">
        <v>6</v>
      </c>
      <c r="F4028" s="126"/>
      <c r="G4028" s="7">
        <v>0</v>
      </c>
      <c r="H4028" s="7">
        <v>0</v>
      </c>
      <c r="I4028" s="7">
        <v>0</v>
      </c>
      <c r="J4028" s="7">
        <v>0</v>
      </c>
      <c r="K4028" s="3">
        <f t="shared" si="145"/>
        <v>0</v>
      </c>
      <c r="L4028" s="3"/>
      <c r="M4028" s="3">
        <f t="shared" si="146"/>
        <v>0</v>
      </c>
      <c r="O4028" s="5"/>
      <c r="S4028" s="6"/>
    </row>
    <row r="4029" spans="1:22" customFormat="1" x14ac:dyDescent="0.45">
      <c r="A4029">
        <v>732521</v>
      </c>
      <c r="B4029" t="s">
        <v>23862</v>
      </c>
      <c r="C4029" t="s">
        <v>16331</v>
      </c>
      <c r="D4029">
        <v>1</v>
      </c>
      <c r="E4029" t="s">
        <v>16331</v>
      </c>
      <c r="F4029" s="126"/>
      <c r="K4029" s="3">
        <f t="shared" si="145"/>
        <v>0</v>
      </c>
      <c r="L4029" s="3"/>
      <c r="M4029" s="3">
        <f t="shared" si="146"/>
        <v>0</v>
      </c>
      <c r="O4029" s="5"/>
      <c r="S4029" s="6"/>
    </row>
    <row r="4030" spans="1:22" customFormat="1" x14ac:dyDescent="0.45">
      <c r="A4030">
        <v>732532</v>
      </c>
      <c r="B4030" t="s">
        <v>23863</v>
      </c>
      <c r="C4030" t="s">
        <v>16331</v>
      </c>
      <c r="D4030">
        <v>1</v>
      </c>
      <c r="E4030" t="s">
        <v>16331</v>
      </c>
      <c r="F4030" s="126"/>
      <c r="G4030" s="7">
        <v>0</v>
      </c>
      <c r="H4030" s="7">
        <v>0</v>
      </c>
      <c r="I4030" s="7">
        <v>0</v>
      </c>
      <c r="J4030" s="7">
        <v>0</v>
      </c>
      <c r="K4030" s="3">
        <f t="shared" si="145"/>
        <v>0</v>
      </c>
      <c r="L4030" s="3"/>
      <c r="M4030" s="3">
        <f t="shared" si="146"/>
        <v>0</v>
      </c>
      <c r="O4030" s="5"/>
      <c r="S4030" s="6"/>
    </row>
    <row r="4031" spans="1:22" customFormat="1" x14ac:dyDescent="0.45">
      <c r="A4031">
        <v>732710</v>
      </c>
      <c r="B4031" t="s">
        <v>23864</v>
      </c>
      <c r="C4031" t="s">
        <v>23865</v>
      </c>
      <c r="D4031">
        <v>2</v>
      </c>
      <c r="F4031" s="126"/>
      <c r="G4031" s="3">
        <v>0</v>
      </c>
      <c r="H4031" s="3">
        <v>0</v>
      </c>
      <c r="I4031" s="3">
        <v>0</v>
      </c>
      <c r="J4031" s="3">
        <v>0</v>
      </c>
      <c r="K4031" s="3">
        <f t="shared" si="145"/>
        <v>0</v>
      </c>
      <c r="L4031" s="3"/>
      <c r="M4031" s="3">
        <f t="shared" si="146"/>
        <v>0</v>
      </c>
      <c r="O4031" s="5"/>
      <c r="S4031" s="6"/>
    </row>
    <row r="4032" spans="1:22" customFormat="1" x14ac:dyDescent="0.45">
      <c r="A4032">
        <v>732724</v>
      </c>
      <c r="B4032" t="s">
        <v>23866</v>
      </c>
      <c r="C4032" t="s">
        <v>23867</v>
      </c>
      <c r="D4032">
        <v>1</v>
      </c>
      <c r="F4032" s="126"/>
      <c r="G4032" s="7">
        <v>0</v>
      </c>
      <c r="H4032" s="7">
        <v>0</v>
      </c>
      <c r="I4032" s="7">
        <v>0</v>
      </c>
      <c r="J4032" s="7">
        <v>0</v>
      </c>
      <c r="K4032" s="3">
        <f t="shared" si="145"/>
        <v>0</v>
      </c>
      <c r="L4032" s="3"/>
      <c r="M4032" s="3">
        <f t="shared" si="146"/>
        <v>0</v>
      </c>
      <c r="O4032" s="5"/>
      <c r="S4032" s="6"/>
    </row>
    <row r="4033" spans="1:22" customFormat="1" x14ac:dyDescent="0.45">
      <c r="A4033">
        <v>733137</v>
      </c>
      <c r="B4033" t="s">
        <v>23868</v>
      </c>
      <c r="C4033" t="s">
        <v>23869</v>
      </c>
      <c r="D4033">
        <v>1</v>
      </c>
      <c r="F4033" s="126"/>
      <c r="G4033" s="7">
        <v>0</v>
      </c>
      <c r="H4033" s="7">
        <v>0</v>
      </c>
      <c r="I4033" s="7">
        <v>0</v>
      </c>
      <c r="J4033" s="7">
        <v>0</v>
      </c>
      <c r="K4033" s="3">
        <f t="shared" si="145"/>
        <v>0</v>
      </c>
      <c r="L4033" s="3"/>
      <c r="M4033" s="3">
        <f t="shared" si="146"/>
        <v>0</v>
      </c>
      <c r="N4033" s="7"/>
      <c r="O4033" s="5"/>
      <c r="S4033" s="6"/>
    </row>
    <row r="4034" spans="1:22" customFormat="1" x14ac:dyDescent="0.45">
      <c r="A4034">
        <v>733685</v>
      </c>
      <c r="B4034" t="s">
        <v>23870</v>
      </c>
      <c r="C4034" t="s">
        <v>16331</v>
      </c>
      <c r="D4034">
        <v>1</v>
      </c>
      <c r="E4034" t="s">
        <v>16331</v>
      </c>
      <c r="F4034" s="126"/>
      <c r="G4034" s="7">
        <v>0</v>
      </c>
      <c r="H4034" s="7">
        <v>0</v>
      </c>
      <c r="I4034" s="7">
        <v>0</v>
      </c>
      <c r="J4034" s="7">
        <v>0</v>
      </c>
      <c r="K4034" s="3">
        <f t="shared" si="145"/>
        <v>0</v>
      </c>
      <c r="L4034" s="3"/>
      <c r="M4034" s="3">
        <f t="shared" si="146"/>
        <v>0</v>
      </c>
      <c r="N4034" s="7"/>
      <c r="O4034" s="5"/>
      <c r="S4034" s="6"/>
    </row>
    <row r="4035" spans="1:22" customFormat="1" x14ac:dyDescent="0.45">
      <c r="A4035">
        <v>733735</v>
      </c>
      <c r="B4035" t="s">
        <v>23871</v>
      </c>
      <c r="C4035" t="s">
        <v>23872</v>
      </c>
      <c r="D4035">
        <v>9</v>
      </c>
      <c r="F4035" s="126"/>
      <c r="K4035" s="3">
        <f t="shared" si="145"/>
        <v>0</v>
      </c>
      <c r="L4035" s="3"/>
      <c r="M4035" s="3">
        <f t="shared" si="146"/>
        <v>0</v>
      </c>
      <c r="O4035" s="5"/>
      <c r="S4035" s="6"/>
    </row>
    <row r="4036" spans="1:22" customFormat="1" x14ac:dyDescent="0.45">
      <c r="A4036">
        <v>734033</v>
      </c>
      <c r="B4036" t="s">
        <v>23873</v>
      </c>
      <c r="C4036" t="s">
        <v>23874</v>
      </c>
      <c r="D4036">
        <v>0</v>
      </c>
      <c r="E4036" t="s">
        <v>16561</v>
      </c>
      <c r="F4036" s="126"/>
      <c r="G4036" s="7">
        <v>0</v>
      </c>
      <c r="H4036" s="7">
        <v>0</v>
      </c>
      <c r="I4036" s="7">
        <v>0</v>
      </c>
      <c r="J4036" s="7">
        <v>0</v>
      </c>
      <c r="K4036" s="3">
        <f t="shared" si="145"/>
        <v>0</v>
      </c>
      <c r="L4036" s="3"/>
      <c r="M4036" s="3">
        <f t="shared" si="146"/>
        <v>0</v>
      </c>
      <c r="N4036" s="7"/>
      <c r="O4036" s="5"/>
      <c r="S4036" s="6"/>
    </row>
    <row r="4037" spans="1:22" customFormat="1" x14ac:dyDescent="0.45">
      <c r="A4037">
        <v>734371</v>
      </c>
      <c r="B4037" t="s">
        <v>23875</v>
      </c>
      <c r="C4037" t="s">
        <v>23876</v>
      </c>
      <c r="D4037">
        <v>1</v>
      </c>
      <c r="F4037" s="126"/>
      <c r="G4037" s="7">
        <v>0</v>
      </c>
      <c r="H4037" s="7">
        <v>0</v>
      </c>
      <c r="I4037" s="7">
        <v>0</v>
      </c>
      <c r="J4037" s="7">
        <v>0</v>
      </c>
      <c r="K4037" s="3">
        <f t="shared" si="145"/>
        <v>0</v>
      </c>
      <c r="L4037" s="3"/>
      <c r="M4037" s="3">
        <f t="shared" si="146"/>
        <v>0</v>
      </c>
      <c r="N4037" s="7"/>
      <c r="O4037" s="5"/>
      <c r="S4037" s="6"/>
    </row>
    <row r="4038" spans="1:22" customFormat="1" x14ac:dyDescent="0.45">
      <c r="A4038">
        <v>734432</v>
      </c>
      <c r="B4038" t="s">
        <v>23877</v>
      </c>
      <c r="C4038" t="s">
        <v>23878</v>
      </c>
      <c r="D4038">
        <v>1</v>
      </c>
      <c r="F4038" s="126"/>
      <c r="G4038" s="7">
        <v>0</v>
      </c>
      <c r="H4038" s="7">
        <v>0</v>
      </c>
      <c r="I4038" s="7">
        <v>0</v>
      </c>
      <c r="J4038" s="7">
        <v>0</v>
      </c>
      <c r="K4038" s="3">
        <f t="shared" si="145"/>
        <v>0</v>
      </c>
      <c r="L4038" s="3"/>
      <c r="M4038" s="3">
        <f t="shared" si="146"/>
        <v>0</v>
      </c>
      <c r="O4038" s="5"/>
      <c r="S4038" s="6"/>
    </row>
    <row r="4039" spans="1:22" customFormat="1" x14ac:dyDescent="0.45">
      <c r="A4039">
        <v>734532</v>
      </c>
      <c r="B4039" t="s">
        <v>23879</v>
      </c>
      <c r="C4039" t="s">
        <v>16331</v>
      </c>
      <c r="D4039">
        <v>2</v>
      </c>
      <c r="E4039" t="s">
        <v>16331</v>
      </c>
      <c r="F4039" s="126"/>
      <c r="G4039" s="7">
        <v>0</v>
      </c>
      <c r="H4039" s="7">
        <v>0</v>
      </c>
      <c r="I4039" s="7">
        <v>0</v>
      </c>
      <c r="J4039" s="7">
        <v>0</v>
      </c>
      <c r="K4039" s="3">
        <f t="shared" si="145"/>
        <v>0</v>
      </c>
      <c r="L4039" s="3"/>
      <c r="M4039" s="3">
        <f t="shared" si="146"/>
        <v>0</v>
      </c>
      <c r="O4039" s="5"/>
      <c r="S4039" s="6"/>
    </row>
    <row r="4040" spans="1:22" x14ac:dyDescent="0.45">
      <c r="A4040" s="124">
        <v>440858</v>
      </c>
      <c r="B4040" s="124" t="s">
        <v>23880</v>
      </c>
      <c r="C4040" s="124" t="s">
        <v>23881</v>
      </c>
      <c r="D4040" s="124">
        <v>2</v>
      </c>
      <c r="E4040" s="124" t="s">
        <v>16334</v>
      </c>
      <c r="F4040" s="126">
        <v>1.6999999999999999E-3</v>
      </c>
      <c r="G4040" s="126">
        <v>0.02</v>
      </c>
      <c r="H4040" s="126">
        <v>7.4999999999999997E-3</v>
      </c>
      <c r="I4040" s="127">
        <v>0</v>
      </c>
      <c r="J4040" s="127">
        <v>0</v>
      </c>
      <c r="K4040" s="126">
        <f t="shared" si="145"/>
        <v>2.75E-2</v>
      </c>
      <c r="L4040" s="3"/>
      <c r="M4040" s="126">
        <f t="shared" si="146"/>
        <v>2.92E-2</v>
      </c>
      <c r="O4040" s="131" t="s">
        <v>23882</v>
      </c>
      <c r="P4040" s="128" t="s">
        <v>26918</v>
      </c>
      <c r="Q4040" s="124">
        <f>476605+103536</f>
        <v>580141</v>
      </c>
      <c r="R4040" s="124" t="s">
        <v>16348</v>
      </c>
      <c r="S4040" s="132">
        <v>461315</v>
      </c>
      <c r="T4040" s="129">
        <f>S4040/Q4040</f>
        <v>0.7951773792922755</v>
      </c>
      <c r="V4040" s="125" t="s">
        <v>23883</v>
      </c>
    </row>
    <row r="4041" spans="1:22" customFormat="1" x14ac:dyDescent="0.45">
      <c r="A4041">
        <v>734694</v>
      </c>
      <c r="B4041" t="s">
        <v>23884</v>
      </c>
      <c r="C4041" t="s">
        <v>23885</v>
      </c>
      <c r="D4041">
        <v>0</v>
      </c>
      <c r="E4041" t="s">
        <v>16561</v>
      </c>
      <c r="F4041" s="126"/>
      <c r="G4041" s="3">
        <v>0</v>
      </c>
      <c r="H4041" s="3">
        <v>0</v>
      </c>
      <c r="I4041" s="3">
        <v>0</v>
      </c>
      <c r="J4041" s="3">
        <v>0</v>
      </c>
      <c r="K4041" s="3">
        <f t="shared" si="145"/>
        <v>0</v>
      </c>
      <c r="L4041" s="3"/>
      <c r="M4041" s="3">
        <f t="shared" si="146"/>
        <v>0</v>
      </c>
      <c r="O4041" s="5"/>
      <c r="S4041" s="6"/>
    </row>
    <row r="4042" spans="1:22" customFormat="1" x14ac:dyDescent="0.45">
      <c r="A4042">
        <v>734863</v>
      </c>
      <c r="B4042" t="s">
        <v>23886</v>
      </c>
      <c r="C4042" t="s">
        <v>23887</v>
      </c>
      <c r="D4042">
        <v>5</v>
      </c>
      <c r="F4042" s="126"/>
      <c r="G4042" s="3">
        <v>0</v>
      </c>
      <c r="H4042" s="3">
        <v>0</v>
      </c>
      <c r="I4042" s="3">
        <v>0</v>
      </c>
      <c r="J4042" s="3">
        <v>0</v>
      </c>
      <c r="K4042" s="3">
        <f t="shared" si="145"/>
        <v>0</v>
      </c>
      <c r="L4042" s="3"/>
      <c r="M4042" s="3">
        <f t="shared" si="146"/>
        <v>0</v>
      </c>
      <c r="O4042" s="5"/>
      <c r="S4042" s="6"/>
    </row>
    <row r="4043" spans="1:22" customFormat="1" x14ac:dyDescent="0.45">
      <c r="A4043">
        <v>734887</v>
      </c>
      <c r="B4043" t="s">
        <v>23888</v>
      </c>
      <c r="C4043" t="s">
        <v>23889</v>
      </c>
      <c r="D4043">
        <v>1</v>
      </c>
      <c r="F4043" s="126"/>
      <c r="G4043" s="7">
        <v>0</v>
      </c>
      <c r="H4043" s="7">
        <v>0</v>
      </c>
      <c r="I4043" s="7">
        <v>0</v>
      </c>
      <c r="J4043" s="7">
        <v>0</v>
      </c>
      <c r="K4043" s="3">
        <f t="shared" si="145"/>
        <v>0</v>
      </c>
      <c r="L4043" s="3"/>
      <c r="M4043" s="3">
        <f t="shared" si="146"/>
        <v>0</v>
      </c>
      <c r="O4043" s="5"/>
      <c r="S4043" s="6"/>
    </row>
    <row r="4044" spans="1:22" customFormat="1" x14ac:dyDescent="0.45">
      <c r="A4044">
        <v>734905</v>
      </c>
      <c r="B4044" t="s">
        <v>23890</v>
      </c>
      <c r="C4044" t="s">
        <v>16331</v>
      </c>
      <c r="D4044">
        <v>1</v>
      </c>
      <c r="E4044" t="s">
        <v>16331</v>
      </c>
      <c r="F4044" s="126"/>
      <c r="G4044" s="7">
        <v>0</v>
      </c>
      <c r="H4044" s="7">
        <v>0</v>
      </c>
      <c r="I4044" s="7">
        <v>0</v>
      </c>
      <c r="J4044" s="7">
        <v>0</v>
      </c>
      <c r="K4044" s="3">
        <f t="shared" si="145"/>
        <v>0</v>
      </c>
      <c r="L4044" s="3"/>
      <c r="M4044" s="3">
        <f t="shared" si="146"/>
        <v>0</v>
      </c>
      <c r="O4044" s="5"/>
      <c r="S4044" s="6"/>
    </row>
    <row r="4045" spans="1:22" customFormat="1" x14ac:dyDescent="0.45">
      <c r="A4045">
        <v>734968</v>
      </c>
      <c r="B4045" t="s">
        <v>23891</v>
      </c>
      <c r="C4045" t="s">
        <v>23892</v>
      </c>
      <c r="D4045">
        <v>2</v>
      </c>
      <c r="F4045" s="126"/>
      <c r="K4045" s="3">
        <f t="shared" si="145"/>
        <v>0</v>
      </c>
      <c r="L4045" s="3"/>
      <c r="M4045" s="3">
        <f t="shared" si="146"/>
        <v>0</v>
      </c>
      <c r="O4045" s="5"/>
      <c r="S4045" s="6"/>
    </row>
    <row r="4046" spans="1:22" customFormat="1" x14ac:dyDescent="0.45">
      <c r="A4046">
        <v>735333</v>
      </c>
      <c r="B4046" t="s">
        <v>23893</v>
      </c>
      <c r="C4046" t="s">
        <v>16331</v>
      </c>
      <c r="D4046">
        <v>1</v>
      </c>
      <c r="E4046" t="s">
        <v>16331</v>
      </c>
      <c r="F4046" s="126"/>
      <c r="K4046" s="3">
        <f t="shared" si="145"/>
        <v>0</v>
      </c>
      <c r="L4046" s="3"/>
      <c r="M4046" s="3">
        <f t="shared" si="146"/>
        <v>0</v>
      </c>
      <c r="O4046" s="5"/>
      <c r="S4046" s="6"/>
    </row>
    <row r="4047" spans="1:22" customFormat="1" x14ac:dyDescent="0.45">
      <c r="A4047">
        <v>735704</v>
      </c>
      <c r="B4047" t="s">
        <v>23894</v>
      </c>
      <c r="C4047" t="s">
        <v>16331</v>
      </c>
      <c r="D4047">
        <v>1</v>
      </c>
      <c r="E4047" t="s">
        <v>16331</v>
      </c>
      <c r="F4047" s="126"/>
      <c r="G4047" s="7">
        <v>0</v>
      </c>
      <c r="H4047" s="7">
        <v>0</v>
      </c>
      <c r="I4047" s="7">
        <v>0</v>
      </c>
      <c r="J4047" s="7">
        <v>0</v>
      </c>
      <c r="K4047" s="3">
        <f t="shared" si="145"/>
        <v>0</v>
      </c>
      <c r="L4047" s="3"/>
      <c r="M4047" s="3">
        <f t="shared" si="146"/>
        <v>0</v>
      </c>
      <c r="O4047" s="5"/>
      <c r="S4047" s="6"/>
    </row>
    <row r="4048" spans="1:22" customFormat="1" x14ac:dyDescent="0.45">
      <c r="A4048">
        <v>736240</v>
      </c>
      <c r="B4048" t="s">
        <v>23895</v>
      </c>
      <c r="C4048" t="s">
        <v>23896</v>
      </c>
      <c r="D4048">
        <v>1</v>
      </c>
      <c r="F4048" s="126"/>
      <c r="G4048" s="7">
        <v>0</v>
      </c>
      <c r="H4048" s="7">
        <v>0</v>
      </c>
      <c r="I4048" s="7">
        <v>0</v>
      </c>
      <c r="J4048" s="7">
        <v>0</v>
      </c>
      <c r="K4048" s="3">
        <f t="shared" si="145"/>
        <v>0</v>
      </c>
      <c r="L4048" s="3"/>
      <c r="M4048" s="3">
        <f t="shared" si="146"/>
        <v>0</v>
      </c>
      <c r="O4048" s="5"/>
      <c r="S4048" s="6"/>
    </row>
    <row r="4049" spans="1:19" customFormat="1" x14ac:dyDescent="0.45">
      <c r="A4049">
        <v>736842</v>
      </c>
      <c r="B4049" t="s">
        <v>23897</v>
      </c>
      <c r="C4049" t="s">
        <v>21129</v>
      </c>
      <c r="D4049">
        <v>2</v>
      </c>
      <c r="F4049" s="126"/>
      <c r="G4049" s="3">
        <v>0</v>
      </c>
      <c r="H4049" s="3">
        <v>0</v>
      </c>
      <c r="I4049" s="3">
        <v>0</v>
      </c>
      <c r="J4049" s="3">
        <v>0</v>
      </c>
      <c r="K4049" s="3">
        <f t="shared" si="145"/>
        <v>0</v>
      </c>
      <c r="L4049" s="3"/>
      <c r="M4049" s="3">
        <f t="shared" si="146"/>
        <v>0</v>
      </c>
      <c r="O4049" s="5"/>
      <c r="S4049" s="6"/>
    </row>
    <row r="4050" spans="1:19" customFormat="1" x14ac:dyDescent="0.45">
      <c r="A4050">
        <v>736855</v>
      </c>
      <c r="B4050" t="s">
        <v>23898</v>
      </c>
      <c r="C4050" t="s">
        <v>23899</v>
      </c>
      <c r="D4050">
        <v>4</v>
      </c>
      <c r="F4050" s="126"/>
      <c r="G4050" s="3">
        <v>0</v>
      </c>
      <c r="H4050" s="3">
        <v>0</v>
      </c>
      <c r="I4050" s="3">
        <v>0</v>
      </c>
      <c r="J4050" s="3">
        <v>0</v>
      </c>
      <c r="K4050" s="3">
        <f t="shared" si="145"/>
        <v>0</v>
      </c>
      <c r="L4050" s="3"/>
      <c r="M4050" s="3">
        <f t="shared" si="146"/>
        <v>0</v>
      </c>
      <c r="O4050" s="5"/>
      <c r="S4050" s="6"/>
    </row>
    <row r="4051" spans="1:19" customFormat="1" x14ac:dyDescent="0.45">
      <c r="A4051">
        <v>737323</v>
      </c>
      <c r="B4051" t="s">
        <v>23900</v>
      </c>
      <c r="C4051" t="s">
        <v>16331</v>
      </c>
      <c r="D4051">
        <v>1</v>
      </c>
      <c r="E4051" t="s">
        <v>16331</v>
      </c>
      <c r="F4051" s="126"/>
      <c r="G4051" s="7">
        <v>0</v>
      </c>
      <c r="H4051" s="7">
        <v>0</v>
      </c>
      <c r="I4051" s="7">
        <v>0</v>
      </c>
      <c r="J4051" s="7">
        <v>0</v>
      </c>
      <c r="K4051" s="3">
        <f t="shared" si="145"/>
        <v>0</v>
      </c>
      <c r="L4051" s="3"/>
      <c r="M4051" s="3">
        <f t="shared" si="146"/>
        <v>0</v>
      </c>
      <c r="O4051" s="5"/>
      <c r="S4051" s="6"/>
    </row>
    <row r="4052" spans="1:19" customFormat="1" x14ac:dyDescent="0.45">
      <c r="A4052">
        <v>737344</v>
      </c>
      <c r="B4052" t="s">
        <v>23901</v>
      </c>
      <c r="C4052" t="s">
        <v>16331</v>
      </c>
      <c r="D4052">
        <v>2</v>
      </c>
      <c r="E4052" t="s">
        <v>16331</v>
      </c>
      <c r="F4052" s="126"/>
      <c r="G4052" s="7">
        <v>0</v>
      </c>
      <c r="H4052" s="7">
        <v>0</v>
      </c>
      <c r="I4052" s="7">
        <v>0</v>
      </c>
      <c r="J4052" s="7">
        <v>0</v>
      </c>
      <c r="K4052" s="3">
        <f t="shared" si="145"/>
        <v>0</v>
      </c>
      <c r="L4052" s="3"/>
      <c r="M4052" s="3">
        <f t="shared" si="146"/>
        <v>0</v>
      </c>
      <c r="O4052" s="5"/>
      <c r="S4052" s="6"/>
    </row>
    <row r="4053" spans="1:19" customFormat="1" x14ac:dyDescent="0.45">
      <c r="A4053">
        <v>737351</v>
      </c>
      <c r="B4053" t="s">
        <v>23902</v>
      </c>
      <c r="C4053" t="s">
        <v>23903</v>
      </c>
      <c r="D4053">
        <v>1</v>
      </c>
      <c r="F4053" s="126"/>
      <c r="G4053" s="7">
        <v>0</v>
      </c>
      <c r="H4053" s="7">
        <v>0</v>
      </c>
      <c r="I4053" s="7">
        <v>0</v>
      </c>
      <c r="J4053" s="7">
        <v>0</v>
      </c>
      <c r="K4053" s="3">
        <f t="shared" si="145"/>
        <v>0</v>
      </c>
      <c r="L4053" s="3"/>
      <c r="M4053" s="3">
        <f t="shared" si="146"/>
        <v>0</v>
      </c>
      <c r="O4053" s="5"/>
      <c r="S4053" s="6"/>
    </row>
    <row r="4054" spans="1:19" customFormat="1" x14ac:dyDescent="0.45">
      <c r="A4054">
        <v>737373</v>
      </c>
      <c r="B4054" t="s">
        <v>23904</v>
      </c>
      <c r="C4054" t="s">
        <v>23905</v>
      </c>
      <c r="D4054">
        <v>1</v>
      </c>
      <c r="F4054" s="126"/>
      <c r="G4054" s="7">
        <v>0</v>
      </c>
      <c r="H4054" s="7">
        <v>0</v>
      </c>
      <c r="I4054" s="7">
        <v>0</v>
      </c>
      <c r="J4054" s="7">
        <v>0</v>
      </c>
      <c r="K4054" s="3">
        <f t="shared" si="145"/>
        <v>0</v>
      </c>
      <c r="L4054" s="3"/>
      <c r="M4054" s="3">
        <f t="shared" si="146"/>
        <v>0</v>
      </c>
      <c r="O4054" s="5"/>
      <c r="S4054" s="6"/>
    </row>
    <row r="4055" spans="1:19" customFormat="1" x14ac:dyDescent="0.45">
      <c r="A4055">
        <v>737468</v>
      </c>
      <c r="B4055" t="s">
        <v>23906</v>
      </c>
      <c r="C4055" t="s">
        <v>23907</v>
      </c>
      <c r="D4055">
        <v>5</v>
      </c>
      <c r="F4055" s="126"/>
      <c r="G4055" s="3"/>
      <c r="H4055" s="3"/>
      <c r="I4055" s="3"/>
      <c r="J4055" s="3"/>
      <c r="K4055" s="3">
        <f t="shared" si="145"/>
        <v>0</v>
      </c>
      <c r="L4055" s="3"/>
      <c r="M4055" s="3">
        <f t="shared" si="146"/>
        <v>0</v>
      </c>
      <c r="O4055" s="5"/>
      <c r="S4055" s="6"/>
    </row>
    <row r="4056" spans="1:19" customFormat="1" x14ac:dyDescent="0.45">
      <c r="A4056">
        <v>737512</v>
      </c>
      <c r="B4056" t="s">
        <v>23908</v>
      </c>
      <c r="C4056" t="s">
        <v>23909</v>
      </c>
      <c r="D4056">
        <v>0</v>
      </c>
      <c r="E4056" t="s">
        <v>16561</v>
      </c>
      <c r="F4056" s="126"/>
      <c r="G4056" s="7">
        <v>0</v>
      </c>
      <c r="H4056" s="7">
        <v>0</v>
      </c>
      <c r="I4056" s="7">
        <v>0</v>
      </c>
      <c r="J4056" s="7">
        <v>0</v>
      </c>
      <c r="K4056" s="3">
        <f t="shared" si="145"/>
        <v>0</v>
      </c>
      <c r="L4056" s="3"/>
      <c r="M4056" s="3">
        <f t="shared" si="146"/>
        <v>0</v>
      </c>
      <c r="O4056" s="5"/>
      <c r="S4056" s="6"/>
    </row>
    <row r="4057" spans="1:19" customFormat="1" x14ac:dyDescent="0.45">
      <c r="A4057">
        <v>737641</v>
      </c>
      <c r="B4057" t="s">
        <v>23910</v>
      </c>
      <c r="C4057" t="s">
        <v>23911</v>
      </c>
      <c r="D4057">
        <v>3</v>
      </c>
      <c r="F4057" s="126"/>
      <c r="G4057" s="3"/>
      <c r="H4057" s="3"/>
      <c r="I4057" s="3"/>
      <c r="J4057" s="3"/>
      <c r="K4057" s="3">
        <f t="shared" si="145"/>
        <v>0</v>
      </c>
      <c r="L4057" s="3"/>
      <c r="M4057" s="3">
        <f t="shared" si="146"/>
        <v>0</v>
      </c>
      <c r="O4057" s="5"/>
      <c r="S4057" s="6"/>
    </row>
    <row r="4058" spans="1:19" customFormat="1" x14ac:dyDescent="0.45">
      <c r="A4058">
        <v>737736</v>
      </c>
      <c r="B4058" t="s">
        <v>23912</v>
      </c>
      <c r="C4058" t="s">
        <v>23913</v>
      </c>
      <c r="D4058">
        <v>3</v>
      </c>
      <c r="F4058" s="126"/>
      <c r="G4058" s="3">
        <v>0</v>
      </c>
      <c r="H4058" s="3">
        <v>0</v>
      </c>
      <c r="I4058" s="3">
        <v>0</v>
      </c>
      <c r="J4058" s="3">
        <v>0</v>
      </c>
      <c r="K4058" s="3">
        <f t="shared" si="145"/>
        <v>0</v>
      </c>
      <c r="L4058" s="3"/>
      <c r="M4058" s="3">
        <f t="shared" si="146"/>
        <v>0</v>
      </c>
      <c r="O4058" s="5"/>
      <c r="S4058" s="6"/>
    </row>
    <row r="4059" spans="1:19" customFormat="1" x14ac:dyDescent="0.45">
      <c r="A4059">
        <v>738070</v>
      </c>
      <c r="B4059" t="s">
        <v>23914</v>
      </c>
      <c r="C4059" t="s">
        <v>23915</v>
      </c>
      <c r="D4059">
        <v>7</v>
      </c>
      <c r="F4059" s="126"/>
      <c r="G4059" s="3">
        <v>0</v>
      </c>
      <c r="H4059" s="3">
        <v>0</v>
      </c>
      <c r="I4059" s="3">
        <v>0</v>
      </c>
      <c r="J4059" s="3">
        <v>0</v>
      </c>
      <c r="K4059" s="3">
        <f t="shared" si="145"/>
        <v>0</v>
      </c>
      <c r="L4059" s="3"/>
      <c r="M4059" s="3">
        <f t="shared" si="146"/>
        <v>0</v>
      </c>
      <c r="O4059" s="5"/>
      <c r="S4059" s="6"/>
    </row>
    <row r="4060" spans="1:19" customFormat="1" x14ac:dyDescent="0.45">
      <c r="A4060">
        <v>738074</v>
      </c>
      <c r="B4060" t="s">
        <v>23916</v>
      </c>
      <c r="C4060" t="s">
        <v>16331</v>
      </c>
      <c r="D4060">
        <v>3</v>
      </c>
      <c r="E4060" t="s">
        <v>16331</v>
      </c>
      <c r="F4060" s="126"/>
      <c r="G4060" s="7">
        <v>0</v>
      </c>
      <c r="H4060" s="7">
        <v>0</v>
      </c>
      <c r="I4060" s="7">
        <v>0</v>
      </c>
      <c r="J4060" s="7">
        <v>0</v>
      </c>
      <c r="K4060" s="3">
        <f t="shared" si="145"/>
        <v>0</v>
      </c>
      <c r="L4060" s="3"/>
      <c r="M4060" s="3">
        <f t="shared" si="146"/>
        <v>0</v>
      </c>
      <c r="O4060" s="5"/>
      <c r="S4060" s="6"/>
    </row>
    <row r="4061" spans="1:19" customFormat="1" x14ac:dyDescent="0.45">
      <c r="A4061">
        <v>738159</v>
      </c>
      <c r="B4061" t="s">
        <v>23917</v>
      </c>
      <c r="C4061" t="s">
        <v>23918</v>
      </c>
      <c r="D4061">
        <v>4</v>
      </c>
      <c r="F4061" s="126"/>
      <c r="G4061" s="7">
        <v>0</v>
      </c>
      <c r="H4061" s="7">
        <v>0</v>
      </c>
      <c r="I4061" s="7">
        <v>0</v>
      </c>
      <c r="J4061" s="7">
        <v>0</v>
      </c>
      <c r="K4061" s="3">
        <f t="shared" si="145"/>
        <v>0</v>
      </c>
      <c r="L4061" s="3"/>
      <c r="M4061" s="3">
        <f t="shared" si="146"/>
        <v>0</v>
      </c>
      <c r="O4061" s="5"/>
      <c r="S4061" s="6"/>
    </row>
    <row r="4062" spans="1:19" customFormat="1" x14ac:dyDescent="0.45">
      <c r="A4062">
        <v>738512</v>
      </c>
      <c r="B4062" t="s">
        <v>23919</v>
      </c>
      <c r="C4062" t="s">
        <v>23920</v>
      </c>
      <c r="D4062">
        <v>5</v>
      </c>
      <c r="F4062" s="126"/>
      <c r="G4062" s="7">
        <v>0</v>
      </c>
      <c r="H4062" s="7">
        <v>0</v>
      </c>
      <c r="I4062" s="7">
        <v>0</v>
      </c>
      <c r="J4062" s="7">
        <v>0</v>
      </c>
      <c r="K4062" s="3">
        <f t="shared" si="145"/>
        <v>0</v>
      </c>
      <c r="L4062" s="3"/>
      <c r="M4062" s="3">
        <f t="shared" si="146"/>
        <v>0</v>
      </c>
      <c r="O4062" s="5"/>
      <c r="S4062" s="6"/>
    </row>
    <row r="4063" spans="1:19" customFormat="1" x14ac:dyDescent="0.45">
      <c r="A4063">
        <v>739470</v>
      </c>
      <c r="B4063" t="s">
        <v>23921</v>
      </c>
      <c r="C4063" t="s">
        <v>23922</v>
      </c>
      <c r="D4063">
        <v>0</v>
      </c>
      <c r="E4063" t="s">
        <v>16561</v>
      </c>
      <c r="F4063" s="126"/>
      <c r="G4063" s="7">
        <v>0</v>
      </c>
      <c r="H4063" s="7">
        <v>0</v>
      </c>
      <c r="I4063" s="7">
        <v>0</v>
      </c>
      <c r="J4063" s="7">
        <v>0</v>
      </c>
      <c r="K4063" s="3">
        <f t="shared" si="145"/>
        <v>0</v>
      </c>
      <c r="L4063" s="3"/>
      <c r="M4063" s="3">
        <f t="shared" si="146"/>
        <v>0</v>
      </c>
      <c r="N4063" s="7"/>
      <c r="O4063" s="5"/>
      <c r="S4063" s="6"/>
    </row>
    <row r="4064" spans="1:19" customFormat="1" x14ac:dyDescent="0.45">
      <c r="A4064">
        <v>739528</v>
      </c>
      <c r="B4064" t="s">
        <v>23923</v>
      </c>
      <c r="C4064" t="s">
        <v>16331</v>
      </c>
      <c r="D4064">
        <v>1</v>
      </c>
      <c r="E4064" t="s">
        <v>16331</v>
      </c>
      <c r="F4064" s="126"/>
      <c r="G4064" s="7">
        <v>0</v>
      </c>
      <c r="H4064" s="7">
        <v>0</v>
      </c>
      <c r="I4064" s="7">
        <v>0</v>
      </c>
      <c r="J4064" s="7">
        <v>0</v>
      </c>
      <c r="K4064" s="3">
        <f t="shared" si="145"/>
        <v>0</v>
      </c>
      <c r="L4064" s="3"/>
      <c r="M4064" s="3">
        <f t="shared" si="146"/>
        <v>0</v>
      </c>
      <c r="O4064" s="5"/>
      <c r="S4064" s="6"/>
    </row>
    <row r="4065" spans="1:22" customFormat="1" x14ac:dyDescent="0.45">
      <c r="A4065">
        <v>739532</v>
      </c>
      <c r="B4065" t="s">
        <v>23924</v>
      </c>
      <c r="C4065" t="s">
        <v>16331</v>
      </c>
      <c r="D4065">
        <v>4</v>
      </c>
      <c r="E4065" t="s">
        <v>16331</v>
      </c>
      <c r="F4065" s="126"/>
      <c r="G4065" s="7">
        <v>0</v>
      </c>
      <c r="H4065" s="7">
        <v>0</v>
      </c>
      <c r="I4065" s="7">
        <v>0</v>
      </c>
      <c r="J4065" s="7">
        <v>0</v>
      </c>
      <c r="K4065" s="3">
        <f t="shared" si="145"/>
        <v>0</v>
      </c>
      <c r="L4065" s="3"/>
      <c r="M4065" s="3">
        <f t="shared" si="146"/>
        <v>0</v>
      </c>
      <c r="O4065" s="5"/>
      <c r="S4065" s="6"/>
    </row>
    <row r="4066" spans="1:22" customFormat="1" x14ac:dyDescent="0.45">
      <c r="A4066">
        <v>739922</v>
      </c>
      <c r="B4066" t="s">
        <v>23925</v>
      </c>
      <c r="C4066" t="s">
        <v>23926</v>
      </c>
      <c r="D4066">
        <v>3</v>
      </c>
      <c r="F4066" s="126"/>
      <c r="G4066" s="3">
        <v>0</v>
      </c>
      <c r="H4066" s="3">
        <v>0</v>
      </c>
      <c r="I4066" s="3">
        <v>0</v>
      </c>
      <c r="J4066" s="3">
        <v>0</v>
      </c>
      <c r="K4066" s="3">
        <f t="shared" si="145"/>
        <v>0</v>
      </c>
      <c r="L4066" s="3"/>
      <c r="M4066" s="3">
        <f t="shared" si="146"/>
        <v>0</v>
      </c>
      <c r="O4066" s="5"/>
      <c r="S4066" s="6"/>
    </row>
    <row r="4067" spans="1:22" customFormat="1" x14ac:dyDescent="0.45">
      <c r="A4067">
        <v>739938</v>
      </c>
      <c r="B4067" t="s">
        <v>23927</v>
      </c>
      <c r="C4067" t="s">
        <v>23928</v>
      </c>
      <c r="D4067">
        <v>8</v>
      </c>
      <c r="F4067" s="126"/>
      <c r="G4067" s="3"/>
      <c r="H4067" s="3"/>
      <c r="I4067" s="3"/>
      <c r="J4067" s="3"/>
      <c r="K4067" s="3">
        <f t="shared" si="145"/>
        <v>0</v>
      </c>
      <c r="L4067" s="3"/>
      <c r="M4067" s="3">
        <f t="shared" si="146"/>
        <v>0</v>
      </c>
      <c r="O4067" s="5"/>
      <c r="S4067" s="6"/>
    </row>
    <row r="4068" spans="1:22" customFormat="1" x14ac:dyDescent="0.45">
      <c r="A4068">
        <v>739963</v>
      </c>
      <c r="B4068" t="s">
        <v>23929</v>
      </c>
      <c r="C4068" t="s">
        <v>23930</v>
      </c>
      <c r="D4068">
        <v>3</v>
      </c>
      <c r="F4068" s="126"/>
      <c r="G4068" s="3">
        <v>0</v>
      </c>
      <c r="H4068" s="3">
        <v>0</v>
      </c>
      <c r="I4068" s="3">
        <v>0</v>
      </c>
      <c r="J4068" s="3">
        <v>0</v>
      </c>
      <c r="K4068" s="3">
        <f t="shared" si="145"/>
        <v>0</v>
      </c>
      <c r="L4068" s="3"/>
      <c r="M4068" s="3">
        <f t="shared" si="146"/>
        <v>0</v>
      </c>
      <c r="O4068" s="5"/>
      <c r="S4068" s="6"/>
    </row>
    <row r="4069" spans="1:22" customFormat="1" x14ac:dyDescent="0.45">
      <c r="A4069">
        <v>740030</v>
      </c>
      <c r="B4069" t="s">
        <v>23931</v>
      </c>
      <c r="C4069" t="s">
        <v>23932</v>
      </c>
      <c r="D4069">
        <v>1</v>
      </c>
      <c r="F4069" s="126"/>
      <c r="G4069" s="3">
        <v>0</v>
      </c>
      <c r="H4069" s="3">
        <v>0</v>
      </c>
      <c r="I4069" s="3">
        <v>0</v>
      </c>
      <c r="J4069" s="3">
        <v>0</v>
      </c>
      <c r="K4069" s="3">
        <f t="shared" si="145"/>
        <v>0</v>
      </c>
      <c r="L4069" s="3"/>
      <c r="M4069" s="3">
        <f t="shared" si="146"/>
        <v>0</v>
      </c>
      <c r="O4069" s="5"/>
      <c r="S4069" s="6"/>
    </row>
    <row r="4070" spans="1:22" customFormat="1" x14ac:dyDescent="0.45">
      <c r="A4070">
        <v>740108</v>
      </c>
      <c r="B4070" t="s">
        <v>23933</v>
      </c>
      <c r="C4070" t="s">
        <v>23934</v>
      </c>
      <c r="D4070">
        <v>1</v>
      </c>
      <c r="F4070" s="126"/>
      <c r="G4070" s="3">
        <v>0</v>
      </c>
      <c r="H4070" s="3">
        <v>0</v>
      </c>
      <c r="I4070" s="3">
        <v>0</v>
      </c>
      <c r="J4070" s="3">
        <v>0</v>
      </c>
      <c r="K4070" s="3">
        <f t="shared" si="145"/>
        <v>0</v>
      </c>
      <c r="L4070" s="3"/>
      <c r="M4070" s="3">
        <f t="shared" si="146"/>
        <v>0</v>
      </c>
      <c r="O4070" s="5"/>
      <c r="S4070" s="6"/>
    </row>
    <row r="4071" spans="1:22" customFormat="1" x14ac:dyDescent="0.45">
      <c r="A4071">
        <v>740111</v>
      </c>
      <c r="B4071" t="s">
        <v>23935</v>
      </c>
      <c r="C4071" t="s">
        <v>16331</v>
      </c>
      <c r="D4071">
        <v>1</v>
      </c>
      <c r="E4071" t="s">
        <v>16331</v>
      </c>
      <c r="F4071" s="126"/>
      <c r="G4071" s="7">
        <v>0</v>
      </c>
      <c r="H4071" s="7">
        <v>0</v>
      </c>
      <c r="I4071" s="7">
        <v>0</v>
      </c>
      <c r="J4071" s="7">
        <v>0</v>
      </c>
      <c r="K4071" s="3">
        <f t="shared" si="145"/>
        <v>0</v>
      </c>
      <c r="L4071" s="3"/>
      <c r="M4071" s="3">
        <f t="shared" si="146"/>
        <v>0</v>
      </c>
      <c r="O4071" s="5"/>
      <c r="S4071" s="6"/>
    </row>
    <row r="4072" spans="1:22" customFormat="1" x14ac:dyDescent="0.45">
      <c r="A4072">
        <v>740345</v>
      </c>
      <c r="B4072" t="s">
        <v>23936</v>
      </c>
      <c r="C4072" t="s">
        <v>23937</v>
      </c>
      <c r="D4072">
        <v>3</v>
      </c>
      <c r="F4072" s="126"/>
      <c r="G4072" s="3">
        <v>0</v>
      </c>
      <c r="H4072" s="3">
        <v>0</v>
      </c>
      <c r="I4072" s="3">
        <v>0</v>
      </c>
      <c r="J4072" s="3">
        <v>0</v>
      </c>
      <c r="K4072" s="3">
        <f t="shared" si="145"/>
        <v>0</v>
      </c>
      <c r="L4072" s="3"/>
      <c r="M4072" s="3">
        <f t="shared" si="146"/>
        <v>0</v>
      </c>
      <c r="O4072" s="5"/>
      <c r="S4072" s="6"/>
    </row>
    <row r="4073" spans="1:22" customFormat="1" x14ac:dyDescent="0.45">
      <c r="A4073">
        <v>740490</v>
      </c>
      <c r="B4073" t="s">
        <v>23938</v>
      </c>
      <c r="C4073" t="s">
        <v>23939</v>
      </c>
      <c r="D4073">
        <v>4</v>
      </c>
      <c r="F4073" s="126"/>
      <c r="G4073" s="3">
        <v>0</v>
      </c>
      <c r="H4073" s="3">
        <v>0</v>
      </c>
      <c r="I4073" s="3">
        <v>0</v>
      </c>
      <c r="J4073" s="3">
        <v>0</v>
      </c>
      <c r="K4073" s="3">
        <f t="shared" si="145"/>
        <v>0</v>
      </c>
      <c r="L4073" s="3"/>
      <c r="M4073" s="3">
        <f t="shared" si="146"/>
        <v>0</v>
      </c>
      <c r="O4073" s="5"/>
      <c r="S4073" s="6"/>
    </row>
    <row r="4074" spans="1:22" customFormat="1" x14ac:dyDescent="0.45">
      <c r="A4074">
        <v>740528</v>
      </c>
      <c r="B4074" t="s">
        <v>23940</v>
      </c>
      <c r="C4074" t="s">
        <v>16549</v>
      </c>
      <c r="D4074">
        <v>0</v>
      </c>
      <c r="E4074" t="s">
        <v>16561</v>
      </c>
      <c r="F4074" s="126"/>
      <c r="G4074" s="3">
        <v>0</v>
      </c>
      <c r="H4074" s="3">
        <v>0</v>
      </c>
      <c r="I4074" s="3">
        <v>0</v>
      </c>
      <c r="J4074" s="3">
        <v>0</v>
      </c>
      <c r="K4074" s="3">
        <f t="shared" si="145"/>
        <v>0</v>
      </c>
      <c r="L4074" s="3"/>
      <c r="M4074" s="3">
        <f t="shared" si="146"/>
        <v>0</v>
      </c>
      <c r="O4074" s="5"/>
      <c r="S4074" s="6"/>
    </row>
    <row r="4075" spans="1:22" x14ac:dyDescent="0.45">
      <c r="A4075" s="124">
        <v>131459</v>
      </c>
      <c r="B4075" s="124" t="s">
        <v>23941</v>
      </c>
      <c r="C4075" s="125" t="s">
        <v>23942</v>
      </c>
      <c r="D4075" s="124">
        <v>3</v>
      </c>
      <c r="E4075" s="124" t="s">
        <v>16334</v>
      </c>
      <c r="F4075" s="126">
        <v>1.6999999999999999E-3</v>
      </c>
      <c r="G4075" s="126">
        <v>0.01</v>
      </c>
      <c r="H4075" s="126">
        <v>0.01</v>
      </c>
      <c r="I4075" s="127"/>
      <c r="J4075" s="127"/>
      <c r="K4075" s="126">
        <f t="shared" si="145"/>
        <v>0.02</v>
      </c>
      <c r="L4075" s="3"/>
      <c r="M4075" s="126">
        <f t="shared" si="146"/>
        <v>2.1700000000000001E-2</v>
      </c>
      <c r="O4075" s="125" t="s">
        <v>23943</v>
      </c>
      <c r="P4075" s="128" t="s">
        <v>26918</v>
      </c>
      <c r="Q4075" s="130">
        <v>1022875</v>
      </c>
      <c r="R4075" s="124" t="s">
        <v>16348</v>
      </c>
      <c r="S4075" s="130">
        <v>1015786</v>
      </c>
      <c r="T4075" s="129">
        <f>S4075/Q4075</f>
        <v>0.99306953440058654</v>
      </c>
      <c r="V4075" s="125" t="s">
        <v>23944</v>
      </c>
    </row>
    <row r="4076" spans="1:22" customFormat="1" x14ac:dyDescent="0.45">
      <c r="A4076">
        <v>741551</v>
      </c>
      <c r="B4076" t="s">
        <v>23945</v>
      </c>
      <c r="C4076" t="s">
        <v>16331</v>
      </c>
      <c r="D4076">
        <v>4</v>
      </c>
      <c r="E4076" t="s">
        <v>16331</v>
      </c>
      <c r="F4076" s="126"/>
      <c r="G4076" s="7">
        <v>0</v>
      </c>
      <c r="H4076" s="7">
        <v>0</v>
      </c>
      <c r="I4076" s="7">
        <v>0</v>
      </c>
      <c r="J4076" s="7">
        <v>0</v>
      </c>
      <c r="K4076" s="3">
        <f t="shared" si="145"/>
        <v>0</v>
      </c>
      <c r="L4076" s="3"/>
      <c r="M4076" s="3">
        <f t="shared" si="146"/>
        <v>0</v>
      </c>
      <c r="O4076" s="5"/>
      <c r="S4076" s="6"/>
    </row>
    <row r="4077" spans="1:22" customFormat="1" x14ac:dyDescent="0.45">
      <c r="A4077">
        <v>741579</v>
      </c>
      <c r="B4077" t="s">
        <v>23946</v>
      </c>
      <c r="C4077" t="s">
        <v>23947</v>
      </c>
      <c r="D4077">
        <v>2</v>
      </c>
      <c r="F4077" s="126"/>
      <c r="G4077" s="3">
        <v>0</v>
      </c>
      <c r="H4077" s="3">
        <v>0</v>
      </c>
      <c r="I4077" s="3">
        <v>0</v>
      </c>
      <c r="J4077" s="3">
        <v>0</v>
      </c>
      <c r="K4077" s="3">
        <f t="shared" si="145"/>
        <v>0</v>
      </c>
      <c r="L4077" s="3"/>
      <c r="M4077" s="3">
        <f t="shared" si="146"/>
        <v>0</v>
      </c>
      <c r="O4077" s="5"/>
      <c r="S4077" s="6"/>
    </row>
    <row r="4078" spans="1:22" customFormat="1" x14ac:dyDescent="0.45">
      <c r="A4078">
        <v>741929</v>
      </c>
      <c r="B4078" t="s">
        <v>23948</v>
      </c>
      <c r="C4078" t="s">
        <v>23949</v>
      </c>
      <c r="D4078">
        <v>2</v>
      </c>
      <c r="F4078" s="126"/>
      <c r="G4078" s="3">
        <v>0</v>
      </c>
      <c r="H4078" s="3">
        <v>0</v>
      </c>
      <c r="I4078" s="3">
        <v>0</v>
      </c>
      <c r="J4078" s="3">
        <v>0</v>
      </c>
      <c r="K4078" s="3">
        <f t="shared" si="145"/>
        <v>0</v>
      </c>
      <c r="L4078" s="3"/>
      <c r="M4078" s="3">
        <f t="shared" si="146"/>
        <v>0</v>
      </c>
      <c r="O4078" s="5"/>
      <c r="S4078" s="6"/>
    </row>
    <row r="4079" spans="1:22" customFormat="1" x14ac:dyDescent="0.45">
      <c r="A4079">
        <v>742054</v>
      </c>
      <c r="B4079" t="s">
        <v>23950</v>
      </c>
      <c r="C4079" t="s">
        <v>23951</v>
      </c>
      <c r="D4079">
        <v>1</v>
      </c>
      <c r="F4079" s="126"/>
      <c r="G4079" s="3">
        <v>0</v>
      </c>
      <c r="H4079" s="3">
        <v>0</v>
      </c>
      <c r="I4079" s="3">
        <v>0</v>
      </c>
      <c r="J4079" s="3">
        <v>0</v>
      </c>
      <c r="K4079" s="3">
        <f t="shared" si="145"/>
        <v>0</v>
      </c>
      <c r="L4079" s="3"/>
      <c r="M4079" s="3">
        <f t="shared" si="146"/>
        <v>0</v>
      </c>
      <c r="O4079" s="5"/>
      <c r="S4079" s="6"/>
    </row>
    <row r="4080" spans="1:22" customFormat="1" x14ac:dyDescent="0.45">
      <c r="A4080">
        <v>742575</v>
      </c>
      <c r="B4080" t="s">
        <v>23952</v>
      </c>
      <c r="C4080" t="s">
        <v>16331</v>
      </c>
      <c r="D4080">
        <v>1</v>
      </c>
      <c r="E4080" t="s">
        <v>16331</v>
      </c>
      <c r="F4080" s="126"/>
      <c r="G4080" s="7">
        <v>0</v>
      </c>
      <c r="H4080" s="7">
        <v>0</v>
      </c>
      <c r="I4080" s="7">
        <v>0</v>
      </c>
      <c r="J4080" s="7">
        <v>0</v>
      </c>
      <c r="K4080" s="3">
        <f t="shared" si="145"/>
        <v>0</v>
      </c>
      <c r="L4080" s="3"/>
      <c r="M4080" s="3">
        <f t="shared" si="146"/>
        <v>0</v>
      </c>
      <c r="O4080" s="5"/>
      <c r="S4080" s="6"/>
    </row>
    <row r="4081" spans="1:19" customFormat="1" x14ac:dyDescent="0.45">
      <c r="A4081">
        <v>742739</v>
      </c>
      <c r="B4081" t="s">
        <v>23953</v>
      </c>
      <c r="C4081" t="s">
        <v>23954</v>
      </c>
      <c r="D4081">
        <v>2</v>
      </c>
      <c r="F4081" s="126"/>
      <c r="G4081" s="3">
        <v>0</v>
      </c>
      <c r="H4081" s="3">
        <v>0</v>
      </c>
      <c r="I4081" s="3">
        <v>0</v>
      </c>
      <c r="J4081" s="3">
        <v>0</v>
      </c>
      <c r="K4081" s="3">
        <f t="shared" ref="K4081:K4144" si="147">SUM(G4081:J4081)</f>
        <v>0</v>
      </c>
      <c r="L4081" s="3"/>
      <c r="M4081" s="3">
        <f t="shared" ref="M4081:M4144" si="148">K4081+F4081</f>
        <v>0</v>
      </c>
      <c r="O4081" s="5"/>
      <c r="S4081" s="6"/>
    </row>
    <row r="4082" spans="1:19" customFormat="1" x14ac:dyDescent="0.45">
      <c r="A4082">
        <v>742957</v>
      </c>
      <c r="B4082" t="s">
        <v>23955</v>
      </c>
      <c r="C4082" t="s">
        <v>23956</v>
      </c>
      <c r="D4082">
        <v>1</v>
      </c>
      <c r="F4082" s="126"/>
      <c r="G4082" s="3">
        <v>0</v>
      </c>
      <c r="H4082" s="3">
        <v>0</v>
      </c>
      <c r="I4082" s="3">
        <v>0</v>
      </c>
      <c r="J4082" s="3">
        <v>0</v>
      </c>
      <c r="K4082" s="3">
        <f t="shared" si="147"/>
        <v>0</v>
      </c>
      <c r="L4082" s="3"/>
      <c r="M4082" s="3">
        <f t="shared" si="148"/>
        <v>0</v>
      </c>
      <c r="O4082" s="5"/>
      <c r="S4082" s="6"/>
    </row>
    <row r="4083" spans="1:19" customFormat="1" x14ac:dyDescent="0.45">
      <c r="A4083">
        <v>743512</v>
      </c>
      <c r="B4083" t="s">
        <v>23957</v>
      </c>
      <c r="C4083" t="s">
        <v>23958</v>
      </c>
      <c r="D4083">
        <v>2</v>
      </c>
      <c r="F4083" s="126"/>
      <c r="G4083" s="7">
        <v>0</v>
      </c>
      <c r="H4083" s="7">
        <v>0</v>
      </c>
      <c r="I4083" s="7">
        <v>0</v>
      </c>
      <c r="J4083" s="7">
        <v>0</v>
      </c>
      <c r="K4083" s="3">
        <f t="shared" si="147"/>
        <v>0</v>
      </c>
      <c r="L4083" s="3"/>
      <c r="M4083" s="3">
        <f t="shared" si="148"/>
        <v>0</v>
      </c>
      <c r="N4083" s="7"/>
      <c r="O4083" s="5"/>
      <c r="S4083" s="6"/>
    </row>
    <row r="4084" spans="1:19" customFormat="1" x14ac:dyDescent="0.45">
      <c r="A4084">
        <v>744163</v>
      </c>
      <c r="B4084" t="s">
        <v>23959</v>
      </c>
      <c r="C4084" t="s">
        <v>23960</v>
      </c>
      <c r="D4084">
        <v>2</v>
      </c>
      <c r="F4084" s="126"/>
      <c r="G4084" s="3">
        <v>0</v>
      </c>
      <c r="H4084" s="3">
        <v>0</v>
      </c>
      <c r="I4084" s="3">
        <v>0</v>
      </c>
      <c r="J4084" s="3">
        <v>0</v>
      </c>
      <c r="K4084" s="3">
        <f t="shared" si="147"/>
        <v>0</v>
      </c>
      <c r="L4084" s="3"/>
      <c r="M4084" s="3">
        <f t="shared" si="148"/>
        <v>0</v>
      </c>
      <c r="O4084" s="5"/>
      <c r="S4084" s="6"/>
    </row>
    <row r="4085" spans="1:19" customFormat="1" x14ac:dyDescent="0.45">
      <c r="A4085">
        <v>744333</v>
      </c>
      <c r="B4085" t="s">
        <v>23961</v>
      </c>
      <c r="C4085" t="s">
        <v>23962</v>
      </c>
      <c r="D4085">
        <v>1</v>
      </c>
      <c r="F4085" s="126"/>
      <c r="G4085" s="3">
        <v>0</v>
      </c>
      <c r="H4085" s="3">
        <v>0</v>
      </c>
      <c r="I4085" s="3">
        <v>0</v>
      </c>
      <c r="J4085" s="3">
        <v>0</v>
      </c>
      <c r="K4085" s="3">
        <f t="shared" si="147"/>
        <v>0</v>
      </c>
      <c r="L4085" s="3"/>
      <c r="M4085" s="3">
        <f t="shared" si="148"/>
        <v>0</v>
      </c>
      <c r="O4085" s="5"/>
      <c r="S4085" s="6"/>
    </row>
    <row r="4086" spans="1:19" customFormat="1" x14ac:dyDescent="0.45">
      <c r="A4086">
        <v>744359</v>
      </c>
      <c r="B4086" t="s">
        <v>23963</v>
      </c>
      <c r="C4086" t="s">
        <v>23964</v>
      </c>
      <c r="D4086">
        <v>4</v>
      </c>
      <c r="F4086" s="126"/>
      <c r="G4086" s="3">
        <v>0</v>
      </c>
      <c r="H4086" s="3">
        <v>0</v>
      </c>
      <c r="I4086" s="3">
        <v>0</v>
      </c>
      <c r="J4086" s="3">
        <v>0</v>
      </c>
      <c r="K4086" s="3">
        <f t="shared" si="147"/>
        <v>0</v>
      </c>
      <c r="L4086" s="3"/>
      <c r="M4086" s="3">
        <f t="shared" si="148"/>
        <v>0</v>
      </c>
      <c r="O4086" s="5"/>
      <c r="S4086" s="6"/>
    </row>
    <row r="4087" spans="1:19" customFormat="1" x14ac:dyDescent="0.45">
      <c r="A4087">
        <v>744391</v>
      </c>
      <c r="B4087" t="s">
        <v>23965</v>
      </c>
      <c r="C4087" t="s">
        <v>23966</v>
      </c>
      <c r="D4087">
        <v>2</v>
      </c>
      <c r="F4087" s="126"/>
      <c r="G4087" s="3">
        <v>0</v>
      </c>
      <c r="H4087" s="3">
        <v>0</v>
      </c>
      <c r="I4087" s="3">
        <v>0</v>
      </c>
      <c r="J4087" s="3">
        <v>0</v>
      </c>
      <c r="K4087" s="3">
        <f t="shared" si="147"/>
        <v>0</v>
      </c>
      <c r="L4087" s="3"/>
      <c r="M4087" s="3">
        <f t="shared" si="148"/>
        <v>0</v>
      </c>
      <c r="O4087" s="5"/>
      <c r="S4087" s="6"/>
    </row>
    <row r="4088" spans="1:19" customFormat="1" x14ac:dyDescent="0.45">
      <c r="A4088">
        <v>744928</v>
      </c>
      <c r="B4088" t="s">
        <v>23967</v>
      </c>
      <c r="C4088" t="s">
        <v>23968</v>
      </c>
      <c r="D4088">
        <v>0</v>
      </c>
      <c r="E4088" t="s">
        <v>16561</v>
      </c>
      <c r="F4088" s="126"/>
      <c r="G4088" s="7">
        <v>0</v>
      </c>
      <c r="H4088" s="7">
        <v>0</v>
      </c>
      <c r="I4088" s="7">
        <v>0</v>
      </c>
      <c r="J4088" s="7">
        <v>0</v>
      </c>
      <c r="K4088" s="3">
        <f t="shared" si="147"/>
        <v>0</v>
      </c>
      <c r="L4088" s="3"/>
      <c r="M4088" s="3">
        <f t="shared" si="148"/>
        <v>0</v>
      </c>
      <c r="N4088" s="7"/>
      <c r="O4088" s="5"/>
      <c r="S4088" s="6"/>
    </row>
    <row r="4089" spans="1:19" customFormat="1" x14ac:dyDescent="0.45">
      <c r="A4089">
        <v>744938</v>
      </c>
      <c r="B4089" t="s">
        <v>23969</v>
      </c>
      <c r="C4089" t="s">
        <v>16331</v>
      </c>
      <c r="D4089">
        <v>3</v>
      </c>
      <c r="E4089" t="s">
        <v>16331</v>
      </c>
      <c r="F4089" s="126"/>
      <c r="G4089" s="7">
        <v>0</v>
      </c>
      <c r="H4089" s="7">
        <v>0</v>
      </c>
      <c r="I4089" s="7">
        <v>0</v>
      </c>
      <c r="J4089" s="7">
        <v>0</v>
      </c>
      <c r="K4089" s="3">
        <f t="shared" si="147"/>
        <v>0</v>
      </c>
      <c r="L4089" s="3"/>
      <c r="M4089" s="3">
        <f t="shared" si="148"/>
        <v>0</v>
      </c>
      <c r="O4089" s="5"/>
      <c r="S4089" s="6"/>
    </row>
    <row r="4090" spans="1:19" customFormat="1" x14ac:dyDescent="0.45">
      <c r="A4090">
        <v>745085</v>
      </c>
      <c r="B4090" t="s">
        <v>23970</v>
      </c>
      <c r="C4090" t="s">
        <v>23971</v>
      </c>
      <c r="D4090">
        <v>2</v>
      </c>
      <c r="F4090" s="126"/>
      <c r="G4090" s="3">
        <v>0</v>
      </c>
      <c r="H4090" s="3">
        <v>0</v>
      </c>
      <c r="I4090" s="3">
        <v>0</v>
      </c>
      <c r="J4090" s="3">
        <v>0</v>
      </c>
      <c r="K4090" s="3">
        <f t="shared" si="147"/>
        <v>0</v>
      </c>
      <c r="L4090" s="3"/>
      <c r="M4090" s="3">
        <f t="shared" si="148"/>
        <v>0</v>
      </c>
      <c r="O4090" s="5"/>
      <c r="S4090" s="6"/>
    </row>
    <row r="4091" spans="1:19" customFormat="1" x14ac:dyDescent="0.45">
      <c r="A4091">
        <v>745204</v>
      </c>
      <c r="B4091" t="s">
        <v>23972</v>
      </c>
      <c r="C4091" t="s">
        <v>23973</v>
      </c>
      <c r="D4091">
        <v>2</v>
      </c>
      <c r="F4091" s="126"/>
      <c r="G4091" s="3">
        <v>0</v>
      </c>
      <c r="H4091" s="3">
        <v>0</v>
      </c>
      <c r="I4091" s="3">
        <v>0</v>
      </c>
      <c r="J4091" s="3">
        <v>0</v>
      </c>
      <c r="K4091" s="3">
        <f t="shared" si="147"/>
        <v>0</v>
      </c>
      <c r="L4091" s="3"/>
      <c r="M4091" s="3">
        <f t="shared" si="148"/>
        <v>0</v>
      </c>
      <c r="O4091" s="5"/>
      <c r="S4091" s="6"/>
    </row>
    <row r="4092" spans="1:19" customFormat="1" x14ac:dyDescent="0.45">
      <c r="A4092">
        <v>745347</v>
      </c>
      <c r="B4092" t="s">
        <v>23974</v>
      </c>
      <c r="C4092" t="s">
        <v>16331</v>
      </c>
      <c r="D4092">
        <v>5</v>
      </c>
      <c r="E4092" t="s">
        <v>16331</v>
      </c>
      <c r="F4092" s="126"/>
      <c r="K4092" s="3">
        <f t="shared" si="147"/>
        <v>0</v>
      </c>
      <c r="L4092" s="3"/>
      <c r="M4092" s="3">
        <f t="shared" si="148"/>
        <v>0</v>
      </c>
      <c r="O4092" s="5"/>
      <c r="S4092" s="6"/>
    </row>
    <row r="4093" spans="1:19" customFormat="1" x14ac:dyDescent="0.45">
      <c r="A4093">
        <v>745384</v>
      </c>
      <c r="B4093" t="s">
        <v>23975</v>
      </c>
      <c r="C4093" t="s">
        <v>16331</v>
      </c>
      <c r="D4093">
        <v>3</v>
      </c>
      <c r="E4093" t="s">
        <v>16331</v>
      </c>
      <c r="F4093" s="126"/>
      <c r="G4093" s="7">
        <v>0</v>
      </c>
      <c r="H4093" s="7">
        <v>0</v>
      </c>
      <c r="I4093" s="7">
        <v>0</v>
      </c>
      <c r="J4093" s="7">
        <v>0</v>
      </c>
      <c r="K4093" s="3">
        <f t="shared" si="147"/>
        <v>0</v>
      </c>
      <c r="L4093" s="3"/>
      <c r="M4093" s="3">
        <f t="shared" si="148"/>
        <v>0</v>
      </c>
      <c r="O4093" s="5"/>
      <c r="S4093" s="6"/>
    </row>
    <row r="4094" spans="1:19" customFormat="1" x14ac:dyDescent="0.45">
      <c r="A4094">
        <v>745621</v>
      </c>
      <c r="B4094" t="s">
        <v>23976</v>
      </c>
      <c r="C4094" t="s">
        <v>16331</v>
      </c>
      <c r="D4094">
        <v>2</v>
      </c>
      <c r="E4094" t="s">
        <v>16331</v>
      </c>
      <c r="F4094" s="126"/>
      <c r="G4094" s="7">
        <v>0</v>
      </c>
      <c r="H4094" s="7">
        <v>0</v>
      </c>
      <c r="I4094" s="7">
        <v>0</v>
      </c>
      <c r="J4094" s="7">
        <v>0</v>
      </c>
      <c r="K4094" s="3">
        <f t="shared" si="147"/>
        <v>0</v>
      </c>
      <c r="L4094" s="3"/>
      <c r="M4094" s="3">
        <f t="shared" si="148"/>
        <v>0</v>
      </c>
      <c r="O4094" s="5"/>
      <c r="S4094" s="6"/>
    </row>
    <row r="4095" spans="1:19" customFormat="1" x14ac:dyDescent="0.45">
      <c r="A4095">
        <v>745837</v>
      </c>
      <c r="B4095" t="s">
        <v>23977</v>
      </c>
      <c r="C4095" t="s">
        <v>23978</v>
      </c>
      <c r="D4095">
        <v>3</v>
      </c>
      <c r="F4095" s="126"/>
      <c r="G4095" s="3">
        <v>0</v>
      </c>
      <c r="H4095" s="3">
        <v>0</v>
      </c>
      <c r="I4095" s="3">
        <v>0</v>
      </c>
      <c r="J4095" s="3">
        <v>0</v>
      </c>
      <c r="K4095" s="3">
        <f t="shared" si="147"/>
        <v>0</v>
      </c>
      <c r="L4095" s="3"/>
      <c r="M4095" s="3">
        <f t="shared" si="148"/>
        <v>0</v>
      </c>
      <c r="O4095" s="5"/>
      <c r="S4095" s="6"/>
    </row>
    <row r="4096" spans="1:19" customFormat="1" x14ac:dyDescent="0.45">
      <c r="A4096">
        <v>745901</v>
      </c>
      <c r="B4096" t="s">
        <v>23979</v>
      </c>
      <c r="C4096" t="s">
        <v>23980</v>
      </c>
      <c r="D4096">
        <v>12</v>
      </c>
      <c r="F4096" s="126"/>
      <c r="G4096" s="3">
        <v>0</v>
      </c>
      <c r="H4096" s="3">
        <v>0</v>
      </c>
      <c r="I4096" s="3">
        <v>0</v>
      </c>
      <c r="J4096" s="3">
        <v>0</v>
      </c>
      <c r="K4096" s="3">
        <f t="shared" si="147"/>
        <v>0</v>
      </c>
      <c r="L4096" s="3"/>
      <c r="M4096" s="3">
        <f t="shared" si="148"/>
        <v>0</v>
      </c>
      <c r="O4096" s="5"/>
      <c r="S4096" s="6"/>
    </row>
    <row r="4097" spans="1:22" customFormat="1" x14ac:dyDescent="0.45">
      <c r="A4097">
        <v>746000</v>
      </c>
      <c r="B4097" t="s">
        <v>23981</v>
      </c>
      <c r="C4097" t="s">
        <v>23982</v>
      </c>
      <c r="D4097">
        <v>1</v>
      </c>
      <c r="F4097" s="126"/>
      <c r="G4097" s="3">
        <v>0</v>
      </c>
      <c r="H4097" s="3">
        <v>0</v>
      </c>
      <c r="I4097" s="3">
        <v>0</v>
      </c>
      <c r="J4097" s="3">
        <v>0</v>
      </c>
      <c r="K4097" s="3">
        <f t="shared" si="147"/>
        <v>0</v>
      </c>
      <c r="L4097" s="3"/>
      <c r="M4097" s="3">
        <f t="shared" si="148"/>
        <v>0</v>
      </c>
      <c r="O4097" s="5"/>
      <c r="S4097" s="6"/>
    </row>
    <row r="4098" spans="1:22" customFormat="1" x14ac:dyDescent="0.45">
      <c r="A4098">
        <v>746267</v>
      </c>
      <c r="B4098" t="s">
        <v>23983</v>
      </c>
      <c r="C4098" t="s">
        <v>23984</v>
      </c>
      <c r="D4098">
        <v>7</v>
      </c>
      <c r="F4098" s="126"/>
      <c r="G4098" s="3">
        <v>0</v>
      </c>
      <c r="H4098" s="3">
        <v>0</v>
      </c>
      <c r="I4098" s="3">
        <v>0</v>
      </c>
      <c r="J4098" s="3">
        <v>0</v>
      </c>
      <c r="K4098" s="3">
        <f t="shared" si="147"/>
        <v>0</v>
      </c>
      <c r="L4098" s="3"/>
      <c r="M4098" s="3">
        <f t="shared" si="148"/>
        <v>0</v>
      </c>
      <c r="O4098" s="5"/>
      <c r="S4098" s="6"/>
    </row>
    <row r="4099" spans="1:22" customFormat="1" x14ac:dyDescent="0.45">
      <c r="A4099">
        <v>746390</v>
      </c>
      <c r="B4099" t="s">
        <v>23985</v>
      </c>
      <c r="C4099" t="s">
        <v>16331</v>
      </c>
      <c r="D4099">
        <v>2</v>
      </c>
      <c r="E4099" t="s">
        <v>16331</v>
      </c>
      <c r="F4099" s="126"/>
      <c r="G4099" s="7">
        <v>0</v>
      </c>
      <c r="H4099" s="7">
        <v>0</v>
      </c>
      <c r="I4099" s="7">
        <v>0</v>
      </c>
      <c r="J4099" s="7">
        <v>0</v>
      </c>
      <c r="K4099" s="3">
        <f t="shared" si="147"/>
        <v>0</v>
      </c>
      <c r="L4099" s="3"/>
      <c r="M4099" s="3">
        <f t="shared" si="148"/>
        <v>0</v>
      </c>
      <c r="O4099" s="5"/>
      <c r="S4099" s="6"/>
    </row>
    <row r="4100" spans="1:22" customFormat="1" x14ac:dyDescent="0.45">
      <c r="A4100">
        <v>746440</v>
      </c>
      <c r="B4100" t="s">
        <v>23986</v>
      </c>
      <c r="C4100" t="s">
        <v>23987</v>
      </c>
      <c r="D4100">
        <v>3</v>
      </c>
      <c r="F4100" s="126"/>
      <c r="G4100" s="3">
        <v>0</v>
      </c>
      <c r="H4100" s="3">
        <v>0</v>
      </c>
      <c r="I4100" s="3">
        <v>0</v>
      </c>
      <c r="J4100" s="3">
        <v>0</v>
      </c>
      <c r="K4100" s="3">
        <f t="shared" si="147"/>
        <v>0</v>
      </c>
      <c r="L4100" s="3"/>
      <c r="M4100" s="3">
        <f t="shared" si="148"/>
        <v>0</v>
      </c>
      <c r="O4100" s="5"/>
      <c r="S4100" s="6"/>
    </row>
    <row r="4101" spans="1:22" x14ac:dyDescent="0.45">
      <c r="A4101" s="124">
        <v>605911</v>
      </c>
      <c r="B4101" s="124" t="s">
        <v>23988</v>
      </c>
      <c r="C4101" s="125" t="s">
        <v>23989</v>
      </c>
      <c r="D4101" s="124">
        <v>7</v>
      </c>
      <c r="E4101" s="124" t="s">
        <v>16334</v>
      </c>
      <c r="F4101" s="126">
        <v>1.6999999999999999E-3</v>
      </c>
      <c r="G4101" s="126">
        <v>2.9749999999999999E-2</v>
      </c>
      <c r="H4101" s="126">
        <v>0</v>
      </c>
      <c r="I4101" s="127">
        <v>0</v>
      </c>
      <c r="J4101" s="127">
        <v>0</v>
      </c>
      <c r="K4101" s="126">
        <f t="shared" si="147"/>
        <v>2.9749999999999999E-2</v>
      </c>
      <c r="L4101" s="3"/>
      <c r="M4101" s="126">
        <f t="shared" si="148"/>
        <v>3.1449999999999999E-2</v>
      </c>
      <c r="N4101" s="124" t="s">
        <v>23990</v>
      </c>
      <c r="O4101" s="131" t="s">
        <v>23991</v>
      </c>
      <c r="P4101" s="128" t="s">
        <v>26918</v>
      </c>
      <c r="Q4101" s="130">
        <f>170813+249496</f>
        <v>420309</v>
      </c>
      <c r="R4101" s="124" t="s">
        <v>16348</v>
      </c>
      <c r="S4101" s="132">
        <v>191140</v>
      </c>
      <c r="T4101" s="129">
        <f>S4101/Q4101</f>
        <v>0.45476066417802141</v>
      </c>
      <c r="V4101" s="125" t="s">
        <v>23992</v>
      </c>
    </row>
    <row r="4102" spans="1:22" customFormat="1" x14ac:dyDescent="0.45">
      <c r="A4102">
        <v>746548</v>
      </c>
      <c r="B4102" t="s">
        <v>23993</v>
      </c>
      <c r="C4102" t="s">
        <v>23994</v>
      </c>
      <c r="D4102">
        <v>2</v>
      </c>
      <c r="F4102" s="126"/>
      <c r="G4102" s="7">
        <v>0</v>
      </c>
      <c r="H4102" s="7">
        <v>0</v>
      </c>
      <c r="I4102" s="7">
        <v>0</v>
      </c>
      <c r="J4102" s="7">
        <v>0</v>
      </c>
      <c r="K4102" s="3">
        <f t="shared" si="147"/>
        <v>0</v>
      </c>
      <c r="L4102" s="3"/>
      <c r="M4102" s="3">
        <f t="shared" si="148"/>
        <v>0</v>
      </c>
      <c r="O4102" s="5"/>
      <c r="S4102" s="6"/>
    </row>
    <row r="4103" spans="1:22" customFormat="1" x14ac:dyDescent="0.45">
      <c r="A4103">
        <v>746672</v>
      </c>
      <c r="B4103" t="s">
        <v>23995</v>
      </c>
      <c r="C4103" t="s">
        <v>16331</v>
      </c>
      <c r="D4103">
        <v>2</v>
      </c>
      <c r="E4103" t="s">
        <v>16331</v>
      </c>
      <c r="F4103" s="126"/>
      <c r="G4103" s="7">
        <v>0</v>
      </c>
      <c r="H4103" s="7">
        <v>0</v>
      </c>
      <c r="I4103" s="7">
        <v>0</v>
      </c>
      <c r="J4103" s="7">
        <v>0</v>
      </c>
      <c r="K4103" s="3">
        <f t="shared" si="147"/>
        <v>0</v>
      </c>
      <c r="L4103" s="3"/>
      <c r="M4103" s="3">
        <f t="shared" si="148"/>
        <v>0</v>
      </c>
      <c r="O4103" s="5"/>
      <c r="S4103" s="6"/>
    </row>
    <row r="4104" spans="1:22" customFormat="1" x14ac:dyDescent="0.45">
      <c r="A4104">
        <v>747216</v>
      </c>
      <c r="B4104" t="s">
        <v>23996</v>
      </c>
      <c r="C4104" t="s">
        <v>23997</v>
      </c>
      <c r="D4104">
        <v>1</v>
      </c>
      <c r="F4104" s="126"/>
      <c r="G4104" s="7">
        <v>0</v>
      </c>
      <c r="H4104" s="7">
        <v>0</v>
      </c>
      <c r="I4104" s="7">
        <v>0</v>
      </c>
      <c r="J4104" s="7">
        <v>0</v>
      </c>
      <c r="K4104" s="3">
        <f t="shared" si="147"/>
        <v>0</v>
      </c>
      <c r="L4104" s="3"/>
      <c r="M4104" s="3">
        <f t="shared" si="148"/>
        <v>0</v>
      </c>
      <c r="N4104" s="7"/>
      <c r="O4104" s="5"/>
      <c r="S4104" s="6"/>
    </row>
    <row r="4105" spans="1:22" customFormat="1" x14ac:dyDescent="0.45">
      <c r="A4105">
        <v>747633</v>
      </c>
      <c r="B4105" t="s">
        <v>23998</v>
      </c>
      <c r="C4105" t="s">
        <v>16331</v>
      </c>
      <c r="D4105">
        <v>1</v>
      </c>
      <c r="E4105" t="s">
        <v>16331</v>
      </c>
      <c r="F4105" s="126"/>
      <c r="G4105" s="7">
        <v>0</v>
      </c>
      <c r="H4105" s="7">
        <v>0</v>
      </c>
      <c r="I4105" s="7">
        <v>0</v>
      </c>
      <c r="J4105" s="7">
        <v>0</v>
      </c>
      <c r="K4105" s="3">
        <f t="shared" si="147"/>
        <v>0</v>
      </c>
      <c r="L4105" s="3"/>
      <c r="M4105" s="3">
        <f t="shared" si="148"/>
        <v>0</v>
      </c>
      <c r="O4105" s="5"/>
      <c r="S4105" s="6"/>
    </row>
    <row r="4106" spans="1:22" customFormat="1" x14ac:dyDescent="0.45">
      <c r="A4106">
        <v>747648</v>
      </c>
      <c r="B4106" t="s">
        <v>23999</v>
      </c>
      <c r="C4106" t="s">
        <v>24000</v>
      </c>
      <c r="D4106">
        <v>4</v>
      </c>
      <c r="F4106" s="126"/>
      <c r="G4106" s="3">
        <v>0</v>
      </c>
      <c r="H4106" s="3">
        <v>0</v>
      </c>
      <c r="I4106" s="3">
        <v>0</v>
      </c>
      <c r="J4106" s="3">
        <v>0</v>
      </c>
      <c r="K4106" s="3">
        <f t="shared" si="147"/>
        <v>0</v>
      </c>
      <c r="L4106" s="3"/>
      <c r="M4106" s="3">
        <f t="shared" si="148"/>
        <v>0</v>
      </c>
      <c r="O4106" s="5"/>
      <c r="S4106" s="6"/>
    </row>
    <row r="4107" spans="1:22" customFormat="1" x14ac:dyDescent="0.45">
      <c r="A4107">
        <v>747664</v>
      </c>
      <c r="B4107" t="s">
        <v>24001</v>
      </c>
      <c r="C4107" t="s">
        <v>24002</v>
      </c>
      <c r="D4107">
        <v>1</v>
      </c>
      <c r="F4107" s="126"/>
      <c r="G4107" s="3">
        <v>0</v>
      </c>
      <c r="H4107" s="3">
        <v>0</v>
      </c>
      <c r="I4107" s="3">
        <v>0</v>
      </c>
      <c r="J4107" s="3">
        <v>0</v>
      </c>
      <c r="K4107" s="3">
        <f t="shared" si="147"/>
        <v>0</v>
      </c>
      <c r="L4107" s="3"/>
      <c r="M4107" s="3">
        <f t="shared" si="148"/>
        <v>0</v>
      </c>
      <c r="O4107" s="5"/>
      <c r="S4107" s="6"/>
    </row>
    <row r="4108" spans="1:22" customFormat="1" x14ac:dyDescent="0.45">
      <c r="A4108">
        <v>747766</v>
      </c>
      <c r="B4108" t="s">
        <v>24003</v>
      </c>
      <c r="C4108" t="s">
        <v>24004</v>
      </c>
      <c r="D4108">
        <v>1</v>
      </c>
      <c r="F4108" s="126"/>
      <c r="G4108" s="3">
        <v>0</v>
      </c>
      <c r="H4108" s="3">
        <v>0</v>
      </c>
      <c r="I4108" s="3">
        <v>0</v>
      </c>
      <c r="J4108" s="3">
        <v>0</v>
      </c>
      <c r="K4108" s="3">
        <f t="shared" si="147"/>
        <v>0</v>
      </c>
      <c r="L4108" s="3"/>
      <c r="M4108" s="3">
        <f t="shared" si="148"/>
        <v>0</v>
      </c>
      <c r="O4108" s="5"/>
      <c r="S4108" s="6"/>
    </row>
    <row r="4109" spans="1:22" customFormat="1" x14ac:dyDescent="0.45">
      <c r="A4109">
        <v>748172</v>
      </c>
      <c r="B4109" t="s">
        <v>24005</v>
      </c>
      <c r="C4109" t="s">
        <v>16331</v>
      </c>
      <c r="D4109">
        <v>2</v>
      </c>
      <c r="E4109" t="s">
        <v>16331</v>
      </c>
      <c r="F4109" s="126"/>
      <c r="G4109" s="7">
        <v>0</v>
      </c>
      <c r="H4109" s="7">
        <v>0</v>
      </c>
      <c r="I4109" s="7">
        <v>0</v>
      </c>
      <c r="J4109" s="7">
        <v>0</v>
      </c>
      <c r="K4109" s="3">
        <f t="shared" si="147"/>
        <v>0</v>
      </c>
      <c r="L4109" s="3"/>
      <c r="M4109" s="3">
        <f t="shared" si="148"/>
        <v>0</v>
      </c>
      <c r="O4109" s="5"/>
      <c r="S4109" s="6"/>
    </row>
    <row r="4110" spans="1:22" customFormat="1" x14ac:dyDescent="0.45">
      <c r="A4110">
        <v>748243</v>
      </c>
      <c r="B4110" t="s">
        <v>24006</v>
      </c>
      <c r="C4110" t="s">
        <v>16331</v>
      </c>
      <c r="D4110">
        <v>2</v>
      </c>
      <c r="E4110" t="s">
        <v>16331</v>
      </c>
      <c r="F4110" s="126"/>
      <c r="G4110" s="7">
        <v>0</v>
      </c>
      <c r="H4110" s="7">
        <v>0</v>
      </c>
      <c r="I4110" s="7">
        <v>0</v>
      </c>
      <c r="J4110" s="7">
        <v>0</v>
      </c>
      <c r="K4110" s="3">
        <f t="shared" si="147"/>
        <v>0</v>
      </c>
      <c r="L4110" s="3"/>
      <c r="M4110" s="3">
        <f t="shared" si="148"/>
        <v>0</v>
      </c>
      <c r="O4110" s="5"/>
      <c r="S4110" s="6"/>
    </row>
    <row r="4111" spans="1:22" customFormat="1" x14ac:dyDescent="0.45">
      <c r="A4111">
        <v>748261</v>
      </c>
      <c r="B4111" t="s">
        <v>24007</v>
      </c>
      <c r="C4111" t="s">
        <v>24008</v>
      </c>
      <c r="D4111">
        <v>4</v>
      </c>
      <c r="F4111" s="126"/>
      <c r="G4111" s="3">
        <v>0</v>
      </c>
      <c r="H4111" s="3">
        <v>0</v>
      </c>
      <c r="I4111" s="3">
        <v>0</v>
      </c>
      <c r="J4111" s="3">
        <v>0</v>
      </c>
      <c r="K4111" s="3">
        <f t="shared" si="147"/>
        <v>0</v>
      </c>
      <c r="L4111" s="3"/>
      <c r="M4111" s="3">
        <f t="shared" si="148"/>
        <v>0</v>
      </c>
      <c r="O4111" s="5"/>
      <c r="S4111" s="6"/>
    </row>
    <row r="4112" spans="1:22" customFormat="1" x14ac:dyDescent="0.45">
      <c r="A4112">
        <v>748565</v>
      </c>
      <c r="B4112" t="s">
        <v>24009</v>
      </c>
      <c r="C4112" t="s">
        <v>24010</v>
      </c>
      <c r="D4112">
        <v>0</v>
      </c>
      <c r="E4112" t="s">
        <v>16334</v>
      </c>
      <c r="F4112" s="126"/>
      <c r="G4112" s="7">
        <v>0</v>
      </c>
      <c r="H4112" s="7">
        <v>0</v>
      </c>
      <c r="I4112" s="7">
        <v>0</v>
      </c>
      <c r="J4112" s="7">
        <v>0</v>
      </c>
      <c r="K4112" s="3">
        <f t="shared" si="147"/>
        <v>0</v>
      </c>
      <c r="L4112" s="3"/>
      <c r="M4112" s="3">
        <f t="shared" si="148"/>
        <v>0</v>
      </c>
      <c r="O4112" s="5"/>
      <c r="S4112" s="6"/>
    </row>
    <row r="4113" spans="1:24" customFormat="1" x14ac:dyDescent="0.45">
      <c r="A4113">
        <v>748732</v>
      </c>
      <c r="B4113" t="s">
        <v>24011</v>
      </c>
      <c r="C4113" t="s">
        <v>24012</v>
      </c>
      <c r="D4113">
        <v>1</v>
      </c>
      <c r="F4113" s="126"/>
      <c r="G4113" s="3">
        <v>0</v>
      </c>
      <c r="H4113" s="3">
        <v>0</v>
      </c>
      <c r="I4113" s="3">
        <v>0</v>
      </c>
      <c r="J4113" s="3">
        <v>0</v>
      </c>
      <c r="K4113" s="3">
        <f t="shared" si="147"/>
        <v>0</v>
      </c>
      <c r="L4113" s="3"/>
      <c r="M4113" s="3">
        <f t="shared" si="148"/>
        <v>0</v>
      </c>
      <c r="O4113" s="5"/>
      <c r="S4113" s="6"/>
    </row>
    <row r="4114" spans="1:24" customFormat="1" x14ac:dyDescent="0.45">
      <c r="A4114">
        <v>748895</v>
      </c>
      <c r="B4114" t="s">
        <v>24013</v>
      </c>
      <c r="C4114" t="s">
        <v>24014</v>
      </c>
      <c r="D4114">
        <v>2</v>
      </c>
      <c r="F4114" s="126"/>
      <c r="G4114" s="7">
        <v>0</v>
      </c>
      <c r="H4114" s="7">
        <v>0</v>
      </c>
      <c r="I4114" s="7">
        <v>0</v>
      </c>
      <c r="J4114" s="7">
        <v>0</v>
      </c>
      <c r="K4114" s="3">
        <f t="shared" si="147"/>
        <v>0</v>
      </c>
      <c r="L4114" s="3"/>
      <c r="M4114" s="3">
        <f t="shared" si="148"/>
        <v>0</v>
      </c>
      <c r="O4114" s="5"/>
      <c r="S4114" s="6"/>
    </row>
    <row r="4115" spans="1:24" customFormat="1" x14ac:dyDescent="0.45">
      <c r="A4115">
        <v>749167</v>
      </c>
      <c r="B4115" t="s">
        <v>24015</v>
      </c>
      <c r="C4115" t="s">
        <v>16331</v>
      </c>
      <c r="D4115">
        <v>1</v>
      </c>
      <c r="E4115" t="s">
        <v>16331</v>
      </c>
      <c r="F4115" s="126"/>
      <c r="K4115" s="3">
        <f t="shared" si="147"/>
        <v>0</v>
      </c>
      <c r="L4115" s="3"/>
      <c r="M4115" s="3">
        <f t="shared" si="148"/>
        <v>0</v>
      </c>
      <c r="O4115" s="5"/>
      <c r="S4115" s="6"/>
    </row>
    <row r="4116" spans="1:24" customFormat="1" x14ac:dyDescent="0.45">
      <c r="A4116">
        <v>749371</v>
      </c>
      <c r="B4116" t="s">
        <v>24016</v>
      </c>
      <c r="C4116" t="s">
        <v>16331</v>
      </c>
      <c r="D4116">
        <v>1</v>
      </c>
      <c r="E4116" t="s">
        <v>16331</v>
      </c>
      <c r="F4116" s="126"/>
      <c r="G4116" s="7">
        <v>0</v>
      </c>
      <c r="H4116" s="7">
        <v>0</v>
      </c>
      <c r="I4116" s="7">
        <v>0</v>
      </c>
      <c r="J4116" s="7">
        <v>0</v>
      </c>
      <c r="K4116" s="3">
        <f t="shared" si="147"/>
        <v>0</v>
      </c>
      <c r="L4116" s="3"/>
      <c r="M4116" s="3">
        <f t="shared" si="148"/>
        <v>0</v>
      </c>
      <c r="O4116" s="5"/>
      <c r="S4116" s="6"/>
    </row>
    <row r="4117" spans="1:24" customFormat="1" x14ac:dyDescent="0.45">
      <c r="A4117">
        <v>749494</v>
      </c>
      <c r="B4117" t="s">
        <v>24017</v>
      </c>
      <c r="C4117" t="s">
        <v>16331</v>
      </c>
      <c r="D4117">
        <v>1</v>
      </c>
      <c r="E4117" t="s">
        <v>16331</v>
      </c>
      <c r="F4117" s="126"/>
      <c r="K4117" s="3">
        <f t="shared" si="147"/>
        <v>0</v>
      </c>
      <c r="L4117" s="3"/>
      <c r="M4117" s="3">
        <f t="shared" si="148"/>
        <v>0</v>
      </c>
      <c r="O4117" s="5"/>
      <c r="S4117" s="6"/>
    </row>
    <row r="4118" spans="1:24" x14ac:dyDescent="0.45">
      <c r="A4118" s="124">
        <v>937583</v>
      </c>
      <c r="B4118" s="124" t="s">
        <v>24018</v>
      </c>
      <c r="C4118" s="125" t="s">
        <v>24019</v>
      </c>
      <c r="D4118" s="124">
        <v>1</v>
      </c>
      <c r="E4118" s="124" t="s">
        <v>16417</v>
      </c>
      <c r="F4118" s="126">
        <v>0</v>
      </c>
      <c r="G4118" s="126">
        <v>0</v>
      </c>
      <c r="H4118" s="126">
        <v>0.01</v>
      </c>
      <c r="I4118" s="126"/>
      <c r="J4118" s="126"/>
      <c r="K4118" s="126">
        <f t="shared" si="147"/>
        <v>0.01</v>
      </c>
      <c r="L4118" s="30"/>
      <c r="M4118" s="126">
        <f t="shared" si="148"/>
        <v>0.01</v>
      </c>
      <c r="N4118" s="124" t="s">
        <v>24020</v>
      </c>
      <c r="O4118" s="125" t="s">
        <v>24021</v>
      </c>
      <c r="Q4118" s="130">
        <f>S4118+47616</f>
        <v>485769</v>
      </c>
      <c r="R4118" s="124" t="s">
        <v>16348</v>
      </c>
      <c r="S4118" s="132">
        <v>438153</v>
      </c>
      <c r="T4118" s="129">
        <f>S4118/Q4118</f>
        <v>0.90197810070218565</v>
      </c>
      <c r="V4118" s="125" t="s">
        <v>24022</v>
      </c>
      <c r="X4118" s="124" t="s">
        <v>24023</v>
      </c>
    </row>
    <row r="4119" spans="1:24" customFormat="1" x14ac:dyDescent="0.45">
      <c r="A4119">
        <v>749893</v>
      </c>
      <c r="B4119" t="s">
        <v>24024</v>
      </c>
      <c r="C4119" t="s">
        <v>24025</v>
      </c>
      <c r="D4119">
        <v>0</v>
      </c>
      <c r="E4119" t="s">
        <v>16561</v>
      </c>
      <c r="F4119" s="126"/>
      <c r="G4119" s="7">
        <v>0</v>
      </c>
      <c r="H4119" s="7">
        <v>0</v>
      </c>
      <c r="I4119" s="7">
        <v>0</v>
      </c>
      <c r="J4119" s="7">
        <v>0</v>
      </c>
      <c r="K4119" s="3">
        <f t="shared" si="147"/>
        <v>0</v>
      </c>
      <c r="L4119" s="3"/>
      <c r="M4119" s="3">
        <f t="shared" si="148"/>
        <v>0</v>
      </c>
      <c r="N4119" s="7"/>
      <c r="O4119" s="5"/>
      <c r="S4119" s="6"/>
    </row>
    <row r="4120" spans="1:24" customFormat="1" x14ac:dyDescent="0.45">
      <c r="A4120">
        <v>749927</v>
      </c>
      <c r="B4120" t="s">
        <v>24026</v>
      </c>
      <c r="C4120" t="s">
        <v>16331</v>
      </c>
      <c r="D4120">
        <v>1</v>
      </c>
      <c r="E4120" t="s">
        <v>16331</v>
      </c>
      <c r="F4120" s="126"/>
      <c r="G4120" s="7">
        <v>0</v>
      </c>
      <c r="H4120" s="7">
        <v>0</v>
      </c>
      <c r="I4120" s="7">
        <v>0</v>
      </c>
      <c r="J4120" s="7">
        <v>0</v>
      </c>
      <c r="K4120" s="3">
        <f t="shared" si="147"/>
        <v>0</v>
      </c>
      <c r="L4120" s="3"/>
      <c r="M4120" s="3">
        <f t="shared" si="148"/>
        <v>0</v>
      </c>
      <c r="O4120" s="5"/>
      <c r="S4120" s="6"/>
    </row>
    <row r="4121" spans="1:24" customFormat="1" x14ac:dyDescent="0.45">
      <c r="A4121">
        <v>750001</v>
      </c>
      <c r="B4121" t="s">
        <v>24027</v>
      </c>
      <c r="C4121" t="s">
        <v>16331</v>
      </c>
      <c r="D4121">
        <v>2</v>
      </c>
      <c r="E4121" t="s">
        <v>16331</v>
      </c>
      <c r="F4121" s="126"/>
      <c r="G4121" s="7">
        <v>0</v>
      </c>
      <c r="H4121" s="7">
        <v>0</v>
      </c>
      <c r="I4121" s="7">
        <v>0</v>
      </c>
      <c r="J4121" s="7">
        <v>0</v>
      </c>
      <c r="K4121" s="3">
        <f t="shared" si="147"/>
        <v>0</v>
      </c>
      <c r="L4121" s="3"/>
      <c r="M4121" s="3">
        <f t="shared" si="148"/>
        <v>0</v>
      </c>
      <c r="O4121" s="5"/>
      <c r="S4121" s="6"/>
    </row>
    <row r="4122" spans="1:24" customFormat="1" x14ac:dyDescent="0.45">
      <c r="A4122">
        <v>750005</v>
      </c>
      <c r="B4122" t="s">
        <v>24028</v>
      </c>
      <c r="C4122" t="s">
        <v>16331</v>
      </c>
      <c r="D4122">
        <v>1</v>
      </c>
      <c r="E4122" t="s">
        <v>16331</v>
      </c>
      <c r="F4122" s="126"/>
      <c r="K4122" s="3">
        <f t="shared" si="147"/>
        <v>0</v>
      </c>
      <c r="L4122" s="3"/>
      <c r="M4122" s="3">
        <f t="shared" si="148"/>
        <v>0</v>
      </c>
      <c r="O4122" s="5"/>
      <c r="S4122" s="6"/>
    </row>
    <row r="4123" spans="1:24" customFormat="1" x14ac:dyDescent="0.45">
      <c r="A4123">
        <v>750069</v>
      </c>
      <c r="B4123" t="s">
        <v>24029</v>
      </c>
      <c r="C4123" t="s">
        <v>24030</v>
      </c>
      <c r="D4123">
        <v>2</v>
      </c>
      <c r="F4123" s="126"/>
      <c r="G4123" s="3">
        <v>0</v>
      </c>
      <c r="H4123" s="3">
        <v>0</v>
      </c>
      <c r="I4123" s="3">
        <v>0</v>
      </c>
      <c r="J4123" s="3">
        <v>0</v>
      </c>
      <c r="K4123" s="3">
        <f t="shared" si="147"/>
        <v>0</v>
      </c>
      <c r="L4123" s="3"/>
      <c r="M4123" s="3">
        <f t="shared" si="148"/>
        <v>0</v>
      </c>
      <c r="O4123" s="5"/>
      <c r="S4123" s="6"/>
    </row>
    <row r="4124" spans="1:24" customFormat="1" x14ac:dyDescent="0.45">
      <c r="A4124">
        <v>750260</v>
      </c>
      <c r="B4124" t="s">
        <v>24031</v>
      </c>
      <c r="C4124" t="s">
        <v>24032</v>
      </c>
      <c r="D4124">
        <v>2</v>
      </c>
      <c r="F4124" s="126"/>
      <c r="G4124" s="3">
        <v>0</v>
      </c>
      <c r="H4124" s="3">
        <v>0</v>
      </c>
      <c r="I4124" s="3">
        <v>0</v>
      </c>
      <c r="J4124" s="3">
        <v>0</v>
      </c>
      <c r="K4124" s="3">
        <f t="shared" si="147"/>
        <v>0</v>
      </c>
      <c r="L4124" s="3"/>
      <c r="M4124" s="3">
        <f t="shared" si="148"/>
        <v>0</v>
      </c>
      <c r="O4124" s="5"/>
      <c r="S4124" s="6"/>
    </row>
    <row r="4125" spans="1:24" customFormat="1" x14ac:dyDescent="0.45">
      <c r="A4125">
        <v>750294</v>
      </c>
      <c r="B4125" t="s">
        <v>24033</v>
      </c>
      <c r="C4125" t="s">
        <v>24034</v>
      </c>
      <c r="D4125">
        <v>2</v>
      </c>
      <c r="F4125" s="126"/>
      <c r="G4125" s="7">
        <v>0</v>
      </c>
      <c r="H4125" s="7">
        <v>0</v>
      </c>
      <c r="I4125" s="7">
        <v>0</v>
      </c>
      <c r="J4125" s="7">
        <v>0</v>
      </c>
      <c r="K4125" s="3">
        <f t="shared" si="147"/>
        <v>0</v>
      </c>
      <c r="L4125" s="3"/>
      <c r="M4125" s="3">
        <f t="shared" si="148"/>
        <v>0</v>
      </c>
      <c r="O4125" s="5"/>
      <c r="S4125" s="6"/>
    </row>
    <row r="4126" spans="1:24" customFormat="1" x14ac:dyDescent="0.45">
      <c r="A4126">
        <v>750602</v>
      </c>
      <c r="B4126" t="s">
        <v>24035</v>
      </c>
      <c r="C4126" t="s">
        <v>24036</v>
      </c>
      <c r="D4126">
        <v>1</v>
      </c>
      <c r="F4126" s="126"/>
      <c r="G4126" s="3"/>
      <c r="H4126" s="3"/>
      <c r="I4126" s="3"/>
      <c r="J4126" s="3"/>
      <c r="K4126" s="3">
        <f t="shared" si="147"/>
        <v>0</v>
      </c>
      <c r="L4126" s="3"/>
      <c r="M4126" s="3">
        <f t="shared" si="148"/>
        <v>0</v>
      </c>
      <c r="O4126" s="5"/>
      <c r="S4126" s="6"/>
    </row>
    <row r="4127" spans="1:24" customFormat="1" x14ac:dyDescent="0.45">
      <c r="A4127">
        <v>750786</v>
      </c>
      <c r="B4127" t="s">
        <v>24037</v>
      </c>
      <c r="C4127" t="s">
        <v>24038</v>
      </c>
      <c r="D4127">
        <v>6</v>
      </c>
      <c r="F4127" s="126"/>
      <c r="G4127" s="3">
        <v>0</v>
      </c>
      <c r="H4127" s="3">
        <v>0</v>
      </c>
      <c r="I4127" s="3">
        <v>0</v>
      </c>
      <c r="J4127" s="3">
        <v>0</v>
      </c>
      <c r="K4127" s="3">
        <f t="shared" si="147"/>
        <v>0</v>
      </c>
      <c r="L4127" s="3"/>
      <c r="M4127" s="3">
        <f t="shared" si="148"/>
        <v>0</v>
      </c>
      <c r="O4127" s="5"/>
      <c r="S4127" s="6"/>
    </row>
    <row r="4128" spans="1:24" customFormat="1" x14ac:dyDescent="0.45">
      <c r="A4128">
        <v>750804</v>
      </c>
      <c r="B4128" t="s">
        <v>24039</v>
      </c>
      <c r="C4128" t="s">
        <v>24040</v>
      </c>
      <c r="D4128">
        <v>1</v>
      </c>
      <c r="F4128" s="126"/>
      <c r="G4128" s="19"/>
      <c r="H4128" s="19"/>
      <c r="I4128" s="19"/>
      <c r="J4128" s="19"/>
      <c r="K4128" s="3">
        <f t="shared" si="147"/>
        <v>0</v>
      </c>
      <c r="L4128" s="3"/>
      <c r="M4128" s="3">
        <f t="shared" si="148"/>
        <v>0</v>
      </c>
      <c r="O4128" s="5"/>
      <c r="S4128" s="6"/>
    </row>
    <row r="4129" spans="1:19" customFormat="1" x14ac:dyDescent="0.45">
      <c r="A4129">
        <v>750928</v>
      </c>
      <c r="B4129" t="s">
        <v>24041</v>
      </c>
      <c r="C4129" t="s">
        <v>16331</v>
      </c>
      <c r="D4129">
        <v>1</v>
      </c>
      <c r="E4129" t="s">
        <v>16331</v>
      </c>
      <c r="F4129" s="126"/>
      <c r="G4129" s="7">
        <v>0</v>
      </c>
      <c r="H4129" s="7">
        <v>0</v>
      </c>
      <c r="I4129" s="7">
        <v>0</v>
      </c>
      <c r="J4129" s="7">
        <v>0</v>
      </c>
      <c r="K4129" s="3">
        <f t="shared" si="147"/>
        <v>0</v>
      </c>
      <c r="L4129" s="3"/>
      <c r="M4129" s="3">
        <f t="shared" si="148"/>
        <v>0</v>
      </c>
      <c r="O4129" s="5"/>
      <c r="S4129" s="6"/>
    </row>
    <row r="4130" spans="1:19" customFormat="1" x14ac:dyDescent="0.45">
      <c r="A4130">
        <v>750933</v>
      </c>
      <c r="B4130" t="s">
        <v>24042</v>
      </c>
      <c r="C4130" t="s">
        <v>24043</v>
      </c>
      <c r="D4130">
        <v>8</v>
      </c>
      <c r="F4130" s="126"/>
      <c r="G4130" s="3">
        <v>0</v>
      </c>
      <c r="H4130" s="3">
        <v>0</v>
      </c>
      <c r="I4130" s="3">
        <v>0</v>
      </c>
      <c r="J4130" s="3">
        <v>0</v>
      </c>
      <c r="K4130" s="3">
        <f t="shared" si="147"/>
        <v>0</v>
      </c>
      <c r="L4130" s="3"/>
      <c r="M4130" s="3">
        <f t="shared" si="148"/>
        <v>0</v>
      </c>
      <c r="O4130" s="5"/>
      <c r="S4130" s="6"/>
    </row>
    <row r="4131" spans="1:19" customFormat="1" x14ac:dyDescent="0.45">
      <c r="A4131">
        <v>751017</v>
      </c>
      <c r="B4131" t="s">
        <v>24044</v>
      </c>
      <c r="C4131" t="s">
        <v>24045</v>
      </c>
      <c r="D4131">
        <v>0</v>
      </c>
      <c r="E4131" t="s">
        <v>16561</v>
      </c>
      <c r="F4131" s="126"/>
      <c r="G4131" s="3">
        <v>0</v>
      </c>
      <c r="H4131" s="3">
        <v>0</v>
      </c>
      <c r="I4131" s="3">
        <v>0</v>
      </c>
      <c r="J4131" s="3">
        <v>0</v>
      </c>
      <c r="K4131" s="3">
        <f t="shared" si="147"/>
        <v>0</v>
      </c>
      <c r="L4131" s="3"/>
      <c r="M4131" s="3">
        <f t="shared" si="148"/>
        <v>0</v>
      </c>
      <c r="O4131" s="5"/>
      <c r="S4131" s="6"/>
    </row>
    <row r="4132" spans="1:19" customFormat="1" x14ac:dyDescent="0.45">
      <c r="A4132">
        <v>751087</v>
      </c>
      <c r="B4132" t="s">
        <v>24046</v>
      </c>
      <c r="C4132" t="s">
        <v>24047</v>
      </c>
      <c r="D4132">
        <v>0</v>
      </c>
      <c r="E4132" t="s">
        <v>24048</v>
      </c>
      <c r="F4132" s="126"/>
      <c r="G4132" s="3">
        <v>0</v>
      </c>
      <c r="H4132" s="3">
        <v>0</v>
      </c>
      <c r="I4132" s="3">
        <v>0</v>
      </c>
      <c r="J4132" s="3">
        <v>0</v>
      </c>
      <c r="K4132" s="3">
        <f t="shared" si="147"/>
        <v>0</v>
      </c>
      <c r="L4132" s="3"/>
      <c r="M4132" s="3">
        <f t="shared" si="148"/>
        <v>0</v>
      </c>
      <c r="O4132" s="5"/>
      <c r="S4132" s="6"/>
    </row>
    <row r="4133" spans="1:19" customFormat="1" x14ac:dyDescent="0.45">
      <c r="A4133">
        <v>751222</v>
      </c>
      <c r="B4133" t="s">
        <v>24049</v>
      </c>
      <c r="C4133" t="s">
        <v>24050</v>
      </c>
      <c r="D4133">
        <v>2</v>
      </c>
      <c r="F4133" s="126"/>
      <c r="G4133" s="3">
        <v>0</v>
      </c>
      <c r="H4133" s="3">
        <v>0</v>
      </c>
      <c r="I4133" s="3">
        <v>0</v>
      </c>
      <c r="J4133" s="3">
        <v>0</v>
      </c>
      <c r="K4133" s="3">
        <f t="shared" si="147"/>
        <v>0</v>
      </c>
      <c r="L4133" s="3"/>
      <c r="M4133" s="3">
        <f t="shared" si="148"/>
        <v>0</v>
      </c>
      <c r="O4133" s="5"/>
      <c r="S4133" s="6"/>
    </row>
    <row r="4134" spans="1:19" customFormat="1" x14ac:dyDescent="0.45">
      <c r="A4134">
        <v>751572</v>
      </c>
      <c r="B4134" t="s">
        <v>24051</v>
      </c>
      <c r="C4134" t="s">
        <v>24052</v>
      </c>
      <c r="D4134">
        <v>1</v>
      </c>
      <c r="F4134" s="126"/>
      <c r="G4134" s="7">
        <v>0</v>
      </c>
      <c r="H4134" s="7">
        <v>0</v>
      </c>
      <c r="I4134" s="7">
        <v>0</v>
      </c>
      <c r="J4134" s="7">
        <v>0</v>
      </c>
      <c r="K4134" s="3">
        <f t="shared" si="147"/>
        <v>0</v>
      </c>
      <c r="L4134" s="3"/>
      <c r="M4134" s="3">
        <f t="shared" si="148"/>
        <v>0</v>
      </c>
      <c r="O4134" s="5"/>
      <c r="S4134" s="6"/>
    </row>
    <row r="4135" spans="1:19" customFormat="1" x14ac:dyDescent="0.45">
      <c r="A4135">
        <v>751579</v>
      </c>
      <c r="B4135" t="s">
        <v>24053</v>
      </c>
      <c r="C4135" t="s">
        <v>24054</v>
      </c>
      <c r="D4135">
        <v>3</v>
      </c>
      <c r="F4135" s="126"/>
      <c r="G4135" s="3">
        <v>0</v>
      </c>
      <c r="H4135" s="3">
        <v>0</v>
      </c>
      <c r="I4135" s="3">
        <v>0</v>
      </c>
      <c r="J4135" s="3">
        <v>0</v>
      </c>
      <c r="K4135" s="3">
        <f t="shared" si="147"/>
        <v>0</v>
      </c>
      <c r="L4135" s="3"/>
      <c r="M4135" s="3">
        <f t="shared" si="148"/>
        <v>0</v>
      </c>
      <c r="O4135" s="5"/>
      <c r="S4135" s="6"/>
    </row>
    <row r="4136" spans="1:19" customFormat="1" x14ac:dyDescent="0.45">
      <c r="A4136">
        <v>752005</v>
      </c>
      <c r="B4136" t="s">
        <v>24055</v>
      </c>
      <c r="C4136" t="s">
        <v>24056</v>
      </c>
      <c r="D4136">
        <v>9</v>
      </c>
      <c r="F4136" s="126"/>
      <c r="G4136" s="3">
        <v>0</v>
      </c>
      <c r="H4136" s="3">
        <v>0</v>
      </c>
      <c r="I4136" s="3">
        <v>0</v>
      </c>
      <c r="J4136" s="3">
        <v>0</v>
      </c>
      <c r="K4136" s="3">
        <f t="shared" si="147"/>
        <v>0</v>
      </c>
      <c r="L4136" s="3"/>
      <c r="M4136" s="3">
        <f t="shared" si="148"/>
        <v>0</v>
      </c>
      <c r="O4136" s="5"/>
      <c r="S4136" s="6"/>
    </row>
    <row r="4137" spans="1:19" customFormat="1" x14ac:dyDescent="0.45">
      <c r="A4137">
        <v>752191</v>
      </c>
      <c r="B4137" t="s">
        <v>24057</v>
      </c>
      <c r="C4137" t="s">
        <v>24058</v>
      </c>
      <c r="D4137">
        <v>1</v>
      </c>
      <c r="F4137" s="126"/>
      <c r="G4137" s="3">
        <v>0</v>
      </c>
      <c r="H4137" s="3">
        <v>0</v>
      </c>
      <c r="I4137" s="3">
        <v>0</v>
      </c>
      <c r="J4137" s="3">
        <v>0</v>
      </c>
      <c r="K4137" s="3">
        <f t="shared" si="147"/>
        <v>0</v>
      </c>
      <c r="L4137" s="3"/>
      <c r="M4137" s="3">
        <f t="shared" si="148"/>
        <v>0</v>
      </c>
      <c r="O4137" s="5"/>
      <c r="S4137" s="6"/>
    </row>
    <row r="4138" spans="1:19" customFormat="1" x14ac:dyDescent="0.45">
      <c r="A4138">
        <v>752596</v>
      </c>
      <c r="B4138" t="s">
        <v>24059</v>
      </c>
      <c r="C4138" t="s">
        <v>24060</v>
      </c>
      <c r="D4138">
        <v>1</v>
      </c>
      <c r="F4138" s="126"/>
      <c r="G4138" s="7">
        <v>0</v>
      </c>
      <c r="H4138" s="7">
        <v>0</v>
      </c>
      <c r="I4138" s="7">
        <v>0</v>
      </c>
      <c r="J4138" s="7">
        <v>0</v>
      </c>
      <c r="K4138" s="3">
        <f t="shared" si="147"/>
        <v>0</v>
      </c>
      <c r="L4138" s="3"/>
      <c r="M4138" s="3">
        <f t="shared" si="148"/>
        <v>0</v>
      </c>
      <c r="O4138" s="5"/>
      <c r="S4138" s="6"/>
    </row>
    <row r="4139" spans="1:19" customFormat="1" x14ac:dyDescent="0.45">
      <c r="A4139">
        <v>752684</v>
      </c>
      <c r="B4139" t="s">
        <v>24061</v>
      </c>
      <c r="C4139" t="s">
        <v>24062</v>
      </c>
      <c r="D4139">
        <v>5</v>
      </c>
      <c r="F4139" s="126"/>
      <c r="G4139" s="3">
        <v>0</v>
      </c>
      <c r="H4139" s="3">
        <v>0</v>
      </c>
      <c r="I4139" s="3">
        <v>0</v>
      </c>
      <c r="J4139" s="3">
        <v>0</v>
      </c>
      <c r="K4139" s="3">
        <f t="shared" si="147"/>
        <v>0</v>
      </c>
      <c r="L4139" s="3"/>
      <c r="M4139" s="3">
        <f t="shared" si="148"/>
        <v>0</v>
      </c>
      <c r="O4139" s="5"/>
      <c r="S4139" s="6"/>
    </row>
    <row r="4140" spans="1:19" customFormat="1" x14ac:dyDescent="0.45">
      <c r="A4140">
        <v>753074</v>
      </c>
      <c r="B4140" t="s">
        <v>24063</v>
      </c>
      <c r="C4140" t="s">
        <v>16331</v>
      </c>
      <c r="D4140">
        <v>1</v>
      </c>
      <c r="E4140" t="s">
        <v>16331</v>
      </c>
      <c r="F4140" s="126"/>
      <c r="G4140" s="7">
        <v>0</v>
      </c>
      <c r="H4140" s="7">
        <v>0</v>
      </c>
      <c r="I4140" s="7">
        <v>0</v>
      </c>
      <c r="J4140" s="7">
        <v>0</v>
      </c>
      <c r="K4140" s="3">
        <f t="shared" si="147"/>
        <v>0</v>
      </c>
      <c r="L4140" s="3"/>
      <c r="M4140" s="3">
        <f t="shared" si="148"/>
        <v>0</v>
      </c>
      <c r="O4140" s="5"/>
      <c r="S4140" s="6"/>
    </row>
    <row r="4141" spans="1:19" customFormat="1" x14ac:dyDescent="0.45">
      <c r="A4141">
        <v>753489</v>
      </c>
      <c r="B4141" t="s">
        <v>24064</v>
      </c>
      <c r="C4141" t="s">
        <v>24065</v>
      </c>
      <c r="D4141">
        <v>4</v>
      </c>
      <c r="F4141" s="126"/>
      <c r="K4141" s="3">
        <f t="shared" si="147"/>
        <v>0</v>
      </c>
      <c r="L4141" s="3"/>
      <c r="M4141" s="3">
        <f t="shared" si="148"/>
        <v>0</v>
      </c>
      <c r="O4141" s="5"/>
      <c r="S4141" s="6"/>
    </row>
    <row r="4142" spans="1:19" customFormat="1" x14ac:dyDescent="0.45">
      <c r="A4142">
        <v>753701</v>
      </c>
      <c r="B4142" t="s">
        <v>24066</v>
      </c>
      <c r="C4142" t="s">
        <v>24067</v>
      </c>
      <c r="D4142">
        <v>1</v>
      </c>
      <c r="F4142" s="126"/>
      <c r="G4142" s="3"/>
      <c r="H4142" s="3"/>
      <c r="I4142" s="3"/>
      <c r="J4142" s="3"/>
      <c r="K4142" s="3">
        <f t="shared" si="147"/>
        <v>0</v>
      </c>
      <c r="L4142" s="3"/>
      <c r="M4142" s="3">
        <f t="shared" si="148"/>
        <v>0</v>
      </c>
      <c r="O4142" s="5"/>
      <c r="S4142" s="6"/>
    </row>
    <row r="4143" spans="1:19" customFormat="1" x14ac:dyDescent="0.45">
      <c r="A4143">
        <v>753915</v>
      </c>
      <c r="B4143" t="s">
        <v>24068</v>
      </c>
      <c r="C4143" s="2" t="s">
        <v>24069</v>
      </c>
      <c r="D4143">
        <v>1</v>
      </c>
      <c r="F4143" s="126"/>
      <c r="G4143" s="3">
        <v>0</v>
      </c>
      <c r="H4143" s="3">
        <v>0</v>
      </c>
      <c r="I4143" s="3">
        <v>0</v>
      </c>
      <c r="J4143" s="3">
        <v>0</v>
      </c>
      <c r="K4143" s="3">
        <f t="shared" si="147"/>
        <v>0</v>
      </c>
      <c r="L4143" s="3"/>
      <c r="M4143" s="3">
        <f t="shared" si="148"/>
        <v>0</v>
      </c>
      <c r="O4143" s="5"/>
      <c r="S4143" s="6"/>
    </row>
    <row r="4144" spans="1:19" customFormat="1" x14ac:dyDescent="0.45">
      <c r="A4144">
        <v>753975</v>
      </c>
      <c r="B4144" t="s">
        <v>24070</v>
      </c>
      <c r="C4144" t="s">
        <v>24071</v>
      </c>
      <c r="D4144">
        <v>2</v>
      </c>
      <c r="F4144" s="126"/>
      <c r="G4144" s="3"/>
      <c r="H4144" s="3"/>
      <c r="I4144" s="3"/>
      <c r="J4144" s="3"/>
      <c r="K4144" s="3">
        <f t="shared" si="147"/>
        <v>0</v>
      </c>
      <c r="L4144" s="3"/>
      <c r="M4144" s="3">
        <f t="shared" si="148"/>
        <v>0</v>
      </c>
      <c r="O4144" s="5"/>
      <c r="S4144" s="6"/>
    </row>
    <row r="4145" spans="1:22" customFormat="1" x14ac:dyDescent="0.45">
      <c r="A4145">
        <v>754112</v>
      </c>
      <c r="B4145" t="s">
        <v>24072</v>
      </c>
      <c r="C4145" t="s">
        <v>16331</v>
      </c>
      <c r="D4145">
        <v>1</v>
      </c>
      <c r="E4145" t="s">
        <v>16331</v>
      </c>
      <c r="F4145" s="126"/>
      <c r="G4145" s="7">
        <v>0</v>
      </c>
      <c r="H4145" s="7">
        <v>0</v>
      </c>
      <c r="I4145" s="7">
        <v>0</v>
      </c>
      <c r="J4145" s="7">
        <v>0</v>
      </c>
      <c r="K4145" s="3">
        <f t="shared" ref="K4145:K4150" si="149">SUM(G4145:J4145)</f>
        <v>0</v>
      </c>
      <c r="L4145" s="3"/>
      <c r="M4145" s="3">
        <f t="shared" ref="M4145:M4150" si="150">K4145+F4145</f>
        <v>0</v>
      </c>
      <c r="O4145" s="5"/>
      <c r="S4145" s="6"/>
    </row>
    <row r="4146" spans="1:22" customFormat="1" x14ac:dyDescent="0.45">
      <c r="A4146">
        <v>754511</v>
      </c>
      <c r="B4146" t="s">
        <v>24073</v>
      </c>
      <c r="C4146" t="s">
        <v>24074</v>
      </c>
      <c r="D4146">
        <v>3</v>
      </c>
      <c r="F4146" s="126"/>
      <c r="G4146" s="3">
        <v>0</v>
      </c>
      <c r="H4146" s="3">
        <v>0</v>
      </c>
      <c r="I4146" s="3">
        <v>0</v>
      </c>
      <c r="J4146" s="3">
        <v>0</v>
      </c>
      <c r="K4146" s="3">
        <f t="shared" si="149"/>
        <v>0</v>
      </c>
      <c r="L4146" s="3"/>
      <c r="M4146" s="3">
        <f t="shared" si="150"/>
        <v>0</v>
      </c>
      <c r="O4146" s="5"/>
      <c r="S4146" s="6"/>
    </row>
    <row r="4147" spans="1:22" customFormat="1" x14ac:dyDescent="0.45">
      <c r="A4147">
        <v>754546</v>
      </c>
      <c r="B4147" t="s">
        <v>24075</v>
      </c>
      <c r="C4147" t="s">
        <v>16331</v>
      </c>
      <c r="D4147">
        <v>3</v>
      </c>
      <c r="E4147" t="s">
        <v>16331</v>
      </c>
      <c r="F4147" s="126"/>
      <c r="G4147" s="7">
        <v>0</v>
      </c>
      <c r="H4147" s="7">
        <v>0</v>
      </c>
      <c r="I4147" s="7">
        <v>0</v>
      </c>
      <c r="J4147" s="7">
        <v>0</v>
      </c>
      <c r="K4147" s="3">
        <f t="shared" si="149"/>
        <v>0</v>
      </c>
      <c r="L4147" s="3"/>
      <c r="M4147" s="3">
        <f t="shared" si="150"/>
        <v>0</v>
      </c>
      <c r="O4147" s="5"/>
      <c r="S4147" s="6"/>
    </row>
    <row r="4148" spans="1:22" customFormat="1" x14ac:dyDescent="0.45">
      <c r="A4148">
        <v>754580</v>
      </c>
      <c r="B4148" t="s">
        <v>24076</v>
      </c>
      <c r="C4148" t="s">
        <v>16331</v>
      </c>
      <c r="D4148">
        <v>15</v>
      </c>
      <c r="E4148" t="s">
        <v>16331</v>
      </c>
      <c r="F4148" s="126"/>
      <c r="G4148" s="7">
        <v>0</v>
      </c>
      <c r="H4148" s="7">
        <v>0</v>
      </c>
      <c r="I4148" s="7">
        <v>0</v>
      </c>
      <c r="J4148" s="7">
        <v>0</v>
      </c>
      <c r="K4148" s="3">
        <f t="shared" si="149"/>
        <v>0</v>
      </c>
      <c r="L4148" s="3"/>
      <c r="M4148" s="3">
        <f t="shared" si="150"/>
        <v>0</v>
      </c>
      <c r="O4148" s="5"/>
      <c r="S4148" s="6"/>
    </row>
    <row r="4149" spans="1:22" customFormat="1" x14ac:dyDescent="0.45">
      <c r="A4149">
        <v>754665</v>
      </c>
      <c r="B4149" t="s">
        <v>24077</v>
      </c>
      <c r="C4149" t="s">
        <v>24078</v>
      </c>
      <c r="D4149">
        <v>6</v>
      </c>
      <c r="F4149" s="126"/>
      <c r="G4149" s="3"/>
      <c r="H4149" s="3"/>
      <c r="I4149" s="3"/>
      <c r="J4149" s="3"/>
      <c r="K4149" s="3">
        <f t="shared" si="149"/>
        <v>0</v>
      </c>
      <c r="L4149" s="3"/>
      <c r="M4149" s="3">
        <f t="shared" si="150"/>
        <v>0</v>
      </c>
      <c r="O4149" s="5"/>
      <c r="S4149" s="6"/>
    </row>
    <row r="4150" spans="1:22" customFormat="1" x14ac:dyDescent="0.45">
      <c r="A4150">
        <v>754841</v>
      </c>
      <c r="B4150" t="s">
        <v>24079</v>
      </c>
      <c r="C4150" t="s">
        <v>24080</v>
      </c>
      <c r="D4150">
        <v>1</v>
      </c>
      <c r="F4150" s="126"/>
      <c r="G4150" s="3">
        <v>0</v>
      </c>
      <c r="H4150" s="3">
        <v>0</v>
      </c>
      <c r="I4150" s="3">
        <v>0</v>
      </c>
      <c r="J4150" s="3">
        <v>0</v>
      </c>
      <c r="K4150" s="3">
        <f t="shared" si="149"/>
        <v>0</v>
      </c>
      <c r="L4150" s="3"/>
      <c r="M4150" s="3">
        <f t="shared" si="150"/>
        <v>0</v>
      </c>
      <c r="O4150" s="5"/>
      <c r="S4150" s="6"/>
    </row>
    <row r="4151" spans="1:22" s="28" customFormat="1" x14ac:dyDescent="0.45">
      <c r="A4151" s="28">
        <v>456653</v>
      </c>
      <c r="B4151" s="28" t="s">
        <v>24081</v>
      </c>
      <c r="C4151" s="28" t="s">
        <v>24082</v>
      </c>
      <c r="D4151" s="28">
        <v>2</v>
      </c>
      <c r="E4151" s="28" t="s">
        <v>16334</v>
      </c>
      <c r="F4151" s="126"/>
      <c r="G4151" s="30"/>
      <c r="H4151" s="30"/>
      <c r="I4151" s="31"/>
      <c r="J4151" s="31"/>
      <c r="K4151" s="30"/>
      <c r="L4151" s="30"/>
      <c r="M4151" s="30"/>
      <c r="O4151" s="55" t="s">
        <v>24083</v>
      </c>
      <c r="Q4151" s="28">
        <f>129978+18921</f>
        <v>148899</v>
      </c>
      <c r="R4151" s="28" t="s">
        <v>16348</v>
      </c>
      <c r="S4151" s="56">
        <v>-51034</v>
      </c>
      <c r="T4151" s="32">
        <f>S4151/Q4151</f>
        <v>-0.34274239585222199</v>
      </c>
      <c r="V4151" s="29" t="s">
        <v>24084</v>
      </c>
    </row>
    <row r="4152" spans="1:22" customFormat="1" x14ac:dyDescent="0.45">
      <c r="A4152">
        <v>755303</v>
      </c>
      <c r="B4152" t="s">
        <v>24085</v>
      </c>
      <c r="C4152" t="s">
        <v>24086</v>
      </c>
      <c r="D4152">
        <v>1</v>
      </c>
      <c r="F4152" s="126"/>
      <c r="G4152" s="7">
        <v>0</v>
      </c>
      <c r="H4152" s="7">
        <v>0</v>
      </c>
      <c r="I4152" s="7">
        <v>0</v>
      </c>
      <c r="J4152" s="7">
        <v>0</v>
      </c>
      <c r="K4152" s="3">
        <f t="shared" ref="K4152:K4199" si="151">SUM(G4152:J4152)</f>
        <v>0</v>
      </c>
      <c r="L4152" s="3"/>
      <c r="M4152" s="3">
        <f t="shared" ref="M4152:M4199" si="152">K4152+F4152</f>
        <v>0</v>
      </c>
      <c r="O4152" s="5"/>
      <c r="S4152" s="6"/>
    </row>
    <row r="4153" spans="1:22" customFormat="1" x14ac:dyDescent="0.45">
      <c r="A4153">
        <v>755327</v>
      </c>
      <c r="B4153" t="s">
        <v>24087</v>
      </c>
      <c r="C4153" t="s">
        <v>16331</v>
      </c>
      <c r="D4153">
        <v>1</v>
      </c>
      <c r="E4153" t="s">
        <v>16331</v>
      </c>
      <c r="F4153" s="126"/>
      <c r="G4153" s="7">
        <v>0</v>
      </c>
      <c r="H4153" s="7">
        <v>0</v>
      </c>
      <c r="I4153" s="7">
        <v>0</v>
      </c>
      <c r="J4153" s="7">
        <v>0</v>
      </c>
      <c r="K4153" s="3">
        <f t="shared" si="151"/>
        <v>0</v>
      </c>
      <c r="L4153" s="3"/>
      <c r="M4153" s="3">
        <f t="shared" si="152"/>
        <v>0</v>
      </c>
      <c r="O4153" s="5"/>
      <c r="S4153" s="6"/>
    </row>
    <row r="4154" spans="1:22" customFormat="1" x14ac:dyDescent="0.45">
      <c r="A4154">
        <v>755733</v>
      </c>
      <c r="B4154" t="s">
        <v>24088</v>
      </c>
      <c r="C4154" t="s">
        <v>24089</v>
      </c>
      <c r="D4154">
        <v>1</v>
      </c>
      <c r="F4154" s="126"/>
      <c r="K4154" s="3">
        <f t="shared" si="151"/>
        <v>0</v>
      </c>
      <c r="L4154" s="3"/>
      <c r="M4154" s="3">
        <f t="shared" si="152"/>
        <v>0</v>
      </c>
      <c r="O4154" s="5"/>
      <c r="S4154" s="6"/>
    </row>
    <row r="4155" spans="1:22" customFormat="1" x14ac:dyDescent="0.45">
      <c r="A4155">
        <v>756100</v>
      </c>
      <c r="B4155" t="s">
        <v>24090</v>
      </c>
      <c r="C4155" t="s">
        <v>24091</v>
      </c>
      <c r="D4155">
        <v>3</v>
      </c>
      <c r="F4155" s="126"/>
      <c r="G4155" s="3"/>
      <c r="H4155" s="3"/>
      <c r="I4155" s="3"/>
      <c r="J4155" s="3"/>
      <c r="K4155" s="3">
        <f t="shared" si="151"/>
        <v>0</v>
      </c>
      <c r="L4155" s="3"/>
      <c r="M4155" s="3">
        <f t="shared" si="152"/>
        <v>0</v>
      </c>
      <c r="O4155" s="5"/>
      <c r="S4155" s="6"/>
    </row>
    <row r="4156" spans="1:22" customFormat="1" x14ac:dyDescent="0.45">
      <c r="A4156">
        <v>756172</v>
      </c>
      <c r="B4156" t="s">
        <v>24092</v>
      </c>
      <c r="C4156" t="s">
        <v>24093</v>
      </c>
      <c r="D4156">
        <v>2</v>
      </c>
      <c r="F4156" s="126"/>
      <c r="G4156" s="3"/>
      <c r="H4156" s="3"/>
      <c r="I4156" s="3"/>
      <c r="J4156" s="3"/>
      <c r="K4156" s="3">
        <f t="shared" si="151"/>
        <v>0</v>
      </c>
      <c r="L4156" s="3"/>
      <c r="M4156" s="3">
        <f t="shared" si="152"/>
        <v>0</v>
      </c>
      <c r="O4156" s="5"/>
      <c r="S4156" s="6"/>
    </row>
    <row r="4157" spans="1:22" customFormat="1" x14ac:dyDescent="0.45">
      <c r="A4157">
        <v>756248</v>
      </c>
      <c r="B4157" t="s">
        <v>24094</v>
      </c>
      <c r="C4157" t="s">
        <v>24095</v>
      </c>
      <c r="D4157">
        <v>3</v>
      </c>
      <c r="F4157" s="126"/>
      <c r="G4157" s="3">
        <v>0</v>
      </c>
      <c r="H4157" s="3">
        <v>0</v>
      </c>
      <c r="I4157" s="3">
        <v>0</v>
      </c>
      <c r="J4157" s="3">
        <v>0</v>
      </c>
      <c r="K4157" s="3">
        <f t="shared" si="151"/>
        <v>0</v>
      </c>
      <c r="L4157" s="3"/>
      <c r="M4157" s="3">
        <f t="shared" si="152"/>
        <v>0</v>
      </c>
      <c r="O4157" s="5"/>
      <c r="S4157" s="6"/>
    </row>
    <row r="4158" spans="1:22" customFormat="1" x14ac:dyDescent="0.45">
      <c r="A4158">
        <v>756253</v>
      </c>
      <c r="B4158" t="s">
        <v>24096</v>
      </c>
      <c r="C4158" t="s">
        <v>16331</v>
      </c>
      <c r="D4158">
        <v>1</v>
      </c>
      <c r="E4158" t="s">
        <v>16331</v>
      </c>
      <c r="F4158" s="126"/>
      <c r="K4158" s="3">
        <f t="shared" si="151"/>
        <v>0</v>
      </c>
      <c r="L4158" s="3"/>
      <c r="M4158" s="3">
        <f t="shared" si="152"/>
        <v>0</v>
      </c>
      <c r="O4158" s="5"/>
      <c r="S4158" s="6"/>
    </row>
    <row r="4159" spans="1:22" customFormat="1" x14ac:dyDescent="0.45">
      <c r="A4159">
        <v>756411</v>
      </c>
      <c r="B4159" t="s">
        <v>24097</v>
      </c>
      <c r="C4159" t="s">
        <v>24098</v>
      </c>
      <c r="D4159">
        <v>8</v>
      </c>
      <c r="F4159" s="126"/>
      <c r="G4159" s="7">
        <v>0</v>
      </c>
      <c r="H4159" s="7">
        <v>0</v>
      </c>
      <c r="I4159" s="7">
        <v>0</v>
      </c>
      <c r="J4159" s="7">
        <v>0</v>
      </c>
      <c r="K4159" s="3">
        <f t="shared" si="151"/>
        <v>0</v>
      </c>
      <c r="L4159" s="3"/>
      <c r="M4159" s="3">
        <f t="shared" si="152"/>
        <v>0</v>
      </c>
      <c r="N4159" s="7"/>
      <c r="O4159" s="5"/>
      <c r="S4159" s="6"/>
    </row>
    <row r="4160" spans="1:22" customFormat="1" x14ac:dyDescent="0.45">
      <c r="A4160">
        <v>756596</v>
      </c>
      <c r="B4160" t="s">
        <v>24099</v>
      </c>
      <c r="C4160" t="s">
        <v>24100</v>
      </c>
      <c r="D4160">
        <v>2</v>
      </c>
      <c r="F4160" s="126"/>
      <c r="G4160" s="3">
        <v>0</v>
      </c>
      <c r="H4160" s="3">
        <v>0</v>
      </c>
      <c r="I4160" s="3">
        <v>0</v>
      </c>
      <c r="J4160" s="3">
        <v>0</v>
      </c>
      <c r="K4160" s="3">
        <f t="shared" si="151"/>
        <v>0</v>
      </c>
      <c r="L4160" s="3"/>
      <c r="M4160" s="3">
        <f t="shared" si="152"/>
        <v>0</v>
      </c>
      <c r="O4160" s="5"/>
      <c r="S4160" s="6"/>
    </row>
    <row r="4161" spans="1:19" customFormat="1" x14ac:dyDescent="0.45">
      <c r="A4161">
        <v>756672</v>
      </c>
      <c r="B4161" t="s">
        <v>24101</v>
      </c>
      <c r="C4161" t="s">
        <v>16331</v>
      </c>
      <c r="D4161">
        <v>1</v>
      </c>
      <c r="E4161" t="s">
        <v>16331</v>
      </c>
      <c r="F4161" s="126"/>
      <c r="G4161" s="7">
        <v>0</v>
      </c>
      <c r="H4161" s="7">
        <v>0</v>
      </c>
      <c r="I4161" s="7">
        <v>0</v>
      </c>
      <c r="J4161" s="7">
        <v>0</v>
      </c>
      <c r="K4161" s="3">
        <f t="shared" si="151"/>
        <v>0</v>
      </c>
      <c r="L4161" s="3"/>
      <c r="M4161" s="3">
        <f t="shared" si="152"/>
        <v>0</v>
      </c>
      <c r="O4161" s="5"/>
      <c r="S4161" s="6"/>
    </row>
    <row r="4162" spans="1:19" customFormat="1" x14ac:dyDescent="0.45">
      <c r="A4162">
        <v>757039</v>
      </c>
      <c r="B4162" t="s">
        <v>24102</v>
      </c>
      <c r="C4162" t="s">
        <v>16331</v>
      </c>
      <c r="D4162">
        <v>1</v>
      </c>
      <c r="E4162" t="s">
        <v>16331</v>
      </c>
      <c r="F4162" s="126"/>
      <c r="G4162" s="7">
        <v>0</v>
      </c>
      <c r="H4162" s="7">
        <v>0</v>
      </c>
      <c r="I4162" s="7">
        <v>0</v>
      </c>
      <c r="J4162" s="7">
        <v>0</v>
      </c>
      <c r="K4162" s="3">
        <f t="shared" si="151"/>
        <v>0</v>
      </c>
      <c r="L4162" s="3"/>
      <c r="M4162" s="3">
        <f t="shared" si="152"/>
        <v>0</v>
      </c>
      <c r="O4162" s="5"/>
      <c r="S4162" s="6"/>
    </row>
    <row r="4163" spans="1:19" customFormat="1" x14ac:dyDescent="0.45">
      <c r="A4163">
        <v>757113</v>
      </c>
      <c r="B4163" t="s">
        <v>24103</v>
      </c>
      <c r="C4163" t="s">
        <v>24104</v>
      </c>
      <c r="D4163">
        <v>1</v>
      </c>
      <c r="F4163" s="126"/>
      <c r="G4163" s="3">
        <v>0</v>
      </c>
      <c r="H4163" s="3">
        <v>0</v>
      </c>
      <c r="I4163" s="3">
        <v>0</v>
      </c>
      <c r="J4163" s="3">
        <v>0</v>
      </c>
      <c r="K4163" s="3">
        <f t="shared" si="151"/>
        <v>0</v>
      </c>
      <c r="L4163" s="3"/>
      <c r="M4163" s="3">
        <f t="shared" si="152"/>
        <v>0</v>
      </c>
      <c r="O4163" s="5"/>
      <c r="S4163" s="6"/>
    </row>
    <row r="4164" spans="1:19" customFormat="1" x14ac:dyDescent="0.45">
      <c r="A4164">
        <v>757722</v>
      </c>
      <c r="B4164" t="s">
        <v>24105</v>
      </c>
      <c r="C4164" t="s">
        <v>24106</v>
      </c>
      <c r="D4164">
        <v>4</v>
      </c>
      <c r="F4164" s="126"/>
      <c r="G4164" s="3"/>
      <c r="H4164" s="3"/>
      <c r="I4164" s="3"/>
      <c r="J4164" s="3"/>
      <c r="K4164" s="3">
        <f t="shared" si="151"/>
        <v>0</v>
      </c>
      <c r="L4164" s="3"/>
      <c r="M4164" s="3">
        <f t="shared" si="152"/>
        <v>0</v>
      </c>
      <c r="O4164" s="5"/>
      <c r="S4164" s="6"/>
    </row>
    <row r="4165" spans="1:19" customFormat="1" x14ac:dyDescent="0.45">
      <c r="A4165">
        <v>757727</v>
      </c>
      <c r="B4165" t="s">
        <v>24107</v>
      </c>
      <c r="C4165" t="s">
        <v>24108</v>
      </c>
      <c r="D4165">
        <v>17</v>
      </c>
      <c r="F4165" s="126"/>
      <c r="G4165" s="7">
        <v>0</v>
      </c>
      <c r="H4165" s="7">
        <v>0</v>
      </c>
      <c r="I4165" s="7">
        <v>0</v>
      </c>
      <c r="J4165" s="7">
        <v>0</v>
      </c>
      <c r="K4165" s="3">
        <f t="shared" si="151"/>
        <v>0</v>
      </c>
      <c r="L4165" s="3"/>
      <c r="M4165" s="3">
        <f t="shared" si="152"/>
        <v>0</v>
      </c>
      <c r="N4165" s="7"/>
      <c r="O4165" s="5"/>
      <c r="S4165" s="6"/>
    </row>
    <row r="4166" spans="1:19" customFormat="1" x14ac:dyDescent="0.45">
      <c r="A4166">
        <v>757816</v>
      </c>
      <c r="B4166" t="s">
        <v>24109</v>
      </c>
      <c r="C4166" t="s">
        <v>24110</v>
      </c>
      <c r="D4166">
        <v>2</v>
      </c>
      <c r="F4166" s="126"/>
      <c r="G4166" s="3">
        <v>0</v>
      </c>
      <c r="H4166" s="3">
        <v>0</v>
      </c>
      <c r="I4166" s="3">
        <v>0</v>
      </c>
      <c r="J4166" s="3">
        <v>0</v>
      </c>
      <c r="K4166" s="3">
        <f t="shared" si="151"/>
        <v>0</v>
      </c>
      <c r="L4166" s="3"/>
      <c r="M4166" s="3">
        <f t="shared" si="152"/>
        <v>0</v>
      </c>
      <c r="O4166" s="5"/>
      <c r="S4166" s="6"/>
    </row>
    <row r="4167" spans="1:19" customFormat="1" x14ac:dyDescent="0.45">
      <c r="A4167">
        <v>757953</v>
      </c>
      <c r="B4167" t="s">
        <v>24111</v>
      </c>
      <c r="C4167" t="s">
        <v>24112</v>
      </c>
      <c r="D4167">
        <v>2</v>
      </c>
      <c r="F4167" s="126"/>
      <c r="G4167" s="3">
        <v>0</v>
      </c>
      <c r="H4167" s="3">
        <v>0</v>
      </c>
      <c r="I4167" s="3">
        <v>0</v>
      </c>
      <c r="J4167" s="3">
        <v>0</v>
      </c>
      <c r="K4167" s="3">
        <f t="shared" si="151"/>
        <v>0</v>
      </c>
      <c r="L4167" s="3"/>
      <c r="M4167" s="3">
        <f t="shared" si="152"/>
        <v>0</v>
      </c>
      <c r="O4167" s="5"/>
      <c r="S4167" s="6"/>
    </row>
    <row r="4168" spans="1:19" customFormat="1" x14ac:dyDescent="0.45">
      <c r="A4168">
        <v>757991</v>
      </c>
      <c r="B4168" t="s">
        <v>24113</v>
      </c>
      <c r="C4168" t="s">
        <v>24114</v>
      </c>
      <c r="D4168">
        <v>7</v>
      </c>
      <c r="F4168" s="126"/>
      <c r="G4168" s="7">
        <v>0</v>
      </c>
      <c r="H4168" s="7">
        <v>0</v>
      </c>
      <c r="I4168" s="7">
        <v>0</v>
      </c>
      <c r="J4168" s="7">
        <v>0</v>
      </c>
      <c r="K4168" s="3">
        <f t="shared" si="151"/>
        <v>0</v>
      </c>
      <c r="L4168" s="3"/>
      <c r="M4168" s="3">
        <f t="shared" si="152"/>
        <v>0</v>
      </c>
      <c r="O4168" s="5"/>
      <c r="S4168" s="6"/>
    </row>
    <row r="4169" spans="1:19" customFormat="1" x14ac:dyDescent="0.45">
      <c r="A4169">
        <v>758218</v>
      </c>
      <c r="B4169" t="s">
        <v>24115</v>
      </c>
      <c r="C4169" t="s">
        <v>24116</v>
      </c>
      <c r="D4169">
        <v>1</v>
      </c>
      <c r="F4169" s="126"/>
      <c r="G4169" s="3">
        <v>0</v>
      </c>
      <c r="H4169" s="3">
        <v>0</v>
      </c>
      <c r="I4169" s="3">
        <v>0</v>
      </c>
      <c r="J4169" s="3">
        <v>0</v>
      </c>
      <c r="K4169" s="3">
        <f t="shared" si="151"/>
        <v>0</v>
      </c>
      <c r="L4169" s="3"/>
      <c r="M4169" s="3">
        <f t="shared" si="152"/>
        <v>0</v>
      </c>
      <c r="O4169" s="5"/>
      <c r="S4169" s="6"/>
    </row>
    <row r="4170" spans="1:19" customFormat="1" x14ac:dyDescent="0.45">
      <c r="A4170">
        <v>758444</v>
      </c>
      <c r="B4170" t="s">
        <v>24117</v>
      </c>
      <c r="C4170" s="2" t="s">
        <v>24118</v>
      </c>
      <c r="D4170">
        <v>3</v>
      </c>
      <c r="F4170" s="126"/>
      <c r="G4170" s="3">
        <v>0</v>
      </c>
      <c r="H4170" s="3">
        <v>0</v>
      </c>
      <c r="I4170" s="3">
        <v>0</v>
      </c>
      <c r="J4170" s="3">
        <v>0</v>
      </c>
      <c r="K4170" s="3">
        <f t="shared" si="151"/>
        <v>0</v>
      </c>
      <c r="L4170" s="3"/>
      <c r="M4170" s="3">
        <f t="shared" si="152"/>
        <v>0</v>
      </c>
      <c r="O4170" s="5"/>
      <c r="S4170" s="6"/>
    </row>
    <row r="4171" spans="1:19" customFormat="1" x14ac:dyDescent="0.45">
      <c r="A4171">
        <v>758548</v>
      </c>
      <c r="B4171" t="s">
        <v>24119</v>
      </c>
      <c r="C4171" t="s">
        <v>16331</v>
      </c>
      <c r="D4171">
        <v>1</v>
      </c>
      <c r="E4171" t="s">
        <v>16331</v>
      </c>
      <c r="F4171" s="126"/>
      <c r="G4171" s="7">
        <v>0</v>
      </c>
      <c r="H4171" s="7">
        <v>0</v>
      </c>
      <c r="I4171" s="7">
        <v>0</v>
      </c>
      <c r="J4171" s="7">
        <v>0</v>
      </c>
      <c r="K4171" s="3">
        <f t="shared" si="151"/>
        <v>0</v>
      </c>
      <c r="L4171" s="3"/>
      <c r="M4171" s="3">
        <f t="shared" si="152"/>
        <v>0</v>
      </c>
      <c r="O4171" s="5"/>
      <c r="S4171" s="6"/>
    </row>
    <row r="4172" spans="1:19" customFormat="1" x14ac:dyDescent="0.45">
      <c r="A4172">
        <v>758751</v>
      </c>
      <c r="B4172" t="s">
        <v>24120</v>
      </c>
      <c r="C4172" t="s">
        <v>24121</v>
      </c>
      <c r="D4172">
        <v>2</v>
      </c>
      <c r="F4172" s="126"/>
      <c r="G4172" s="3">
        <v>0</v>
      </c>
      <c r="H4172" s="3">
        <v>0</v>
      </c>
      <c r="I4172" s="3">
        <v>0</v>
      </c>
      <c r="J4172" s="3">
        <v>0</v>
      </c>
      <c r="K4172" s="3">
        <f t="shared" si="151"/>
        <v>0</v>
      </c>
      <c r="L4172" s="3"/>
      <c r="M4172" s="3">
        <f t="shared" si="152"/>
        <v>0</v>
      </c>
      <c r="O4172" s="5"/>
      <c r="S4172" s="6"/>
    </row>
    <row r="4173" spans="1:19" customFormat="1" x14ac:dyDescent="0.45">
      <c r="A4173">
        <v>758771</v>
      </c>
      <c r="B4173" t="s">
        <v>24122</v>
      </c>
      <c r="C4173" t="s">
        <v>24123</v>
      </c>
      <c r="D4173">
        <v>2</v>
      </c>
      <c r="F4173" s="126"/>
      <c r="G4173" s="7">
        <v>0</v>
      </c>
      <c r="H4173" s="7">
        <v>0</v>
      </c>
      <c r="I4173" s="7">
        <v>0</v>
      </c>
      <c r="J4173" s="7">
        <v>0</v>
      </c>
      <c r="K4173" s="3">
        <f t="shared" si="151"/>
        <v>0</v>
      </c>
      <c r="L4173" s="3"/>
      <c r="M4173" s="3">
        <f t="shared" si="152"/>
        <v>0</v>
      </c>
      <c r="O4173" s="5"/>
      <c r="S4173" s="6"/>
    </row>
    <row r="4174" spans="1:19" customFormat="1" x14ac:dyDescent="0.45">
      <c r="A4174">
        <v>758811</v>
      </c>
      <c r="B4174" t="s">
        <v>24124</v>
      </c>
      <c r="C4174" t="s">
        <v>16331</v>
      </c>
      <c r="D4174">
        <v>1</v>
      </c>
      <c r="E4174" t="s">
        <v>16331</v>
      </c>
      <c r="F4174" s="126"/>
      <c r="G4174" s="7">
        <v>0</v>
      </c>
      <c r="H4174" s="7">
        <v>0</v>
      </c>
      <c r="I4174" s="7">
        <v>0</v>
      </c>
      <c r="J4174" s="7">
        <v>0</v>
      </c>
      <c r="K4174" s="3">
        <f t="shared" si="151"/>
        <v>0</v>
      </c>
      <c r="L4174" s="3"/>
      <c r="M4174" s="3">
        <f t="shared" si="152"/>
        <v>0</v>
      </c>
      <c r="O4174" s="5"/>
      <c r="S4174" s="6"/>
    </row>
    <row r="4175" spans="1:19" customFormat="1" x14ac:dyDescent="0.45">
      <c r="A4175">
        <v>758941</v>
      </c>
      <c r="B4175" t="s">
        <v>24125</v>
      </c>
      <c r="C4175" t="s">
        <v>16331</v>
      </c>
      <c r="D4175">
        <v>2</v>
      </c>
      <c r="E4175" t="s">
        <v>16331</v>
      </c>
      <c r="F4175" s="126"/>
      <c r="G4175" s="7">
        <v>0</v>
      </c>
      <c r="H4175" s="7">
        <v>0</v>
      </c>
      <c r="I4175" s="7">
        <v>0</v>
      </c>
      <c r="J4175" s="7">
        <v>0</v>
      </c>
      <c r="K4175" s="3">
        <f t="shared" si="151"/>
        <v>0</v>
      </c>
      <c r="L4175" s="3"/>
      <c r="M4175" s="3">
        <f t="shared" si="152"/>
        <v>0</v>
      </c>
      <c r="O4175" s="5"/>
      <c r="S4175" s="6"/>
    </row>
    <row r="4176" spans="1:19" customFormat="1" x14ac:dyDescent="0.45">
      <c r="A4176">
        <v>759676</v>
      </c>
      <c r="B4176" t="s">
        <v>24126</v>
      </c>
      <c r="C4176" t="s">
        <v>24127</v>
      </c>
      <c r="D4176">
        <v>1</v>
      </c>
      <c r="F4176" s="126"/>
      <c r="G4176" s="7">
        <v>0</v>
      </c>
      <c r="H4176" s="7">
        <v>0</v>
      </c>
      <c r="I4176" s="7">
        <v>0</v>
      </c>
      <c r="J4176" s="7">
        <v>0</v>
      </c>
      <c r="K4176" s="3">
        <f t="shared" si="151"/>
        <v>0</v>
      </c>
      <c r="L4176" s="3"/>
      <c r="M4176" s="3">
        <f t="shared" si="152"/>
        <v>0</v>
      </c>
      <c r="N4176" s="7"/>
      <c r="O4176" s="5"/>
      <c r="S4176" s="6"/>
    </row>
    <row r="4177" spans="1:19" customFormat="1" x14ac:dyDescent="0.45">
      <c r="A4177">
        <v>759795</v>
      </c>
      <c r="B4177" t="s">
        <v>24128</v>
      </c>
      <c r="C4177" t="s">
        <v>24129</v>
      </c>
      <c r="D4177">
        <v>2</v>
      </c>
      <c r="F4177" s="126"/>
      <c r="G4177" s="3">
        <v>0</v>
      </c>
      <c r="H4177" s="3">
        <v>0</v>
      </c>
      <c r="I4177" s="3">
        <v>0</v>
      </c>
      <c r="J4177" s="3">
        <v>0</v>
      </c>
      <c r="K4177" s="3">
        <f t="shared" si="151"/>
        <v>0</v>
      </c>
      <c r="L4177" s="3"/>
      <c r="M4177" s="3">
        <f t="shared" si="152"/>
        <v>0</v>
      </c>
      <c r="O4177" s="5"/>
      <c r="S4177" s="6"/>
    </row>
    <row r="4178" spans="1:19" customFormat="1" x14ac:dyDescent="0.45">
      <c r="A4178">
        <v>760118</v>
      </c>
      <c r="B4178" t="s">
        <v>24130</v>
      </c>
      <c r="C4178" t="s">
        <v>24131</v>
      </c>
      <c r="D4178">
        <v>3</v>
      </c>
      <c r="F4178" s="126"/>
      <c r="G4178" s="3">
        <v>0</v>
      </c>
      <c r="H4178" s="3">
        <v>0</v>
      </c>
      <c r="I4178" s="3">
        <v>0</v>
      </c>
      <c r="J4178" s="3">
        <v>0</v>
      </c>
      <c r="K4178" s="3">
        <f t="shared" si="151"/>
        <v>0</v>
      </c>
      <c r="L4178" s="3"/>
      <c r="M4178" s="3">
        <f t="shared" si="152"/>
        <v>0</v>
      </c>
      <c r="O4178" s="5"/>
      <c r="S4178" s="6"/>
    </row>
    <row r="4179" spans="1:19" customFormat="1" x14ac:dyDescent="0.45">
      <c r="A4179">
        <v>760219</v>
      </c>
      <c r="B4179" t="s">
        <v>24132</v>
      </c>
      <c r="C4179" t="s">
        <v>16331</v>
      </c>
      <c r="D4179">
        <v>2</v>
      </c>
      <c r="E4179" t="s">
        <v>16331</v>
      </c>
      <c r="F4179" s="126"/>
      <c r="G4179" s="7">
        <v>0</v>
      </c>
      <c r="H4179" s="7">
        <v>0</v>
      </c>
      <c r="I4179" s="7">
        <v>0</v>
      </c>
      <c r="J4179" s="7">
        <v>0</v>
      </c>
      <c r="K4179" s="3">
        <f t="shared" si="151"/>
        <v>0</v>
      </c>
      <c r="L4179" s="3"/>
      <c r="M4179" s="3">
        <f t="shared" si="152"/>
        <v>0</v>
      </c>
      <c r="O4179" s="5"/>
      <c r="S4179" s="6"/>
    </row>
    <row r="4180" spans="1:19" customFormat="1" x14ac:dyDescent="0.45">
      <c r="A4180">
        <v>760506</v>
      </c>
      <c r="B4180" t="s">
        <v>24133</v>
      </c>
      <c r="C4180" t="s">
        <v>16331</v>
      </c>
      <c r="D4180">
        <v>2</v>
      </c>
      <c r="E4180" t="s">
        <v>16331</v>
      </c>
      <c r="F4180" s="126"/>
      <c r="G4180" s="7">
        <v>0</v>
      </c>
      <c r="H4180" s="7">
        <v>0</v>
      </c>
      <c r="I4180" s="7">
        <v>0</v>
      </c>
      <c r="J4180" s="7">
        <v>0</v>
      </c>
      <c r="K4180" s="3">
        <f t="shared" si="151"/>
        <v>0</v>
      </c>
      <c r="L4180" s="3"/>
      <c r="M4180" s="3">
        <f t="shared" si="152"/>
        <v>0</v>
      </c>
      <c r="O4180" s="5"/>
      <c r="S4180" s="6"/>
    </row>
    <row r="4181" spans="1:19" customFormat="1" x14ac:dyDescent="0.45">
      <c r="A4181">
        <v>760570</v>
      </c>
      <c r="B4181" t="s">
        <v>24134</v>
      </c>
      <c r="C4181" t="s">
        <v>24135</v>
      </c>
      <c r="D4181">
        <v>1</v>
      </c>
      <c r="F4181" s="126"/>
      <c r="G4181" s="7">
        <v>0</v>
      </c>
      <c r="H4181" s="7">
        <v>0</v>
      </c>
      <c r="I4181" s="7">
        <v>0</v>
      </c>
      <c r="J4181" s="7">
        <v>0</v>
      </c>
      <c r="K4181" s="3">
        <f t="shared" si="151"/>
        <v>0</v>
      </c>
      <c r="L4181" s="3"/>
      <c r="M4181" s="3">
        <f t="shared" si="152"/>
        <v>0</v>
      </c>
      <c r="O4181" s="5"/>
      <c r="S4181" s="6"/>
    </row>
    <row r="4182" spans="1:19" customFormat="1" x14ac:dyDescent="0.45">
      <c r="A4182">
        <v>760668</v>
      </c>
      <c r="B4182" t="s">
        <v>24136</v>
      </c>
      <c r="C4182" s="2" t="s">
        <v>24137</v>
      </c>
      <c r="D4182">
        <v>2</v>
      </c>
      <c r="F4182" s="126"/>
      <c r="G4182" s="3">
        <v>0</v>
      </c>
      <c r="H4182" s="3">
        <v>0</v>
      </c>
      <c r="I4182" s="3">
        <v>0</v>
      </c>
      <c r="J4182" s="3">
        <v>0</v>
      </c>
      <c r="K4182" s="3">
        <f t="shared" si="151"/>
        <v>0</v>
      </c>
      <c r="L4182" s="3"/>
      <c r="M4182" s="3">
        <f t="shared" si="152"/>
        <v>0</v>
      </c>
      <c r="O4182" s="5"/>
      <c r="S4182" s="6"/>
    </row>
    <row r="4183" spans="1:19" customFormat="1" x14ac:dyDescent="0.45">
      <c r="A4183">
        <v>760687</v>
      </c>
      <c r="B4183" t="s">
        <v>24138</v>
      </c>
      <c r="C4183" t="s">
        <v>24139</v>
      </c>
      <c r="D4183">
        <v>1</v>
      </c>
      <c r="F4183" s="126"/>
      <c r="G4183" s="3"/>
      <c r="H4183" s="3"/>
      <c r="I4183" s="3"/>
      <c r="J4183" s="3"/>
      <c r="K4183" s="3">
        <f t="shared" si="151"/>
        <v>0</v>
      </c>
      <c r="L4183" s="3"/>
      <c r="M4183" s="3">
        <f t="shared" si="152"/>
        <v>0</v>
      </c>
      <c r="O4183" s="5"/>
      <c r="S4183" s="6"/>
    </row>
    <row r="4184" spans="1:19" customFormat="1" x14ac:dyDescent="0.45">
      <c r="A4184">
        <v>760755</v>
      </c>
      <c r="B4184" t="s">
        <v>24140</v>
      </c>
      <c r="C4184" t="s">
        <v>16331</v>
      </c>
      <c r="D4184">
        <v>26</v>
      </c>
      <c r="E4184" t="s">
        <v>17404</v>
      </c>
      <c r="F4184" s="126"/>
      <c r="G4184" s="7">
        <v>0</v>
      </c>
      <c r="H4184" s="7">
        <v>0</v>
      </c>
      <c r="I4184" s="7">
        <v>0</v>
      </c>
      <c r="J4184" s="7">
        <v>0</v>
      </c>
      <c r="K4184" s="3">
        <f t="shared" si="151"/>
        <v>0</v>
      </c>
      <c r="L4184" s="3"/>
      <c r="M4184" s="3">
        <f t="shared" si="152"/>
        <v>0</v>
      </c>
      <c r="N4184" s="7" t="s">
        <v>26927</v>
      </c>
      <c r="O4184" s="5"/>
      <c r="S4184" s="6"/>
    </row>
    <row r="4185" spans="1:19" customFormat="1" x14ac:dyDescent="0.45">
      <c r="A4185">
        <v>760774</v>
      </c>
      <c r="B4185" t="s">
        <v>24141</v>
      </c>
      <c r="C4185" t="s">
        <v>24142</v>
      </c>
      <c r="D4185">
        <v>1</v>
      </c>
      <c r="F4185" s="126"/>
      <c r="G4185" s="3">
        <v>0</v>
      </c>
      <c r="H4185" s="3">
        <v>0</v>
      </c>
      <c r="I4185" s="3">
        <v>0</v>
      </c>
      <c r="J4185" s="3">
        <v>0</v>
      </c>
      <c r="K4185" s="3">
        <f t="shared" si="151"/>
        <v>0</v>
      </c>
      <c r="L4185" s="3"/>
      <c r="M4185" s="3">
        <f t="shared" si="152"/>
        <v>0</v>
      </c>
      <c r="O4185" s="5"/>
      <c r="S4185" s="6"/>
    </row>
    <row r="4186" spans="1:19" customFormat="1" x14ac:dyDescent="0.45">
      <c r="A4186">
        <v>760805</v>
      </c>
      <c r="B4186" t="s">
        <v>24143</v>
      </c>
      <c r="C4186" t="s">
        <v>24144</v>
      </c>
      <c r="D4186">
        <v>4</v>
      </c>
      <c r="F4186" s="126"/>
      <c r="G4186" s="3"/>
      <c r="H4186" s="3"/>
      <c r="I4186" s="3"/>
      <c r="J4186" s="3"/>
      <c r="K4186" s="3">
        <f t="shared" si="151"/>
        <v>0</v>
      </c>
      <c r="L4186" s="3"/>
      <c r="M4186" s="3">
        <f t="shared" si="152"/>
        <v>0</v>
      </c>
      <c r="O4186" s="5"/>
      <c r="S4186" s="6"/>
    </row>
    <row r="4187" spans="1:19" customFormat="1" x14ac:dyDescent="0.45">
      <c r="A4187">
        <v>760840</v>
      </c>
      <c r="B4187" t="s">
        <v>24145</v>
      </c>
      <c r="C4187" t="s">
        <v>24146</v>
      </c>
      <c r="D4187">
        <v>4</v>
      </c>
      <c r="F4187" s="126"/>
      <c r="G4187" s="7">
        <v>0</v>
      </c>
      <c r="H4187" s="7">
        <v>0</v>
      </c>
      <c r="I4187" s="7">
        <v>0</v>
      </c>
      <c r="J4187" s="7">
        <v>0</v>
      </c>
      <c r="K4187" s="3">
        <f t="shared" si="151"/>
        <v>0</v>
      </c>
      <c r="L4187" s="3"/>
      <c r="M4187" s="3">
        <f t="shared" si="152"/>
        <v>0</v>
      </c>
      <c r="O4187" s="5"/>
      <c r="S4187" s="6"/>
    </row>
    <row r="4188" spans="1:19" customFormat="1" x14ac:dyDescent="0.45">
      <c r="A4188">
        <v>760922</v>
      </c>
      <c r="B4188" t="s">
        <v>24147</v>
      </c>
      <c r="C4188" t="s">
        <v>16331</v>
      </c>
      <c r="D4188">
        <v>2</v>
      </c>
      <c r="E4188" t="s">
        <v>16331</v>
      </c>
      <c r="F4188" s="126"/>
      <c r="G4188" s="7">
        <v>0</v>
      </c>
      <c r="H4188" s="7">
        <v>0</v>
      </c>
      <c r="I4188" s="7">
        <v>0</v>
      </c>
      <c r="J4188" s="7">
        <v>0</v>
      </c>
      <c r="K4188" s="3">
        <f t="shared" si="151"/>
        <v>0</v>
      </c>
      <c r="L4188" s="3"/>
      <c r="M4188" s="3">
        <f t="shared" si="152"/>
        <v>0</v>
      </c>
      <c r="O4188" s="5"/>
      <c r="S4188" s="6"/>
    </row>
    <row r="4189" spans="1:19" customFormat="1" x14ac:dyDescent="0.45">
      <c r="A4189">
        <v>761091</v>
      </c>
      <c r="B4189" t="s">
        <v>24148</v>
      </c>
      <c r="C4189" t="s">
        <v>24149</v>
      </c>
      <c r="D4189">
        <v>2</v>
      </c>
      <c r="F4189" s="126"/>
      <c r="G4189" s="7">
        <v>0</v>
      </c>
      <c r="H4189" s="7">
        <v>0</v>
      </c>
      <c r="I4189" s="7">
        <v>0</v>
      </c>
      <c r="J4189" s="7">
        <v>0</v>
      </c>
      <c r="K4189" s="3">
        <f t="shared" si="151"/>
        <v>0</v>
      </c>
      <c r="L4189" s="3"/>
      <c r="M4189" s="3">
        <f t="shared" si="152"/>
        <v>0</v>
      </c>
      <c r="O4189" s="5"/>
      <c r="S4189" s="6"/>
    </row>
    <row r="4190" spans="1:19" customFormat="1" x14ac:dyDescent="0.45">
      <c r="A4190">
        <v>761140</v>
      </c>
      <c r="B4190" t="s">
        <v>24150</v>
      </c>
      <c r="C4190" t="s">
        <v>24151</v>
      </c>
      <c r="D4190">
        <v>8</v>
      </c>
      <c r="F4190" s="126"/>
      <c r="G4190" s="3"/>
      <c r="H4190" s="3"/>
      <c r="I4190" s="3"/>
      <c r="J4190" s="3"/>
      <c r="K4190" s="3">
        <f t="shared" si="151"/>
        <v>0</v>
      </c>
      <c r="L4190" s="3"/>
      <c r="M4190" s="3">
        <f t="shared" si="152"/>
        <v>0</v>
      </c>
      <c r="N4190" s="19"/>
      <c r="O4190" s="5"/>
      <c r="S4190" s="6"/>
    </row>
    <row r="4191" spans="1:19" customFormat="1" x14ac:dyDescent="0.45">
      <c r="A4191">
        <v>761954</v>
      </c>
      <c r="B4191" t="s">
        <v>24152</v>
      </c>
      <c r="C4191" t="s">
        <v>16331</v>
      </c>
      <c r="D4191">
        <v>2</v>
      </c>
      <c r="E4191" t="s">
        <v>16331</v>
      </c>
      <c r="F4191" s="126"/>
      <c r="G4191" s="7">
        <v>0</v>
      </c>
      <c r="H4191" s="7">
        <v>0</v>
      </c>
      <c r="I4191" s="7">
        <v>0</v>
      </c>
      <c r="J4191" s="7">
        <v>0</v>
      </c>
      <c r="K4191" s="3">
        <f t="shared" si="151"/>
        <v>0</v>
      </c>
      <c r="L4191" s="3"/>
      <c r="M4191" s="3">
        <f t="shared" si="152"/>
        <v>0</v>
      </c>
      <c r="O4191" s="5"/>
      <c r="S4191" s="6"/>
    </row>
    <row r="4192" spans="1:19" customFormat="1" x14ac:dyDescent="0.45">
      <c r="A4192">
        <v>762332</v>
      </c>
      <c r="B4192" t="s">
        <v>24153</v>
      </c>
      <c r="C4192" t="s">
        <v>24154</v>
      </c>
      <c r="D4192">
        <v>1</v>
      </c>
      <c r="F4192" s="126"/>
      <c r="G4192" s="3">
        <v>0</v>
      </c>
      <c r="H4192" s="3">
        <v>0</v>
      </c>
      <c r="I4192" s="3">
        <v>0</v>
      </c>
      <c r="J4192" s="3">
        <v>0</v>
      </c>
      <c r="K4192" s="3">
        <f t="shared" si="151"/>
        <v>0</v>
      </c>
      <c r="L4192" s="3"/>
      <c r="M4192" s="3">
        <f t="shared" si="152"/>
        <v>0</v>
      </c>
      <c r="O4192" s="5"/>
      <c r="S4192" s="6"/>
    </row>
    <row r="4193" spans="1:24" customFormat="1" x14ac:dyDescent="0.45">
      <c r="A4193">
        <v>762816</v>
      </c>
      <c r="B4193" t="s">
        <v>24155</v>
      </c>
      <c r="C4193" t="s">
        <v>24156</v>
      </c>
      <c r="D4193">
        <v>1</v>
      </c>
      <c r="F4193" s="126"/>
      <c r="G4193" s="7">
        <v>0</v>
      </c>
      <c r="H4193" s="7">
        <v>0</v>
      </c>
      <c r="I4193" s="7">
        <v>0</v>
      </c>
      <c r="J4193" s="7">
        <v>0</v>
      </c>
      <c r="K4193" s="3">
        <f t="shared" si="151"/>
        <v>0</v>
      </c>
      <c r="L4193" s="3"/>
      <c r="M4193" s="3">
        <f t="shared" si="152"/>
        <v>0</v>
      </c>
      <c r="O4193" s="5"/>
      <c r="S4193" s="6"/>
    </row>
    <row r="4194" spans="1:24" customFormat="1" x14ac:dyDescent="0.45">
      <c r="A4194">
        <v>762912</v>
      </c>
      <c r="B4194" t="s">
        <v>24157</v>
      </c>
      <c r="C4194" t="s">
        <v>16331</v>
      </c>
      <c r="D4194">
        <v>1</v>
      </c>
      <c r="E4194" t="s">
        <v>16331</v>
      </c>
      <c r="F4194" s="126"/>
      <c r="G4194" s="7">
        <v>0</v>
      </c>
      <c r="H4194" s="7">
        <v>0</v>
      </c>
      <c r="I4194" s="7">
        <v>0</v>
      </c>
      <c r="J4194" s="7">
        <v>0</v>
      </c>
      <c r="K4194" s="3">
        <f t="shared" si="151"/>
        <v>0</v>
      </c>
      <c r="L4194" s="3"/>
      <c r="M4194" s="3">
        <f t="shared" si="152"/>
        <v>0</v>
      </c>
      <c r="O4194" s="5"/>
      <c r="S4194" s="6"/>
    </row>
    <row r="4195" spans="1:24" customFormat="1" x14ac:dyDescent="0.45">
      <c r="A4195">
        <v>763183</v>
      </c>
      <c r="B4195" t="s">
        <v>24158</v>
      </c>
      <c r="C4195" t="s">
        <v>24159</v>
      </c>
      <c r="D4195">
        <v>1</v>
      </c>
      <c r="F4195" s="126"/>
      <c r="G4195" s="3"/>
      <c r="H4195" s="3"/>
      <c r="I4195" s="3"/>
      <c r="J4195" s="3"/>
      <c r="K4195" s="3">
        <f t="shared" si="151"/>
        <v>0</v>
      </c>
      <c r="L4195" s="3"/>
      <c r="M4195" s="3">
        <f t="shared" si="152"/>
        <v>0</v>
      </c>
      <c r="O4195" s="5"/>
      <c r="S4195" s="6"/>
    </row>
    <row r="4196" spans="1:24" customFormat="1" x14ac:dyDescent="0.45">
      <c r="A4196">
        <v>763256</v>
      </c>
      <c r="B4196" t="s">
        <v>24160</v>
      </c>
      <c r="C4196" t="s">
        <v>16331</v>
      </c>
      <c r="D4196">
        <v>0</v>
      </c>
      <c r="E4196" t="s">
        <v>16331</v>
      </c>
      <c r="F4196" s="126"/>
      <c r="G4196" s="7">
        <v>0</v>
      </c>
      <c r="H4196" s="7">
        <v>0</v>
      </c>
      <c r="I4196" s="7">
        <v>0</v>
      </c>
      <c r="J4196" s="7">
        <v>0</v>
      </c>
      <c r="K4196" s="3">
        <f t="shared" si="151"/>
        <v>0</v>
      </c>
      <c r="L4196" s="3"/>
      <c r="M4196" s="3">
        <f t="shared" si="152"/>
        <v>0</v>
      </c>
      <c r="N4196" s="7"/>
      <c r="O4196" s="5"/>
      <c r="S4196" s="6"/>
    </row>
    <row r="4197" spans="1:24" customFormat="1" x14ac:dyDescent="0.45">
      <c r="A4197">
        <v>763280</v>
      </c>
      <c r="B4197" t="s">
        <v>24161</v>
      </c>
      <c r="C4197" t="s">
        <v>24162</v>
      </c>
      <c r="D4197">
        <v>1</v>
      </c>
      <c r="F4197" s="126"/>
      <c r="G4197" s="3">
        <v>0</v>
      </c>
      <c r="H4197" s="3">
        <v>0</v>
      </c>
      <c r="I4197" s="3">
        <v>0</v>
      </c>
      <c r="J4197" s="3">
        <v>0</v>
      </c>
      <c r="K4197" s="3">
        <f t="shared" si="151"/>
        <v>0</v>
      </c>
      <c r="L4197" s="3"/>
      <c r="M4197" s="3">
        <f t="shared" si="152"/>
        <v>0</v>
      </c>
      <c r="O4197" s="5"/>
      <c r="S4197" s="6"/>
    </row>
    <row r="4198" spans="1:24" customFormat="1" x14ac:dyDescent="0.45">
      <c r="A4198">
        <v>763601</v>
      </c>
      <c r="B4198" t="s">
        <v>24163</v>
      </c>
      <c r="C4198" t="s">
        <v>24164</v>
      </c>
      <c r="D4198">
        <v>18</v>
      </c>
      <c r="F4198" s="126"/>
      <c r="G4198" s="7">
        <v>0</v>
      </c>
      <c r="H4198" s="3">
        <v>0</v>
      </c>
      <c r="I4198" s="3">
        <v>0</v>
      </c>
      <c r="J4198">
        <v>0</v>
      </c>
      <c r="K4198" s="3">
        <f t="shared" si="151"/>
        <v>0</v>
      </c>
      <c r="L4198" s="3"/>
      <c r="M4198" s="3">
        <f t="shared" si="152"/>
        <v>0</v>
      </c>
      <c r="O4198" s="5"/>
      <c r="S4198" s="6"/>
    </row>
    <row r="4199" spans="1:24" customFormat="1" x14ac:dyDescent="0.45">
      <c r="A4199">
        <v>763604</v>
      </c>
      <c r="B4199" t="s">
        <v>24165</v>
      </c>
      <c r="C4199" t="s">
        <v>24166</v>
      </c>
      <c r="D4199">
        <v>1</v>
      </c>
      <c r="F4199" s="126"/>
      <c r="G4199" s="7">
        <v>0</v>
      </c>
      <c r="H4199" s="7">
        <v>0</v>
      </c>
      <c r="I4199" s="7">
        <v>0</v>
      </c>
      <c r="J4199" s="7">
        <v>0</v>
      </c>
      <c r="K4199" s="3">
        <f t="shared" si="151"/>
        <v>0</v>
      </c>
      <c r="L4199" s="3"/>
      <c r="M4199" s="3">
        <f t="shared" si="152"/>
        <v>0</v>
      </c>
      <c r="O4199" s="5"/>
      <c r="S4199" s="6"/>
    </row>
    <row r="4200" spans="1:24" s="57" customFormat="1" x14ac:dyDescent="0.45">
      <c r="A4200" s="57">
        <v>522193</v>
      </c>
      <c r="B4200" s="57" t="s">
        <v>24167</v>
      </c>
      <c r="C4200" s="57" t="s">
        <v>24168</v>
      </c>
      <c r="D4200" s="57">
        <v>7</v>
      </c>
      <c r="E4200" s="57" t="s">
        <v>16334</v>
      </c>
      <c r="F4200" s="126"/>
      <c r="G4200" s="53"/>
      <c r="H4200" s="53"/>
      <c r="I4200" s="58"/>
      <c r="J4200" s="58"/>
      <c r="K4200" s="53"/>
      <c r="L4200" s="50"/>
      <c r="M4200" s="53"/>
      <c r="N4200" s="57" t="s">
        <v>20811</v>
      </c>
      <c r="O4200" s="59" t="s">
        <v>24169</v>
      </c>
      <c r="R4200" s="57" t="s">
        <v>16348</v>
      </c>
      <c r="T4200" s="60" t="e">
        <f>S4200/Q4200</f>
        <v>#DIV/0!</v>
      </c>
      <c r="X4200" s="57" t="s">
        <v>20814</v>
      </c>
    </row>
    <row r="4201" spans="1:24" customFormat="1" x14ac:dyDescent="0.45">
      <c r="A4201">
        <v>763693</v>
      </c>
      <c r="B4201" t="s">
        <v>24170</v>
      </c>
      <c r="C4201" t="s">
        <v>24171</v>
      </c>
      <c r="D4201">
        <v>1</v>
      </c>
      <c r="F4201" s="126"/>
      <c r="G4201" s="3">
        <v>0</v>
      </c>
      <c r="H4201" s="3">
        <v>0</v>
      </c>
      <c r="I4201" s="3">
        <v>0</v>
      </c>
      <c r="J4201" s="3">
        <v>0</v>
      </c>
      <c r="K4201" s="3">
        <f t="shared" ref="K4201:K4215" si="153">SUM(G4201:J4201)</f>
        <v>0</v>
      </c>
      <c r="L4201" s="3"/>
      <c r="M4201" s="3">
        <f t="shared" ref="M4201:M4229" si="154">K4201+F4201</f>
        <v>0</v>
      </c>
      <c r="O4201" s="5"/>
      <c r="S4201" s="6"/>
    </row>
    <row r="4202" spans="1:24" customFormat="1" x14ac:dyDescent="0.45">
      <c r="A4202">
        <v>764300</v>
      </c>
      <c r="B4202" t="s">
        <v>24172</v>
      </c>
      <c r="C4202" t="s">
        <v>24173</v>
      </c>
      <c r="D4202">
        <v>3</v>
      </c>
      <c r="F4202" s="126"/>
      <c r="G4202" s="3">
        <v>0</v>
      </c>
      <c r="H4202" s="3">
        <v>0</v>
      </c>
      <c r="I4202" s="3">
        <v>0</v>
      </c>
      <c r="J4202" s="3">
        <v>0</v>
      </c>
      <c r="K4202" s="3">
        <f t="shared" si="153"/>
        <v>0</v>
      </c>
      <c r="L4202" s="3"/>
      <c r="M4202" s="3">
        <f t="shared" si="154"/>
        <v>0</v>
      </c>
      <c r="O4202" s="5"/>
      <c r="S4202" s="6"/>
    </row>
    <row r="4203" spans="1:24" customFormat="1" x14ac:dyDescent="0.45">
      <c r="A4203">
        <v>764562</v>
      </c>
      <c r="B4203" t="s">
        <v>24174</v>
      </c>
      <c r="C4203" t="s">
        <v>24175</v>
      </c>
      <c r="D4203">
        <v>3</v>
      </c>
      <c r="F4203" s="126"/>
      <c r="G4203" s="7">
        <v>0</v>
      </c>
      <c r="H4203" s="7">
        <v>0</v>
      </c>
      <c r="I4203" s="7">
        <v>0</v>
      </c>
      <c r="J4203" s="7">
        <v>0</v>
      </c>
      <c r="K4203" s="3">
        <f t="shared" si="153"/>
        <v>0</v>
      </c>
      <c r="L4203" s="3"/>
      <c r="M4203" s="3">
        <f t="shared" si="154"/>
        <v>0</v>
      </c>
      <c r="N4203" s="7"/>
      <c r="O4203" s="5"/>
      <c r="S4203" s="6"/>
    </row>
    <row r="4204" spans="1:24" x14ac:dyDescent="0.45">
      <c r="A4204" s="124">
        <v>486776</v>
      </c>
      <c r="B4204" s="124" t="s">
        <v>24176</v>
      </c>
      <c r="C4204" s="125" t="s">
        <v>24177</v>
      </c>
      <c r="D4204" s="124">
        <v>1</v>
      </c>
      <c r="E4204" s="124" t="s">
        <v>16334</v>
      </c>
      <c r="F4204" s="126">
        <v>1.6999999999999999E-3</v>
      </c>
      <c r="G4204" s="126"/>
      <c r="H4204" s="126">
        <v>0.03</v>
      </c>
      <c r="I4204" s="127"/>
      <c r="J4204" s="127"/>
      <c r="K4204" s="126">
        <f t="shared" si="153"/>
        <v>0.03</v>
      </c>
      <c r="L4204" s="3"/>
      <c r="M4204" s="126">
        <f t="shared" si="154"/>
        <v>3.1699999999999999E-2</v>
      </c>
      <c r="N4204" s="124" t="s">
        <v>24178</v>
      </c>
      <c r="O4204" s="131" t="s">
        <v>24179</v>
      </c>
      <c r="P4204" s="128" t="s">
        <v>26918</v>
      </c>
      <c r="Q4204" s="130">
        <f>72064+41029</f>
        <v>113093</v>
      </c>
      <c r="R4204" s="124" t="s">
        <v>16348</v>
      </c>
      <c r="S4204" s="132">
        <v>72064</v>
      </c>
      <c r="T4204" s="129">
        <f>S4204/Q4204</f>
        <v>0.63721008373639398</v>
      </c>
      <c r="V4204" s="125" t="s">
        <v>24180</v>
      </c>
    </row>
    <row r="4205" spans="1:24" customFormat="1" x14ac:dyDescent="0.45">
      <c r="A4205">
        <v>764760</v>
      </c>
      <c r="B4205" t="s">
        <v>24181</v>
      </c>
      <c r="C4205" t="s">
        <v>16331</v>
      </c>
      <c r="D4205">
        <v>2</v>
      </c>
      <c r="E4205" t="s">
        <v>16331</v>
      </c>
      <c r="F4205" s="126"/>
      <c r="K4205" s="3">
        <f t="shared" si="153"/>
        <v>0</v>
      </c>
      <c r="L4205" s="3"/>
      <c r="M4205" s="3">
        <f t="shared" si="154"/>
        <v>0</v>
      </c>
      <c r="O4205" s="5"/>
      <c r="S4205" s="6"/>
    </row>
    <row r="4206" spans="1:24" x14ac:dyDescent="0.45">
      <c r="A4206" s="124">
        <v>525771</v>
      </c>
      <c r="B4206" s="124" t="s">
        <v>24182</v>
      </c>
      <c r="C4206" s="124" t="s">
        <v>24183</v>
      </c>
      <c r="D4206" s="124">
        <v>4</v>
      </c>
      <c r="E4206" s="124" t="s">
        <v>16334</v>
      </c>
      <c r="F4206" s="126">
        <v>1.6999999999999999E-3</v>
      </c>
      <c r="G4206" s="126">
        <v>1.4999999999999999E-2</v>
      </c>
      <c r="H4206" s="126">
        <v>7.4999999999999997E-3</v>
      </c>
      <c r="I4206" s="127"/>
      <c r="J4206" s="127"/>
      <c r="K4206" s="126">
        <f t="shared" si="153"/>
        <v>2.2499999999999999E-2</v>
      </c>
      <c r="L4206" s="3"/>
      <c r="M4206" s="126">
        <f t="shared" si="154"/>
        <v>2.4199999999999999E-2</v>
      </c>
      <c r="O4206" s="131" t="s">
        <v>24184</v>
      </c>
      <c r="P4206" s="128" t="s">
        <v>26918</v>
      </c>
      <c r="Q4206" s="130">
        <f>215807+172166</f>
        <v>387973</v>
      </c>
      <c r="R4206" s="124" t="s">
        <v>16348</v>
      </c>
      <c r="S4206" s="132">
        <v>195609</v>
      </c>
      <c r="T4206" s="129">
        <f>S4206/Q4206</f>
        <v>0.50418199204583825</v>
      </c>
      <c r="V4206" s="125" t="s">
        <v>24185</v>
      </c>
    </row>
    <row r="4207" spans="1:24" customFormat="1" x14ac:dyDescent="0.45">
      <c r="A4207">
        <v>765178</v>
      </c>
      <c r="B4207" t="s">
        <v>24186</v>
      </c>
      <c r="C4207" t="s">
        <v>24187</v>
      </c>
      <c r="D4207">
        <v>1</v>
      </c>
      <c r="F4207" s="126"/>
      <c r="G4207" s="3"/>
      <c r="H4207" s="3"/>
      <c r="I4207" s="3"/>
      <c r="J4207" s="3"/>
      <c r="K4207" s="3">
        <f t="shared" si="153"/>
        <v>0</v>
      </c>
      <c r="L4207" s="3"/>
      <c r="M4207" s="3">
        <f t="shared" si="154"/>
        <v>0</v>
      </c>
      <c r="O4207" s="5"/>
      <c r="S4207" s="6"/>
    </row>
    <row r="4208" spans="1:24" customFormat="1" x14ac:dyDescent="0.45">
      <c r="A4208">
        <v>765214</v>
      </c>
      <c r="B4208" t="s">
        <v>24188</v>
      </c>
      <c r="C4208" t="s">
        <v>24189</v>
      </c>
      <c r="D4208">
        <v>2</v>
      </c>
      <c r="F4208" s="126"/>
      <c r="G4208" s="3"/>
      <c r="H4208" s="3"/>
      <c r="I4208" s="3"/>
      <c r="J4208" s="3"/>
      <c r="K4208" s="3">
        <f t="shared" si="153"/>
        <v>0</v>
      </c>
      <c r="L4208" s="3"/>
      <c r="M4208" s="3">
        <f t="shared" si="154"/>
        <v>0</v>
      </c>
      <c r="O4208" s="5"/>
      <c r="S4208" s="6"/>
    </row>
    <row r="4209" spans="1:22" customFormat="1" x14ac:dyDescent="0.45">
      <c r="A4209">
        <v>765457</v>
      </c>
      <c r="B4209" t="s">
        <v>24190</v>
      </c>
      <c r="C4209" t="s">
        <v>24191</v>
      </c>
      <c r="D4209">
        <v>4</v>
      </c>
      <c r="F4209" s="126"/>
      <c r="G4209" s="7">
        <v>0</v>
      </c>
      <c r="H4209" s="7">
        <v>0</v>
      </c>
      <c r="I4209" s="7">
        <v>0</v>
      </c>
      <c r="J4209" s="7">
        <v>0</v>
      </c>
      <c r="K4209" s="3">
        <f t="shared" si="153"/>
        <v>0</v>
      </c>
      <c r="L4209" s="3"/>
      <c r="M4209" s="3">
        <f t="shared" si="154"/>
        <v>0</v>
      </c>
      <c r="N4209" s="7"/>
      <c r="O4209" s="5"/>
      <c r="S4209" s="6"/>
    </row>
    <row r="4210" spans="1:22" customFormat="1" x14ac:dyDescent="0.45">
      <c r="A4210">
        <v>765724</v>
      </c>
      <c r="B4210" t="s">
        <v>24192</v>
      </c>
      <c r="C4210" t="s">
        <v>16331</v>
      </c>
      <c r="D4210">
        <v>1</v>
      </c>
      <c r="E4210" t="s">
        <v>16331</v>
      </c>
      <c r="F4210" s="126"/>
      <c r="G4210" s="7">
        <v>0</v>
      </c>
      <c r="H4210" s="7">
        <v>0</v>
      </c>
      <c r="I4210" s="7">
        <v>0</v>
      </c>
      <c r="J4210" s="7">
        <v>0</v>
      </c>
      <c r="K4210" s="3">
        <f t="shared" si="153"/>
        <v>0</v>
      </c>
      <c r="L4210" s="3"/>
      <c r="M4210" s="3">
        <f t="shared" si="154"/>
        <v>0</v>
      </c>
      <c r="O4210" s="5"/>
      <c r="S4210" s="6"/>
    </row>
    <row r="4211" spans="1:22" customFormat="1" x14ac:dyDescent="0.45">
      <c r="A4211">
        <v>765815</v>
      </c>
      <c r="B4211" t="s">
        <v>24193</v>
      </c>
      <c r="C4211" t="s">
        <v>24194</v>
      </c>
      <c r="D4211">
        <v>1</v>
      </c>
      <c r="F4211" s="126"/>
      <c r="G4211" s="3">
        <v>0</v>
      </c>
      <c r="H4211" s="3">
        <v>0</v>
      </c>
      <c r="I4211" s="3">
        <v>0</v>
      </c>
      <c r="J4211" s="3">
        <v>0</v>
      </c>
      <c r="K4211" s="3">
        <f t="shared" si="153"/>
        <v>0</v>
      </c>
      <c r="L4211" s="3"/>
      <c r="M4211" s="3">
        <f t="shared" si="154"/>
        <v>0</v>
      </c>
      <c r="O4211" s="5"/>
      <c r="S4211" s="6"/>
    </row>
    <row r="4212" spans="1:22" x14ac:dyDescent="0.45">
      <c r="A4212" s="124">
        <v>146719</v>
      </c>
      <c r="B4212" s="124" t="s">
        <v>24195</v>
      </c>
      <c r="C4212" s="125" t="s">
        <v>24196</v>
      </c>
      <c r="D4212" s="124">
        <v>5</v>
      </c>
      <c r="E4212" s="124" t="s">
        <v>16334</v>
      </c>
      <c r="F4212" s="126">
        <v>1.6999999999999999E-3</v>
      </c>
      <c r="G4212" s="135">
        <v>0.02</v>
      </c>
      <c r="H4212" s="135">
        <v>0.01</v>
      </c>
      <c r="I4212" s="127">
        <v>0</v>
      </c>
      <c r="J4212" s="127">
        <v>0</v>
      </c>
      <c r="K4212" s="126">
        <f t="shared" si="153"/>
        <v>0.03</v>
      </c>
      <c r="L4212" s="3"/>
      <c r="M4212" s="126">
        <f t="shared" si="154"/>
        <v>3.1699999999999999E-2</v>
      </c>
      <c r="O4212" s="125" t="s">
        <v>24197</v>
      </c>
      <c r="P4212" s="128" t="s">
        <v>26918</v>
      </c>
      <c r="Q4212" s="130">
        <f>277285+58854</f>
        <v>336139</v>
      </c>
      <c r="R4212" s="124" t="s">
        <v>16348</v>
      </c>
      <c r="S4212" s="130">
        <v>252285</v>
      </c>
      <c r="T4212" s="129">
        <f>S4212/Q4212</f>
        <v>0.75053772397728324</v>
      </c>
      <c r="V4212" s="125" t="s">
        <v>24198</v>
      </c>
    </row>
    <row r="4213" spans="1:22" customFormat="1" x14ac:dyDescent="0.45">
      <c r="A4213">
        <v>766016</v>
      </c>
      <c r="B4213" t="s">
        <v>24199</v>
      </c>
      <c r="C4213" t="s">
        <v>16331</v>
      </c>
      <c r="D4213">
        <v>1</v>
      </c>
      <c r="E4213" t="s">
        <v>16331</v>
      </c>
      <c r="F4213" s="126"/>
      <c r="G4213" s="7">
        <v>0</v>
      </c>
      <c r="H4213" s="7">
        <v>0</v>
      </c>
      <c r="I4213" s="7">
        <v>0</v>
      </c>
      <c r="J4213" s="7">
        <v>0</v>
      </c>
      <c r="K4213" s="3">
        <f t="shared" si="153"/>
        <v>0</v>
      </c>
      <c r="L4213" s="3"/>
      <c r="M4213" s="3">
        <f t="shared" si="154"/>
        <v>0</v>
      </c>
      <c r="O4213" s="5"/>
      <c r="S4213" s="6"/>
    </row>
    <row r="4214" spans="1:22" customFormat="1" x14ac:dyDescent="0.45">
      <c r="A4214">
        <v>766136</v>
      </c>
      <c r="B4214" t="s">
        <v>24200</v>
      </c>
      <c r="C4214" t="s">
        <v>24201</v>
      </c>
      <c r="D4214">
        <v>1</v>
      </c>
      <c r="F4214" s="126"/>
      <c r="G4214" s="7">
        <v>0</v>
      </c>
      <c r="H4214" s="7">
        <v>0</v>
      </c>
      <c r="I4214" s="7">
        <v>0</v>
      </c>
      <c r="J4214" s="7">
        <v>0</v>
      </c>
      <c r="K4214" s="3">
        <f t="shared" si="153"/>
        <v>0</v>
      </c>
      <c r="L4214" s="3"/>
      <c r="M4214" s="3">
        <f t="shared" si="154"/>
        <v>0</v>
      </c>
      <c r="O4214" s="5"/>
      <c r="S4214" s="6"/>
    </row>
    <row r="4215" spans="1:22" customFormat="1" x14ac:dyDescent="0.45">
      <c r="A4215">
        <v>766148</v>
      </c>
      <c r="B4215" t="s">
        <v>24202</v>
      </c>
      <c r="C4215" t="s">
        <v>24203</v>
      </c>
      <c r="D4215">
        <v>6</v>
      </c>
      <c r="F4215" s="126"/>
      <c r="G4215" s="7">
        <v>0</v>
      </c>
      <c r="H4215" s="7">
        <v>0</v>
      </c>
      <c r="I4215" s="7">
        <v>0</v>
      </c>
      <c r="J4215" s="7">
        <v>0</v>
      </c>
      <c r="K4215" s="3">
        <f t="shared" si="153"/>
        <v>0</v>
      </c>
      <c r="L4215" s="3"/>
      <c r="M4215" s="3">
        <f t="shared" si="154"/>
        <v>0</v>
      </c>
      <c r="O4215" s="5"/>
      <c r="S4215" s="6"/>
    </row>
    <row r="4216" spans="1:22" customFormat="1" x14ac:dyDescent="0.45">
      <c r="A4216">
        <v>766211</v>
      </c>
      <c r="B4216" t="s">
        <v>24204</v>
      </c>
      <c r="C4216" s="2" t="s">
        <v>24205</v>
      </c>
      <c r="D4216">
        <v>3</v>
      </c>
      <c r="E4216" t="s">
        <v>16334</v>
      </c>
      <c r="F4216" s="126"/>
      <c r="G4216" s="3"/>
      <c r="H4216" s="3"/>
      <c r="I4216" s="3"/>
      <c r="J4216" s="3"/>
      <c r="K4216" s="3">
        <v>0</v>
      </c>
      <c r="L4216" s="3"/>
      <c r="M4216" s="3">
        <f t="shared" si="154"/>
        <v>0</v>
      </c>
      <c r="N4216" s="19"/>
      <c r="O4216" s="5"/>
      <c r="S4216" s="6"/>
    </row>
    <row r="4217" spans="1:22" customFormat="1" x14ac:dyDescent="0.45">
      <c r="A4217">
        <v>766218</v>
      </c>
      <c r="B4217" t="s">
        <v>24206</v>
      </c>
      <c r="C4217" t="s">
        <v>24207</v>
      </c>
      <c r="D4217">
        <v>4</v>
      </c>
      <c r="F4217" s="126"/>
      <c r="G4217" s="7">
        <v>0</v>
      </c>
      <c r="H4217" s="3">
        <v>0</v>
      </c>
      <c r="I4217" s="3">
        <v>0</v>
      </c>
      <c r="J4217">
        <v>0</v>
      </c>
      <c r="K4217" s="3">
        <f t="shared" ref="K4217:K4229" si="155">SUM(G4217:J4217)</f>
        <v>0</v>
      </c>
      <c r="L4217" s="3"/>
      <c r="M4217" s="3">
        <f t="shared" si="154"/>
        <v>0</v>
      </c>
      <c r="O4217" s="5"/>
      <c r="S4217" s="6"/>
    </row>
    <row r="4218" spans="1:22" customFormat="1" x14ac:dyDescent="0.45">
      <c r="A4218">
        <v>766509</v>
      </c>
      <c r="B4218" t="s">
        <v>24208</v>
      </c>
      <c r="C4218" t="s">
        <v>24209</v>
      </c>
      <c r="D4218">
        <v>2</v>
      </c>
      <c r="F4218" s="126"/>
      <c r="G4218" s="3"/>
      <c r="H4218" s="3"/>
      <c r="I4218" s="3"/>
      <c r="J4218" s="3"/>
      <c r="K4218" s="3">
        <f t="shared" si="155"/>
        <v>0</v>
      </c>
      <c r="L4218" s="3"/>
      <c r="M4218" s="3">
        <f t="shared" si="154"/>
        <v>0</v>
      </c>
      <c r="O4218" s="5"/>
      <c r="S4218" s="6"/>
    </row>
    <row r="4219" spans="1:22" customFormat="1" x14ac:dyDescent="0.45">
      <c r="A4219">
        <v>766642</v>
      </c>
      <c r="B4219" t="s">
        <v>24210</v>
      </c>
      <c r="C4219" t="s">
        <v>24211</v>
      </c>
      <c r="D4219">
        <v>3</v>
      </c>
      <c r="F4219" s="126"/>
      <c r="G4219" s="7">
        <v>0</v>
      </c>
      <c r="H4219" s="7">
        <v>0</v>
      </c>
      <c r="I4219" s="7">
        <v>0</v>
      </c>
      <c r="J4219" s="7">
        <v>0</v>
      </c>
      <c r="K4219" s="3">
        <f t="shared" si="155"/>
        <v>0</v>
      </c>
      <c r="L4219" s="3"/>
      <c r="M4219" s="3">
        <f t="shared" si="154"/>
        <v>0</v>
      </c>
      <c r="N4219" s="7"/>
      <c r="O4219" s="5"/>
      <c r="S4219" s="6"/>
    </row>
    <row r="4220" spans="1:22" customFormat="1" x14ac:dyDescent="0.45">
      <c r="A4220">
        <v>766659</v>
      </c>
      <c r="B4220" t="s">
        <v>24212</v>
      </c>
      <c r="C4220" t="s">
        <v>16331</v>
      </c>
      <c r="D4220">
        <v>1</v>
      </c>
      <c r="E4220" t="s">
        <v>16331</v>
      </c>
      <c r="F4220" s="126"/>
      <c r="G4220" s="7">
        <v>0</v>
      </c>
      <c r="H4220" s="7">
        <v>0</v>
      </c>
      <c r="I4220" s="7">
        <v>0</v>
      </c>
      <c r="J4220" s="7">
        <v>0</v>
      </c>
      <c r="K4220" s="3">
        <f t="shared" si="155"/>
        <v>0</v>
      </c>
      <c r="L4220" s="3"/>
      <c r="M4220" s="3">
        <f t="shared" si="154"/>
        <v>0</v>
      </c>
      <c r="O4220" s="5"/>
      <c r="S4220" s="6"/>
    </row>
    <row r="4221" spans="1:22" customFormat="1" x14ac:dyDescent="0.45">
      <c r="A4221">
        <v>766665</v>
      </c>
      <c r="B4221" t="s">
        <v>24213</v>
      </c>
      <c r="C4221" t="s">
        <v>16331</v>
      </c>
      <c r="D4221">
        <v>1</v>
      </c>
      <c r="E4221" t="s">
        <v>16331</v>
      </c>
      <c r="F4221" s="126"/>
      <c r="G4221" s="7">
        <v>0</v>
      </c>
      <c r="H4221" s="7">
        <v>0</v>
      </c>
      <c r="I4221" s="7">
        <v>0</v>
      </c>
      <c r="J4221" s="7">
        <v>0</v>
      </c>
      <c r="K4221" s="3">
        <f t="shared" si="155"/>
        <v>0</v>
      </c>
      <c r="L4221" s="3"/>
      <c r="M4221" s="3">
        <f t="shared" si="154"/>
        <v>0</v>
      </c>
      <c r="O4221" s="5"/>
      <c r="S4221" s="6"/>
    </row>
    <row r="4222" spans="1:22" customFormat="1" x14ac:dyDescent="0.45">
      <c r="A4222">
        <v>767090</v>
      </c>
      <c r="B4222" t="s">
        <v>24214</v>
      </c>
      <c r="C4222" t="s">
        <v>24215</v>
      </c>
      <c r="D4222">
        <v>1</v>
      </c>
      <c r="F4222" s="126"/>
      <c r="G4222" s="3">
        <v>0</v>
      </c>
      <c r="H4222" s="3">
        <v>0</v>
      </c>
      <c r="I4222" s="3">
        <v>0</v>
      </c>
      <c r="J4222" s="3">
        <v>0</v>
      </c>
      <c r="K4222" s="3">
        <f t="shared" si="155"/>
        <v>0</v>
      </c>
      <c r="L4222" s="3"/>
      <c r="M4222" s="3">
        <f t="shared" si="154"/>
        <v>0</v>
      </c>
      <c r="O4222" s="5"/>
      <c r="S4222" s="6"/>
    </row>
    <row r="4223" spans="1:22" customFormat="1" x14ac:dyDescent="0.45">
      <c r="A4223">
        <v>767418</v>
      </c>
      <c r="B4223" t="s">
        <v>24216</v>
      </c>
      <c r="C4223" t="s">
        <v>16331</v>
      </c>
      <c r="D4223">
        <v>5</v>
      </c>
      <c r="E4223" t="s">
        <v>16331</v>
      </c>
      <c r="F4223" s="126"/>
      <c r="K4223" s="3">
        <f t="shared" si="155"/>
        <v>0</v>
      </c>
      <c r="L4223" s="3"/>
      <c r="M4223" s="3">
        <f t="shared" si="154"/>
        <v>0</v>
      </c>
      <c r="O4223" s="5"/>
      <c r="S4223" s="6"/>
    </row>
    <row r="4224" spans="1:22" customFormat="1" x14ac:dyDescent="0.45">
      <c r="A4224">
        <v>767639</v>
      </c>
      <c r="B4224" t="s">
        <v>24217</v>
      </c>
      <c r="C4224" t="s">
        <v>24218</v>
      </c>
      <c r="D4224">
        <v>0</v>
      </c>
      <c r="E4224" t="s">
        <v>16334</v>
      </c>
      <c r="F4224" s="126"/>
      <c r="K4224" s="3">
        <f t="shared" si="155"/>
        <v>0</v>
      </c>
      <c r="L4224" s="3"/>
      <c r="M4224" s="3">
        <f t="shared" si="154"/>
        <v>0</v>
      </c>
      <c r="O4224" s="5"/>
      <c r="S4224" s="6"/>
    </row>
    <row r="4225" spans="1:22" customFormat="1" x14ac:dyDescent="0.45">
      <c r="A4225">
        <v>767654</v>
      </c>
      <c r="B4225" t="s">
        <v>24219</v>
      </c>
      <c r="C4225" t="s">
        <v>24220</v>
      </c>
      <c r="D4225">
        <v>1</v>
      </c>
      <c r="F4225" s="126"/>
      <c r="G4225" s="7">
        <v>0</v>
      </c>
      <c r="H4225" s="7">
        <v>0</v>
      </c>
      <c r="I4225" s="7">
        <v>0</v>
      </c>
      <c r="J4225" s="7">
        <v>0</v>
      </c>
      <c r="K4225" s="3">
        <f t="shared" si="155"/>
        <v>0</v>
      </c>
      <c r="L4225" s="3"/>
      <c r="M4225" s="3">
        <f t="shared" si="154"/>
        <v>0</v>
      </c>
      <c r="O4225" s="5"/>
      <c r="S4225" s="6"/>
    </row>
    <row r="4226" spans="1:22" customFormat="1" x14ac:dyDescent="0.45">
      <c r="A4226">
        <v>767690</v>
      </c>
      <c r="B4226" t="s">
        <v>24221</v>
      </c>
      <c r="C4226" t="s">
        <v>24222</v>
      </c>
      <c r="D4226">
        <v>1</v>
      </c>
      <c r="F4226" s="126"/>
      <c r="G4226" s="3">
        <v>0</v>
      </c>
      <c r="H4226" s="3">
        <v>0</v>
      </c>
      <c r="I4226" s="3">
        <v>0</v>
      </c>
      <c r="J4226" s="3">
        <v>0</v>
      </c>
      <c r="K4226" s="3">
        <f t="shared" si="155"/>
        <v>0</v>
      </c>
      <c r="L4226" s="3"/>
      <c r="M4226" s="3">
        <f t="shared" si="154"/>
        <v>0</v>
      </c>
      <c r="O4226" s="5"/>
      <c r="S4226" s="6"/>
    </row>
    <row r="4227" spans="1:22" x14ac:dyDescent="0.45">
      <c r="A4227" s="124">
        <v>952534</v>
      </c>
      <c r="B4227" s="124" t="s">
        <v>24223</v>
      </c>
      <c r="C4227" s="124" t="s">
        <v>24224</v>
      </c>
      <c r="D4227" s="124">
        <v>4</v>
      </c>
      <c r="E4227" s="124" t="s">
        <v>16334</v>
      </c>
      <c r="F4227" s="126">
        <v>1.6999999999999999E-3</v>
      </c>
      <c r="G4227" s="126">
        <v>0.03</v>
      </c>
      <c r="H4227" s="126">
        <v>0.01</v>
      </c>
      <c r="I4227" s="127"/>
      <c r="J4227" s="127"/>
      <c r="K4227" s="126">
        <f t="shared" si="155"/>
        <v>0.04</v>
      </c>
      <c r="L4227" s="3"/>
      <c r="M4227" s="126">
        <f t="shared" si="154"/>
        <v>4.1700000000000001E-2</v>
      </c>
      <c r="O4227" s="131" t="s">
        <v>24225</v>
      </c>
      <c r="P4227" s="128" t="s">
        <v>26918</v>
      </c>
      <c r="Q4227" s="130">
        <f>472745+149498</f>
        <v>622243</v>
      </c>
      <c r="R4227" s="124" t="s">
        <v>16348</v>
      </c>
      <c r="S4227" s="132">
        <v>471754</v>
      </c>
      <c r="T4227" s="129">
        <f>S4227/Q4227</f>
        <v>0.75815075460873005</v>
      </c>
      <c r="V4227" s="125" t="s">
        <v>24226</v>
      </c>
    </row>
    <row r="4228" spans="1:22" customFormat="1" x14ac:dyDescent="0.45">
      <c r="A4228">
        <v>767879</v>
      </c>
      <c r="B4228" t="s">
        <v>24227</v>
      </c>
      <c r="C4228" t="s">
        <v>24228</v>
      </c>
      <c r="D4228">
        <v>1</v>
      </c>
      <c r="F4228" s="126"/>
      <c r="G4228" s="3">
        <v>0</v>
      </c>
      <c r="H4228" s="3">
        <v>0</v>
      </c>
      <c r="I4228" s="3">
        <v>0</v>
      </c>
      <c r="J4228" s="3">
        <v>0</v>
      </c>
      <c r="K4228" s="3">
        <f t="shared" si="155"/>
        <v>0</v>
      </c>
      <c r="L4228" s="3"/>
      <c r="M4228" s="3">
        <f t="shared" si="154"/>
        <v>0</v>
      </c>
      <c r="O4228" s="5"/>
      <c r="S4228" s="11"/>
    </row>
    <row r="4229" spans="1:22" customFormat="1" x14ac:dyDescent="0.45">
      <c r="A4229">
        <v>767888</v>
      </c>
      <c r="B4229" t="s">
        <v>24229</v>
      </c>
      <c r="C4229" t="s">
        <v>24230</v>
      </c>
      <c r="D4229">
        <v>1</v>
      </c>
      <c r="F4229" s="126"/>
      <c r="G4229" s="3">
        <v>0</v>
      </c>
      <c r="H4229" s="3">
        <v>0</v>
      </c>
      <c r="I4229" s="3">
        <v>0</v>
      </c>
      <c r="J4229" s="3">
        <v>0</v>
      </c>
      <c r="K4229" s="3">
        <f t="shared" si="155"/>
        <v>0</v>
      </c>
      <c r="L4229" s="3"/>
      <c r="M4229" s="3">
        <f t="shared" si="154"/>
        <v>0</v>
      </c>
      <c r="O4229" s="5"/>
      <c r="S4229" s="11"/>
    </row>
    <row r="4230" spans="1:22" s="14" customFormat="1" x14ac:dyDescent="0.45">
      <c r="A4230" s="14">
        <v>767956</v>
      </c>
      <c r="B4230" s="14" t="s">
        <v>24231</v>
      </c>
      <c r="C4230" s="15" t="s">
        <v>24232</v>
      </c>
      <c r="D4230" s="14">
        <v>12</v>
      </c>
      <c r="E4230" s="14" t="s">
        <v>24233</v>
      </c>
      <c r="F4230" s="126">
        <v>2.2000000000000001E-3</v>
      </c>
      <c r="G4230" s="16">
        <v>2.5000000000000001E-2</v>
      </c>
      <c r="H4230" s="16">
        <v>0.01</v>
      </c>
      <c r="I4230" s="17">
        <v>0</v>
      </c>
      <c r="J4230" s="17">
        <v>0</v>
      </c>
      <c r="K4230" s="16"/>
      <c r="L4230" s="16"/>
      <c r="M4230" s="16"/>
      <c r="O4230" s="15" t="s">
        <v>18884</v>
      </c>
      <c r="S4230" s="11"/>
      <c r="T4230" s="61" t="e">
        <f>S4230/Q4230</f>
        <v>#DIV/0!</v>
      </c>
      <c r="V4230" s="15"/>
    </row>
    <row r="4231" spans="1:22" s="51" customFormat="1" x14ac:dyDescent="0.45">
      <c r="A4231" s="51">
        <v>768168</v>
      </c>
      <c r="B4231" s="51" t="s">
        <v>24234</v>
      </c>
      <c r="C4231" s="51" t="s">
        <v>24235</v>
      </c>
      <c r="D4231" s="51">
        <v>0</v>
      </c>
      <c r="E4231" s="51" t="s">
        <v>16334</v>
      </c>
      <c r="F4231" s="126"/>
      <c r="G4231" s="52">
        <v>0</v>
      </c>
      <c r="H4231" s="52">
        <v>0</v>
      </c>
      <c r="I4231" s="52">
        <v>0</v>
      </c>
      <c r="J4231" s="52">
        <v>0</v>
      </c>
      <c r="K4231" s="3">
        <f t="shared" ref="K4231:K4294" si="156">SUM(G4231:J4231)</f>
        <v>0</v>
      </c>
      <c r="L4231" s="3"/>
      <c r="M4231" s="3">
        <f t="shared" ref="M4231:M4294" si="157">K4231+F4231</f>
        <v>0</v>
      </c>
      <c r="N4231" s="52"/>
      <c r="S4231" s="11"/>
      <c r="T4231" s="10"/>
    </row>
    <row r="4232" spans="1:22" customFormat="1" x14ac:dyDescent="0.45">
      <c r="A4232">
        <v>768197</v>
      </c>
      <c r="B4232" t="s">
        <v>24236</v>
      </c>
      <c r="C4232" t="s">
        <v>24237</v>
      </c>
      <c r="D4232">
        <v>1</v>
      </c>
      <c r="F4232" s="126"/>
      <c r="G4232" s="7">
        <v>0</v>
      </c>
      <c r="H4232" s="7">
        <v>0</v>
      </c>
      <c r="I4232" s="7">
        <v>0</v>
      </c>
      <c r="J4232" s="7">
        <v>0</v>
      </c>
      <c r="K4232" s="3">
        <f t="shared" si="156"/>
        <v>0</v>
      </c>
      <c r="L4232" s="3"/>
      <c r="M4232" s="3">
        <f t="shared" si="157"/>
        <v>0</v>
      </c>
      <c r="N4232" s="7"/>
      <c r="O4232" s="5"/>
      <c r="S4232" s="11"/>
    </row>
    <row r="4233" spans="1:22" customFormat="1" x14ac:dyDescent="0.45">
      <c r="A4233">
        <v>768336</v>
      </c>
      <c r="B4233" t="s">
        <v>24238</v>
      </c>
      <c r="C4233" t="s">
        <v>16331</v>
      </c>
      <c r="D4233">
        <v>1</v>
      </c>
      <c r="E4233" t="s">
        <v>16331</v>
      </c>
      <c r="F4233" s="126"/>
      <c r="G4233" s="7">
        <v>0</v>
      </c>
      <c r="H4233" s="7">
        <v>0</v>
      </c>
      <c r="I4233" s="7">
        <v>0</v>
      </c>
      <c r="J4233" s="7">
        <v>0</v>
      </c>
      <c r="K4233" s="3">
        <f t="shared" si="156"/>
        <v>0</v>
      </c>
      <c r="L4233" s="3"/>
      <c r="M4233" s="3">
        <f t="shared" si="157"/>
        <v>0</v>
      </c>
      <c r="O4233" s="5"/>
      <c r="S4233" s="11"/>
    </row>
    <row r="4234" spans="1:22" customFormat="1" x14ac:dyDescent="0.45">
      <c r="A4234">
        <v>768337</v>
      </c>
      <c r="B4234" t="s">
        <v>24239</v>
      </c>
      <c r="C4234" t="s">
        <v>24240</v>
      </c>
      <c r="D4234">
        <v>3</v>
      </c>
      <c r="F4234" s="126"/>
      <c r="G4234" s="3">
        <v>0</v>
      </c>
      <c r="H4234" s="3">
        <v>0</v>
      </c>
      <c r="I4234" s="3">
        <v>0</v>
      </c>
      <c r="J4234" s="3">
        <v>0</v>
      </c>
      <c r="K4234" s="3">
        <f t="shared" si="156"/>
        <v>0</v>
      </c>
      <c r="L4234" s="3"/>
      <c r="M4234" s="3">
        <f t="shared" si="157"/>
        <v>0</v>
      </c>
      <c r="O4234" s="5"/>
      <c r="S4234" s="11"/>
    </row>
    <row r="4235" spans="1:22" customFormat="1" x14ac:dyDescent="0.45">
      <c r="A4235">
        <v>768417</v>
      </c>
      <c r="B4235" t="s">
        <v>24241</v>
      </c>
      <c r="C4235" t="s">
        <v>24242</v>
      </c>
      <c r="D4235">
        <v>2</v>
      </c>
      <c r="F4235" s="126"/>
      <c r="G4235" s="3">
        <v>0</v>
      </c>
      <c r="H4235" s="3">
        <v>0</v>
      </c>
      <c r="I4235" s="3">
        <v>0</v>
      </c>
      <c r="J4235" s="3">
        <v>0</v>
      </c>
      <c r="K4235" s="3">
        <f t="shared" si="156"/>
        <v>0</v>
      </c>
      <c r="L4235" s="3"/>
      <c r="M4235" s="3">
        <f t="shared" si="157"/>
        <v>0</v>
      </c>
      <c r="O4235" s="5"/>
      <c r="S4235" s="11"/>
    </row>
    <row r="4236" spans="1:22" customFormat="1" x14ac:dyDescent="0.45">
      <c r="A4236">
        <v>768949</v>
      </c>
      <c r="B4236" t="s">
        <v>24243</v>
      </c>
      <c r="C4236" t="s">
        <v>24244</v>
      </c>
      <c r="D4236">
        <v>1</v>
      </c>
      <c r="F4236" s="126"/>
      <c r="G4236" s="3">
        <v>0</v>
      </c>
      <c r="H4236" s="3">
        <v>0</v>
      </c>
      <c r="I4236" s="3">
        <v>0</v>
      </c>
      <c r="J4236" s="3">
        <v>0</v>
      </c>
      <c r="K4236" s="3">
        <f t="shared" si="156"/>
        <v>0</v>
      </c>
      <c r="L4236" s="3"/>
      <c r="M4236" s="3">
        <f t="shared" si="157"/>
        <v>0</v>
      </c>
      <c r="O4236" s="5"/>
      <c r="S4236" s="11"/>
    </row>
    <row r="4237" spans="1:22" customFormat="1" x14ac:dyDescent="0.45">
      <c r="A4237">
        <v>768993</v>
      </c>
      <c r="B4237" t="s">
        <v>24245</v>
      </c>
      <c r="C4237" t="s">
        <v>24246</v>
      </c>
      <c r="D4237">
        <v>0</v>
      </c>
      <c r="E4237" t="s">
        <v>16561</v>
      </c>
      <c r="F4237" s="126"/>
      <c r="G4237" s="3">
        <v>0</v>
      </c>
      <c r="H4237" s="3">
        <v>0</v>
      </c>
      <c r="I4237" s="3">
        <v>0</v>
      </c>
      <c r="J4237" s="3">
        <v>0</v>
      </c>
      <c r="K4237" s="3">
        <f t="shared" si="156"/>
        <v>0</v>
      </c>
      <c r="L4237" s="3"/>
      <c r="M4237" s="3">
        <f t="shared" si="157"/>
        <v>0</v>
      </c>
      <c r="O4237" s="5"/>
      <c r="S4237" s="11"/>
    </row>
    <row r="4238" spans="1:22" customFormat="1" x14ac:dyDescent="0.45">
      <c r="A4238">
        <v>769030</v>
      </c>
      <c r="B4238" t="s">
        <v>24247</v>
      </c>
      <c r="C4238" t="s">
        <v>16331</v>
      </c>
      <c r="D4238">
        <v>1</v>
      </c>
      <c r="E4238" t="s">
        <v>16331</v>
      </c>
      <c r="F4238" s="126"/>
      <c r="K4238" s="3">
        <f t="shared" si="156"/>
        <v>0</v>
      </c>
      <c r="L4238" s="3"/>
      <c r="M4238" s="3">
        <f t="shared" si="157"/>
        <v>0</v>
      </c>
      <c r="O4238" s="5"/>
      <c r="S4238" s="11"/>
    </row>
    <row r="4239" spans="1:22" x14ac:dyDescent="0.45">
      <c r="A4239" s="124">
        <v>435970</v>
      </c>
      <c r="B4239" s="124" t="s">
        <v>24248</v>
      </c>
      <c r="C4239" s="125" t="s">
        <v>24249</v>
      </c>
      <c r="D4239" s="124">
        <v>67</v>
      </c>
      <c r="E4239" s="124" t="s">
        <v>16417</v>
      </c>
      <c r="F4239" s="126">
        <v>9.7999999999999997E-3</v>
      </c>
      <c r="G4239" s="126">
        <v>0.03</v>
      </c>
      <c r="H4239" s="126">
        <v>0.01</v>
      </c>
      <c r="I4239" s="127">
        <v>0</v>
      </c>
      <c r="J4239" s="127">
        <v>0</v>
      </c>
      <c r="K4239" s="126">
        <f t="shared" si="156"/>
        <v>0.04</v>
      </c>
      <c r="L4239" s="3"/>
      <c r="M4239" s="126">
        <f t="shared" si="157"/>
        <v>4.9799999999999997E-2</v>
      </c>
      <c r="N4239" s="124" t="s">
        <v>24250</v>
      </c>
      <c r="O4239" s="125" t="s">
        <v>24251</v>
      </c>
      <c r="P4239" s="125" t="s">
        <v>24252</v>
      </c>
      <c r="Q4239" s="130">
        <v>169640000</v>
      </c>
      <c r="R4239" s="130" t="s">
        <v>16348</v>
      </c>
      <c r="S4239" s="130">
        <v>136930000</v>
      </c>
      <c r="T4239" s="129">
        <f>S4239/Q4239</f>
        <v>0.80717991039849091</v>
      </c>
      <c r="U4239" s="130" t="s">
        <v>19</v>
      </c>
      <c r="V4239" s="125" t="s">
        <v>24253</v>
      </c>
    </row>
    <row r="4240" spans="1:22" customFormat="1" x14ac:dyDescent="0.45">
      <c r="A4240">
        <v>769227</v>
      </c>
      <c r="B4240" t="s">
        <v>24254</v>
      </c>
      <c r="C4240" s="2" t="s">
        <v>24255</v>
      </c>
      <c r="D4240">
        <v>1</v>
      </c>
      <c r="F4240" s="126"/>
      <c r="G4240" s="3">
        <v>0</v>
      </c>
      <c r="H4240" s="3">
        <v>0</v>
      </c>
      <c r="I4240" s="3">
        <v>0</v>
      </c>
      <c r="J4240" s="3">
        <v>0</v>
      </c>
      <c r="K4240" s="3">
        <f t="shared" si="156"/>
        <v>0</v>
      </c>
      <c r="L4240" s="3"/>
      <c r="M4240" s="3">
        <f t="shared" si="157"/>
        <v>0</v>
      </c>
      <c r="O4240" s="5"/>
      <c r="S4240" s="11"/>
    </row>
    <row r="4241" spans="1:22" customFormat="1" x14ac:dyDescent="0.45">
      <c r="A4241">
        <v>769483</v>
      </c>
      <c r="B4241" t="s">
        <v>24256</v>
      </c>
      <c r="C4241" t="s">
        <v>24257</v>
      </c>
      <c r="D4241">
        <v>3</v>
      </c>
      <c r="F4241" s="126"/>
      <c r="G4241" s="3">
        <v>0</v>
      </c>
      <c r="H4241" s="3">
        <v>0</v>
      </c>
      <c r="I4241" s="3">
        <v>0</v>
      </c>
      <c r="J4241" s="3">
        <v>0</v>
      </c>
      <c r="K4241" s="3">
        <f t="shared" si="156"/>
        <v>0</v>
      </c>
      <c r="L4241" s="3"/>
      <c r="M4241" s="3">
        <f t="shared" si="157"/>
        <v>0</v>
      </c>
      <c r="O4241" s="5"/>
      <c r="S4241" s="11"/>
    </row>
    <row r="4242" spans="1:22" x14ac:dyDescent="0.45">
      <c r="A4242" s="124">
        <v>120967</v>
      </c>
      <c r="B4242" s="124" t="s">
        <v>24258</v>
      </c>
      <c r="C4242" s="125" t="s">
        <v>24259</v>
      </c>
      <c r="D4242" s="124">
        <v>5</v>
      </c>
      <c r="E4242" s="124" t="s">
        <v>16417</v>
      </c>
      <c r="F4242" s="126">
        <v>9.7999999999999997E-3</v>
      </c>
      <c r="G4242" s="126">
        <v>0.03</v>
      </c>
      <c r="H4242" s="126">
        <v>0.01</v>
      </c>
      <c r="I4242" s="127">
        <v>0</v>
      </c>
      <c r="J4242" s="127">
        <v>0</v>
      </c>
      <c r="K4242" s="126">
        <f t="shared" si="156"/>
        <v>0.04</v>
      </c>
      <c r="L4242" s="3"/>
      <c r="M4242" s="126">
        <f t="shared" si="157"/>
        <v>4.9799999999999997E-2</v>
      </c>
      <c r="N4242" s="124" t="s">
        <v>26928</v>
      </c>
      <c r="O4242" s="125" t="s">
        <v>24251</v>
      </c>
      <c r="P4242" s="125" t="s">
        <v>24252</v>
      </c>
      <c r="Q4242" s="130">
        <v>169640000</v>
      </c>
      <c r="R4242" s="130" t="s">
        <v>16348</v>
      </c>
      <c r="S4242" s="130">
        <v>136930000</v>
      </c>
      <c r="T4242" s="130">
        <f>S4242/Q4242</f>
        <v>0.80717991039849091</v>
      </c>
      <c r="U4242" s="130" t="s">
        <v>19</v>
      </c>
      <c r="V4242" s="125" t="s">
        <v>24253</v>
      </c>
    </row>
    <row r="4243" spans="1:22" customFormat="1" x14ac:dyDescent="0.45">
      <c r="A4243">
        <v>769876</v>
      </c>
      <c r="B4243" t="s">
        <v>24260</v>
      </c>
      <c r="C4243" t="s">
        <v>24261</v>
      </c>
      <c r="D4243">
        <v>0</v>
      </c>
      <c r="E4243" t="s">
        <v>16561</v>
      </c>
      <c r="F4243" s="126"/>
      <c r="G4243" s="7">
        <v>0</v>
      </c>
      <c r="H4243" s="7">
        <v>0</v>
      </c>
      <c r="I4243" s="7">
        <v>0</v>
      </c>
      <c r="J4243" s="7">
        <v>0</v>
      </c>
      <c r="K4243" s="3">
        <f t="shared" si="156"/>
        <v>0</v>
      </c>
      <c r="L4243" s="3"/>
      <c r="M4243" s="3">
        <f t="shared" si="157"/>
        <v>0</v>
      </c>
      <c r="N4243" s="7"/>
      <c r="O4243" s="5"/>
      <c r="S4243" s="11"/>
    </row>
    <row r="4244" spans="1:22" customFormat="1" x14ac:dyDescent="0.45">
      <c r="A4244">
        <v>770375</v>
      </c>
      <c r="B4244" t="s">
        <v>24262</v>
      </c>
      <c r="C4244" t="s">
        <v>24263</v>
      </c>
      <c r="D4244">
        <v>7</v>
      </c>
      <c r="F4244" s="126"/>
      <c r="G4244" s="3"/>
      <c r="H4244" s="3"/>
      <c r="I4244" s="3"/>
      <c r="J4244" s="3"/>
      <c r="K4244" s="3">
        <f t="shared" si="156"/>
        <v>0</v>
      </c>
      <c r="L4244" s="3"/>
      <c r="M4244" s="3">
        <f t="shared" si="157"/>
        <v>0</v>
      </c>
      <c r="O4244" s="5"/>
      <c r="S4244" s="11"/>
    </row>
    <row r="4245" spans="1:22" customFormat="1" x14ac:dyDescent="0.45">
      <c r="A4245">
        <v>770385</v>
      </c>
      <c r="B4245" t="s">
        <v>24264</v>
      </c>
      <c r="C4245" t="s">
        <v>16331</v>
      </c>
      <c r="D4245">
        <v>1</v>
      </c>
      <c r="E4245" t="s">
        <v>16331</v>
      </c>
      <c r="F4245" s="126"/>
      <c r="G4245" s="7">
        <v>0</v>
      </c>
      <c r="H4245" s="7">
        <v>0</v>
      </c>
      <c r="I4245" s="7">
        <v>0</v>
      </c>
      <c r="J4245" s="7">
        <v>0</v>
      </c>
      <c r="K4245" s="3">
        <f t="shared" si="156"/>
        <v>0</v>
      </c>
      <c r="L4245" s="3"/>
      <c r="M4245" s="3">
        <f t="shared" si="157"/>
        <v>0</v>
      </c>
      <c r="O4245" s="5"/>
      <c r="S4245" s="11"/>
    </row>
    <row r="4246" spans="1:22" customFormat="1" x14ac:dyDescent="0.45">
      <c r="A4246">
        <v>770509</v>
      </c>
      <c r="B4246" t="s">
        <v>24265</v>
      </c>
      <c r="C4246" t="s">
        <v>24266</v>
      </c>
      <c r="D4246">
        <v>3</v>
      </c>
      <c r="F4246" s="126"/>
      <c r="G4246" s="3">
        <v>0</v>
      </c>
      <c r="H4246" s="3">
        <v>0</v>
      </c>
      <c r="I4246" s="3">
        <v>0</v>
      </c>
      <c r="J4246" s="3">
        <v>0</v>
      </c>
      <c r="K4246" s="3">
        <f t="shared" si="156"/>
        <v>0</v>
      </c>
      <c r="L4246" s="3"/>
      <c r="M4246" s="3">
        <f t="shared" si="157"/>
        <v>0</v>
      </c>
      <c r="O4246" s="5"/>
      <c r="S4246" s="11"/>
    </row>
    <row r="4247" spans="1:22" customFormat="1" x14ac:dyDescent="0.45">
      <c r="A4247">
        <v>770606</v>
      </c>
      <c r="B4247" t="s">
        <v>24267</v>
      </c>
      <c r="C4247" t="s">
        <v>24268</v>
      </c>
      <c r="D4247">
        <v>5</v>
      </c>
      <c r="F4247" s="126"/>
      <c r="G4247" s="3">
        <v>0</v>
      </c>
      <c r="H4247" s="3">
        <v>0</v>
      </c>
      <c r="I4247" s="3">
        <v>0</v>
      </c>
      <c r="J4247" s="3">
        <v>0</v>
      </c>
      <c r="K4247" s="3">
        <f t="shared" si="156"/>
        <v>0</v>
      </c>
      <c r="L4247" s="3"/>
      <c r="M4247" s="3">
        <f t="shared" si="157"/>
        <v>0</v>
      </c>
      <c r="O4247" s="5"/>
      <c r="S4247" s="11"/>
    </row>
    <row r="4248" spans="1:22" customFormat="1" x14ac:dyDescent="0.45">
      <c r="A4248">
        <v>770616</v>
      </c>
      <c r="B4248" t="s">
        <v>24269</v>
      </c>
      <c r="C4248" t="s">
        <v>24270</v>
      </c>
      <c r="D4248">
        <v>3</v>
      </c>
      <c r="F4248" s="126"/>
      <c r="G4248" s="7">
        <v>0</v>
      </c>
      <c r="H4248" s="7">
        <v>0</v>
      </c>
      <c r="I4248" s="7">
        <v>0</v>
      </c>
      <c r="J4248" s="7">
        <v>0</v>
      </c>
      <c r="K4248" s="3">
        <f t="shared" si="156"/>
        <v>0</v>
      </c>
      <c r="L4248" s="3"/>
      <c r="M4248" s="3">
        <f t="shared" si="157"/>
        <v>0</v>
      </c>
      <c r="N4248" s="7"/>
      <c r="O4248" s="5"/>
      <c r="S4248" s="11"/>
    </row>
    <row r="4249" spans="1:22" customFormat="1" x14ac:dyDescent="0.45">
      <c r="A4249">
        <v>770728</v>
      </c>
      <c r="B4249" t="s">
        <v>24271</v>
      </c>
      <c r="C4249" t="s">
        <v>24272</v>
      </c>
      <c r="D4249">
        <v>1</v>
      </c>
      <c r="F4249" s="126"/>
      <c r="G4249" s="7">
        <v>0</v>
      </c>
      <c r="H4249" s="7">
        <v>0</v>
      </c>
      <c r="I4249" s="7">
        <v>0</v>
      </c>
      <c r="J4249" s="7">
        <v>0</v>
      </c>
      <c r="K4249" s="3">
        <f t="shared" si="156"/>
        <v>0</v>
      </c>
      <c r="L4249" s="3"/>
      <c r="M4249" s="3">
        <f t="shared" si="157"/>
        <v>0</v>
      </c>
      <c r="O4249" s="5"/>
      <c r="S4249" s="11"/>
    </row>
    <row r="4250" spans="1:22" customFormat="1" x14ac:dyDescent="0.45">
      <c r="A4250">
        <v>771172</v>
      </c>
      <c r="B4250" t="s">
        <v>24273</v>
      </c>
      <c r="C4250" t="s">
        <v>16331</v>
      </c>
      <c r="D4250">
        <v>4</v>
      </c>
      <c r="E4250" t="s">
        <v>16331</v>
      </c>
      <c r="F4250" s="126"/>
      <c r="G4250" s="7">
        <v>0</v>
      </c>
      <c r="H4250" s="7">
        <v>0</v>
      </c>
      <c r="I4250" s="7">
        <v>0</v>
      </c>
      <c r="J4250" s="7">
        <v>0</v>
      </c>
      <c r="K4250" s="3">
        <f t="shared" si="156"/>
        <v>0</v>
      </c>
      <c r="L4250" s="3"/>
      <c r="M4250" s="3">
        <f t="shared" si="157"/>
        <v>0</v>
      </c>
      <c r="O4250" s="5"/>
      <c r="S4250" s="11"/>
    </row>
    <row r="4251" spans="1:22" customFormat="1" x14ac:dyDescent="0.45">
      <c r="A4251">
        <v>771182</v>
      </c>
      <c r="B4251" t="s">
        <v>24274</v>
      </c>
      <c r="C4251" t="s">
        <v>16331</v>
      </c>
      <c r="D4251">
        <v>1</v>
      </c>
      <c r="E4251" t="s">
        <v>16331</v>
      </c>
      <c r="F4251" s="126"/>
      <c r="G4251" s="7">
        <v>0</v>
      </c>
      <c r="H4251" s="7">
        <v>0</v>
      </c>
      <c r="I4251" s="7">
        <v>0</v>
      </c>
      <c r="J4251" s="7">
        <v>0</v>
      </c>
      <c r="K4251" s="3">
        <f t="shared" si="156"/>
        <v>0</v>
      </c>
      <c r="L4251" s="3"/>
      <c r="M4251" s="3">
        <f t="shared" si="157"/>
        <v>0</v>
      </c>
      <c r="O4251" s="5"/>
      <c r="S4251" s="11"/>
    </row>
    <row r="4252" spans="1:22" customFormat="1" x14ac:dyDescent="0.45">
      <c r="A4252">
        <v>771505</v>
      </c>
      <c r="B4252" t="s">
        <v>24275</v>
      </c>
      <c r="C4252" t="s">
        <v>24276</v>
      </c>
      <c r="D4252">
        <v>2</v>
      </c>
      <c r="F4252" s="126"/>
      <c r="G4252" s="7">
        <v>0</v>
      </c>
      <c r="H4252" s="7">
        <v>0</v>
      </c>
      <c r="I4252" s="7">
        <v>0</v>
      </c>
      <c r="J4252" s="7">
        <v>0</v>
      </c>
      <c r="K4252" s="3">
        <f t="shared" si="156"/>
        <v>0</v>
      </c>
      <c r="L4252" s="3"/>
      <c r="M4252" s="3">
        <f t="shared" si="157"/>
        <v>0</v>
      </c>
      <c r="N4252" s="7"/>
      <c r="O4252" s="5"/>
      <c r="S4252" s="11"/>
    </row>
    <row r="4253" spans="1:22" customFormat="1" x14ac:dyDescent="0.45">
      <c r="A4253">
        <v>771506</v>
      </c>
      <c r="B4253" t="s">
        <v>24277</v>
      </c>
      <c r="C4253" t="s">
        <v>24278</v>
      </c>
      <c r="D4253">
        <v>4</v>
      </c>
      <c r="F4253" s="126"/>
      <c r="G4253" s="3">
        <v>0</v>
      </c>
      <c r="H4253" s="3">
        <v>0</v>
      </c>
      <c r="I4253" s="3">
        <v>0</v>
      </c>
      <c r="J4253" s="3">
        <v>0</v>
      </c>
      <c r="K4253" s="3">
        <f t="shared" si="156"/>
        <v>0</v>
      </c>
      <c r="L4253" s="3"/>
      <c r="M4253" s="3">
        <f t="shared" si="157"/>
        <v>0</v>
      </c>
      <c r="O4253" s="5"/>
      <c r="S4253" s="11"/>
    </row>
    <row r="4254" spans="1:22" customFormat="1" x14ac:dyDescent="0.45">
      <c r="A4254">
        <v>771586</v>
      </c>
      <c r="B4254" t="s">
        <v>24279</v>
      </c>
      <c r="C4254" t="s">
        <v>16331</v>
      </c>
      <c r="D4254">
        <v>3</v>
      </c>
      <c r="E4254" t="s">
        <v>16331</v>
      </c>
      <c r="F4254" s="126"/>
      <c r="G4254" s="7">
        <v>0</v>
      </c>
      <c r="H4254" s="7">
        <v>0</v>
      </c>
      <c r="I4254" s="7">
        <v>0</v>
      </c>
      <c r="J4254" s="7">
        <v>0</v>
      </c>
      <c r="K4254" s="3">
        <f t="shared" si="156"/>
        <v>0</v>
      </c>
      <c r="L4254" s="3"/>
      <c r="M4254" s="3">
        <f t="shared" si="157"/>
        <v>0</v>
      </c>
      <c r="O4254" s="5"/>
      <c r="S4254" s="11"/>
    </row>
    <row r="4255" spans="1:22" customFormat="1" x14ac:dyDescent="0.45">
      <c r="A4255">
        <v>771963</v>
      </c>
      <c r="B4255" t="s">
        <v>24280</v>
      </c>
      <c r="C4255" t="s">
        <v>16331</v>
      </c>
      <c r="D4255">
        <v>2</v>
      </c>
      <c r="E4255" t="s">
        <v>16331</v>
      </c>
      <c r="F4255" s="126"/>
      <c r="G4255" s="7">
        <v>0</v>
      </c>
      <c r="H4255" s="7">
        <v>0</v>
      </c>
      <c r="I4255" s="7">
        <v>0</v>
      </c>
      <c r="J4255" s="7">
        <v>0</v>
      </c>
      <c r="K4255" s="3">
        <f t="shared" si="156"/>
        <v>0</v>
      </c>
      <c r="L4255" s="3"/>
      <c r="M4255" s="3">
        <f t="shared" si="157"/>
        <v>0</v>
      </c>
      <c r="O4255" s="5"/>
      <c r="S4255" s="11"/>
    </row>
    <row r="4256" spans="1:22" customFormat="1" x14ac:dyDescent="0.45">
      <c r="A4256">
        <v>772054</v>
      </c>
      <c r="B4256" t="s">
        <v>24281</v>
      </c>
      <c r="C4256" t="s">
        <v>24282</v>
      </c>
      <c r="D4256">
        <v>1</v>
      </c>
      <c r="F4256" s="126"/>
      <c r="G4256" s="3">
        <v>0</v>
      </c>
      <c r="H4256" s="3">
        <v>0</v>
      </c>
      <c r="I4256" s="3">
        <v>0</v>
      </c>
      <c r="J4256" s="3">
        <v>0</v>
      </c>
      <c r="K4256" s="3">
        <f t="shared" si="156"/>
        <v>0</v>
      </c>
      <c r="L4256" s="3"/>
      <c r="M4256" s="3">
        <f t="shared" si="157"/>
        <v>0</v>
      </c>
      <c r="O4256" s="5"/>
      <c r="S4256" s="11"/>
    </row>
    <row r="4257" spans="1:22" customFormat="1" x14ac:dyDescent="0.45">
      <c r="A4257">
        <v>772311</v>
      </c>
      <c r="B4257" t="s">
        <v>24283</v>
      </c>
      <c r="C4257" t="s">
        <v>24284</v>
      </c>
      <c r="D4257">
        <v>1</v>
      </c>
      <c r="F4257" s="126"/>
      <c r="G4257" s="3">
        <v>0</v>
      </c>
      <c r="H4257" s="3">
        <v>0</v>
      </c>
      <c r="I4257" s="3">
        <v>0</v>
      </c>
      <c r="J4257" s="3">
        <v>0</v>
      </c>
      <c r="K4257" s="3">
        <f t="shared" si="156"/>
        <v>0</v>
      </c>
      <c r="L4257" s="3"/>
      <c r="M4257" s="3">
        <f t="shared" si="157"/>
        <v>0</v>
      </c>
      <c r="O4257" s="5"/>
      <c r="S4257" s="11"/>
    </row>
    <row r="4258" spans="1:22" customFormat="1" x14ac:dyDescent="0.45">
      <c r="A4258">
        <v>772323</v>
      </c>
      <c r="B4258" t="s">
        <v>24285</v>
      </c>
      <c r="C4258" t="s">
        <v>16331</v>
      </c>
      <c r="D4258">
        <v>1</v>
      </c>
      <c r="E4258" t="s">
        <v>16331</v>
      </c>
      <c r="F4258" s="126"/>
      <c r="K4258" s="3">
        <f t="shared" si="156"/>
        <v>0</v>
      </c>
      <c r="L4258" s="3"/>
      <c r="M4258" s="3">
        <f t="shared" si="157"/>
        <v>0</v>
      </c>
      <c r="O4258" s="5"/>
      <c r="S4258" s="11"/>
    </row>
    <row r="4259" spans="1:22" customFormat="1" x14ac:dyDescent="0.45">
      <c r="A4259">
        <v>772349</v>
      </c>
      <c r="B4259" t="s">
        <v>24286</v>
      </c>
      <c r="C4259" t="s">
        <v>16331</v>
      </c>
      <c r="D4259">
        <v>1</v>
      </c>
      <c r="E4259" t="s">
        <v>16331</v>
      </c>
      <c r="F4259" s="126"/>
      <c r="G4259" s="7">
        <v>0</v>
      </c>
      <c r="H4259" s="7">
        <v>0</v>
      </c>
      <c r="I4259" s="7">
        <v>0</v>
      </c>
      <c r="J4259" s="7">
        <v>0</v>
      </c>
      <c r="K4259" s="3">
        <f t="shared" si="156"/>
        <v>0</v>
      </c>
      <c r="L4259" s="3"/>
      <c r="M4259" s="3">
        <f t="shared" si="157"/>
        <v>0</v>
      </c>
      <c r="O4259" s="5"/>
      <c r="S4259" s="11"/>
    </row>
    <row r="4260" spans="1:22" x14ac:dyDescent="0.45">
      <c r="A4260" s="124">
        <v>144519</v>
      </c>
      <c r="B4260" s="124" t="s">
        <v>24287</v>
      </c>
      <c r="C4260" s="125" t="s">
        <v>24288</v>
      </c>
      <c r="D4260" s="124">
        <v>67</v>
      </c>
      <c r="E4260" s="124" t="s">
        <v>16417</v>
      </c>
      <c r="F4260" s="126">
        <v>9.7999999999999997E-3</v>
      </c>
      <c r="G4260" s="126">
        <v>0.03</v>
      </c>
      <c r="H4260" s="126">
        <v>0.01</v>
      </c>
      <c r="I4260" s="127">
        <v>0</v>
      </c>
      <c r="J4260" s="127">
        <v>0</v>
      </c>
      <c r="K4260" s="126">
        <f t="shared" si="156"/>
        <v>0.04</v>
      </c>
      <c r="L4260" s="3"/>
      <c r="M4260" s="126">
        <f t="shared" si="157"/>
        <v>4.9799999999999997E-2</v>
      </c>
      <c r="N4260" s="124" t="s">
        <v>26929</v>
      </c>
      <c r="O4260" s="125" t="s">
        <v>24251</v>
      </c>
      <c r="P4260" s="125" t="s">
        <v>24289</v>
      </c>
      <c r="Q4260" s="130">
        <v>169640000</v>
      </c>
      <c r="R4260" s="130" t="s">
        <v>16348</v>
      </c>
      <c r="S4260" s="130">
        <v>136930000</v>
      </c>
      <c r="T4260" s="129">
        <f>S4260/Q4260</f>
        <v>0.80717991039849091</v>
      </c>
      <c r="U4260" s="130" t="s">
        <v>19</v>
      </c>
      <c r="V4260" s="125" t="s">
        <v>24253</v>
      </c>
    </row>
    <row r="4261" spans="1:22" customFormat="1" x14ac:dyDescent="0.45">
      <c r="A4261">
        <v>772454</v>
      </c>
      <c r="B4261" t="s">
        <v>24290</v>
      </c>
      <c r="C4261" t="s">
        <v>24291</v>
      </c>
      <c r="D4261">
        <v>1</v>
      </c>
      <c r="F4261" s="126"/>
      <c r="G4261" s="7">
        <v>0</v>
      </c>
      <c r="H4261" s="7">
        <v>0</v>
      </c>
      <c r="I4261" s="7">
        <v>0</v>
      </c>
      <c r="J4261" s="7">
        <v>0</v>
      </c>
      <c r="K4261" s="3">
        <f t="shared" si="156"/>
        <v>0</v>
      </c>
      <c r="L4261" s="3"/>
      <c r="M4261" s="3">
        <f t="shared" si="157"/>
        <v>0</v>
      </c>
      <c r="O4261" s="5"/>
      <c r="S4261" s="6"/>
    </row>
    <row r="4262" spans="1:22" customFormat="1" x14ac:dyDescent="0.45">
      <c r="A4262">
        <v>772483</v>
      </c>
      <c r="B4262" t="s">
        <v>24292</v>
      </c>
      <c r="C4262" t="s">
        <v>24293</v>
      </c>
      <c r="D4262">
        <v>4</v>
      </c>
      <c r="F4262" s="126"/>
      <c r="G4262" s="3"/>
      <c r="H4262" s="3"/>
      <c r="I4262" s="3"/>
      <c r="J4262" s="3"/>
      <c r="K4262" s="3">
        <f t="shared" si="156"/>
        <v>0</v>
      </c>
      <c r="L4262" s="3"/>
      <c r="M4262" s="3">
        <f t="shared" si="157"/>
        <v>0</v>
      </c>
      <c r="O4262" s="5"/>
      <c r="S4262" s="6"/>
    </row>
    <row r="4263" spans="1:22" customFormat="1" x14ac:dyDescent="0.45">
      <c r="A4263">
        <v>772660</v>
      </c>
      <c r="B4263" t="s">
        <v>24294</v>
      </c>
      <c r="C4263" s="2" t="s">
        <v>24295</v>
      </c>
      <c r="D4263">
        <v>1</v>
      </c>
      <c r="F4263" s="126"/>
      <c r="G4263" s="3">
        <v>0</v>
      </c>
      <c r="H4263" s="3">
        <v>0</v>
      </c>
      <c r="I4263" s="3">
        <v>0</v>
      </c>
      <c r="J4263" s="3">
        <v>0</v>
      </c>
      <c r="K4263" s="3">
        <f t="shared" si="156"/>
        <v>0</v>
      </c>
      <c r="L4263" s="3"/>
      <c r="M4263" s="3">
        <f t="shared" si="157"/>
        <v>0</v>
      </c>
      <c r="O4263" s="5"/>
      <c r="S4263" s="6"/>
    </row>
    <row r="4264" spans="1:22" customFormat="1" x14ac:dyDescent="0.45">
      <c r="A4264">
        <v>772710</v>
      </c>
      <c r="B4264" t="s">
        <v>24296</v>
      </c>
      <c r="C4264" t="s">
        <v>24297</v>
      </c>
      <c r="D4264">
        <v>5</v>
      </c>
      <c r="F4264" s="126"/>
      <c r="G4264" s="7">
        <v>0</v>
      </c>
      <c r="H4264" s="7">
        <v>0</v>
      </c>
      <c r="I4264" s="7">
        <v>0</v>
      </c>
      <c r="J4264" s="7">
        <v>0</v>
      </c>
      <c r="K4264" s="3">
        <f t="shared" si="156"/>
        <v>0</v>
      </c>
      <c r="L4264" s="3"/>
      <c r="M4264" s="3">
        <f t="shared" si="157"/>
        <v>0</v>
      </c>
      <c r="O4264" s="5"/>
      <c r="S4264" s="6"/>
    </row>
    <row r="4265" spans="1:22" customFormat="1" x14ac:dyDescent="0.45">
      <c r="A4265">
        <v>772846</v>
      </c>
      <c r="B4265" t="s">
        <v>24298</v>
      </c>
      <c r="C4265" t="s">
        <v>24299</v>
      </c>
      <c r="D4265">
        <v>1</v>
      </c>
      <c r="F4265" s="126"/>
      <c r="G4265" s="3">
        <v>0</v>
      </c>
      <c r="H4265" s="3">
        <v>0</v>
      </c>
      <c r="I4265" s="3">
        <v>0</v>
      </c>
      <c r="J4265" s="3">
        <v>0</v>
      </c>
      <c r="K4265" s="3">
        <f t="shared" si="156"/>
        <v>0</v>
      </c>
      <c r="L4265" s="3"/>
      <c r="M4265" s="3">
        <f t="shared" si="157"/>
        <v>0</v>
      </c>
      <c r="O4265" s="5"/>
      <c r="S4265" s="6"/>
    </row>
    <row r="4266" spans="1:22" customFormat="1" x14ac:dyDescent="0.45">
      <c r="A4266">
        <v>773416</v>
      </c>
      <c r="B4266" t="s">
        <v>24300</v>
      </c>
      <c r="C4266" t="s">
        <v>24301</v>
      </c>
      <c r="D4266">
        <v>1</v>
      </c>
      <c r="F4266" s="126"/>
      <c r="G4266" s="3">
        <v>0</v>
      </c>
      <c r="H4266" s="3">
        <v>0</v>
      </c>
      <c r="I4266" s="3">
        <v>0</v>
      </c>
      <c r="J4266" s="3">
        <v>0</v>
      </c>
      <c r="K4266" s="3">
        <f t="shared" si="156"/>
        <v>0</v>
      </c>
      <c r="L4266" s="3"/>
      <c r="M4266" s="3">
        <f t="shared" si="157"/>
        <v>0</v>
      </c>
      <c r="O4266" s="5"/>
      <c r="S4266" s="6"/>
    </row>
    <row r="4267" spans="1:22" customFormat="1" x14ac:dyDescent="0.45">
      <c r="A4267">
        <v>773427</v>
      </c>
      <c r="B4267" t="s">
        <v>24302</v>
      </c>
      <c r="C4267" t="s">
        <v>16331</v>
      </c>
      <c r="D4267">
        <v>5</v>
      </c>
      <c r="E4267" t="s">
        <v>16331</v>
      </c>
      <c r="F4267" s="126"/>
      <c r="G4267" s="7">
        <v>0</v>
      </c>
      <c r="H4267" s="7">
        <v>0</v>
      </c>
      <c r="I4267" s="7">
        <v>0</v>
      </c>
      <c r="J4267" s="7">
        <v>0</v>
      </c>
      <c r="K4267" s="3">
        <f t="shared" si="156"/>
        <v>0</v>
      </c>
      <c r="L4267" s="3"/>
      <c r="M4267" s="3">
        <f t="shared" si="157"/>
        <v>0</v>
      </c>
      <c r="O4267" s="5"/>
      <c r="S4267" s="6"/>
    </row>
    <row r="4268" spans="1:22" customFormat="1" x14ac:dyDescent="0.45">
      <c r="A4268">
        <v>773429</v>
      </c>
      <c r="B4268" t="s">
        <v>24303</v>
      </c>
      <c r="C4268" t="s">
        <v>16331</v>
      </c>
      <c r="D4268">
        <v>1</v>
      </c>
      <c r="E4268" t="s">
        <v>16331</v>
      </c>
      <c r="F4268" s="126"/>
      <c r="G4268" s="7">
        <v>0</v>
      </c>
      <c r="H4268" s="7">
        <v>0</v>
      </c>
      <c r="I4268" s="7">
        <v>0</v>
      </c>
      <c r="J4268" s="7">
        <v>0</v>
      </c>
      <c r="K4268" s="3">
        <f t="shared" si="156"/>
        <v>0</v>
      </c>
      <c r="L4268" s="3"/>
      <c r="M4268" s="3">
        <f t="shared" si="157"/>
        <v>0</v>
      </c>
      <c r="O4268" s="5"/>
      <c r="S4268" s="6"/>
    </row>
    <row r="4269" spans="1:22" customFormat="1" x14ac:dyDescent="0.45">
      <c r="A4269">
        <v>773857</v>
      </c>
      <c r="B4269" t="s">
        <v>24304</v>
      </c>
      <c r="C4269" t="s">
        <v>16331</v>
      </c>
      <c r="D4269">
        <v>2</v>
      </c>
      <c r="E4269" t="s">
        <v>16331</v>
      </c>
      <c r="F4269" s="126"/>
      <c r="G4269" s="7">
        <v>0</v>
      </c>
      <c r="H4269" s="7">
        <v>0</v>
      </c>
      <c r="I4269" s="7">
        <v>0</v>
      </c>
      <c r="J4269" s="7">
        <v>0</v>
      </c>
      <c r="K4269" s="3">
        <f t="shared" si="156"/>
        <v>0</v>
      </c>
      <c r="L4269" s="3"/>
      <c r="M4269" s="3">
        <f t="shared" si="157"/>
        <v>0</v>
      </c>
      <c r="O4269" s="5"/>
      <c r="S4269" s="6"/>
    </row>
    <row r="4270" spans="1:22" customFormat="1" x14ac:dyDescent="0.45">
      <c r="A4270">
        <v>773901</v>
      </c>
      <c r="B4270" t="s">
        <v>24305</v>
      </c>
      <c r="C4270" t="s">
        <v>16331</v>
      </c>
      <c r="D4270">
        <v>1</v>
      </c>
      <c r="E4270" t="s">
        <v>16331</v>
      </c>
      <c r="F4270" s="126"/>
      <c r="G4270" s="7">
        <v>0</v>
      </c>
      <c r="H4270" s="7">
        <v>0</v>
      </c>
      <c r="I4270" s="7">
        <v>0</v>
      </c>
      <c r="J4270" s="7">
        <v>0</v>
      </c>
      <c r="K4270" s="3">
        <f t="shared" si="156"/>
        <v>0</v>
      </c>
      <c r="L4270" s="3"/>
      <c r="M4270" s="3">
        <f t="shared" si="157"/>
        <v>0</v>
      </c>
      <c r="O4270" s="5"/>
      <c r="S4270" s="6"/>
    </row>
    <row r="4271" spans="1:22" customFormat="1" x14ac:dyDescent="0.45">
      <c r="A4271">
        <v>774288</v>
      </c>
      <c r="B4271" t="s">
        <v>24306</v>
      </c>
      <c r="C4271" t="s">
        <v>16331</v>
      </c>
      <c r="D4271">
        <v>2</v>
      </c>
      <c r="E4271" t="s">
        <v>16331</v>
      </c>
      <c r="F4271" s="126"/>
      <c r="K4271" s="3">
        <f t="shared" si="156"/>
        <v>0</v>
      </c>
      <c r="L4271" s="3"/>
      <c r="M4271" s="3">
        <f t="shared" si="157"/>
        <v>0</v>
      </c>
      <c r="O4271" s="5"/>
      <c r="S4271" s="6"/>
    </row>
    <row r="4272" spans="1:22" customFormat="1" x14ac:dyDescent="0.45">
      <c r="A4272">
        <v>774324</v>
      </c>
      <c r="B4272" t="s">
        <v>24307</v>
      </c>
      <c r="C4272" t="s">
        <v>24308</v>
      </c>
      <c r="D4272">
        <v>3</v>
      </c>
      <c r="F4272" s="126"/>
      <c r="G4272" s="3">
        <v>0</v>
      </c>
      <c r="H4272" s="3">
        <v>0</v>
      </c>
      <c r="I4272" s="3">
        <v>0</v>
      </c>
      <c r="J4272" s="3">
        <v>0</v>
      </c>
      <c r="K4272" s="3">
        <f t="shared" si="156"/>
        <v>0</v>
      </c>
      <c r="L4272" s="3"/>
      <c r="M4272" s="3">
        <f t="shared" si="157"/>
        <v>0</v>
      </c>
      <c r="O4272" s="5"/>
      <c r="S4272" s="6"/>
    </row>
    <row r="4273" spans="1:22" customFormat="1" x14ac:dyDescent="0.45">
      <c r="A4273">
        <v>774450</v>
      </c>
      <c r="B4273" t="s">
        <v>24309</v>
      </c>
      <c r="C4273" t="s">
        <v>24310</v>
      </c>
      <c r="D4273">
        <v>2</v>
      </c>
      <c r="F4273" s="126"/>
      <c r="G4273" s="3">
        <v>0</v>
      </c>
      <c r="H4273" s="3">
        <v>0</v>
      </c>
      <c r="I4273" s="3">
        <v>0</v>
      </c>
      <c r="J4273" s="3">
        <v>0</v>
      </c>
      <c r="K4273" s="3">
        <f t="shared" si="156"/>
        <v>0</v>
      </c>
      <c r="L4273" s="3"/>
      <c r="M4273" s="3">
        <f t="shared" si="157"/>
        <v>0</v>
      </c>
      <c r="O4273" s="5"/>
      <c r="S4273" s="6"/>
    </row>
    <row r="4274" spans="1:22" x14ac:dyDescent="0.45">
      <c r="A4274" s="124">
        <v>455542</v>
      </c>
      <c r="B4274" s="124" t="s">
        <v>24311</v>
      </c>
      <c r="C4274" s="125" t="s">
        <v>24259</v>
      </c>
      <c r="D4274" s="125">
        <v>2</v>
      </c>
      <c r="E4274" s="124" t="s">
        <v>16417</v>
      </c>
      <c r="F4274" s="126">
        <v>9.7999999999999997E-3</v>
      </c>
      <c r="G4274" s="126">
        <v>0.03</v>
      </c>
      <c r="H4274" s="126">
        <v>0.01</v>
      </c>
      <c r="I4274" s="127">
        <v>0</v>
      </c>
      <c r="J4274" s="127">
        <v>0</v>
      </c>
      <c r="K4274" s="126">
        <f t="shared" si="156"/>
        <v>0.04</v>
      </c>
      <c r="L4274" s="3"/>
      <c r="M4274" s="126">
        <f t="shared" si="157"/>
        <v>4.9799999999999997E-2</v>
      </c>
      <c r="N4274" s="124" t="s">
        <v>26928</v>
      </c>
      <c r="O4274" s="125" t="s">
        <v>24251</v>
      </c>
      <c r="P4274" s="125" t="s">
        <v>24252</v>
      </c>
      <c r="Q4274" s="130">
        <v>169640000</v>
      </c>
      <c r="R4274" s="130" t="s">
        <v>16348</v>
      </c>
      <c r="S4274" s="130">
        <v>136930000</v>
      </c>
      <c r="T4274" s="129">
        <f>S4274/Q4274</f>
        <v>0.80717991039849091</v>
      </c>
      <c r="U4274" s="130" t="s">
        <v>19</v>
      </c>
      <c r="V4274" s="125" t="s">
        <v>24253</v>
      </c>
    </row>
    <row r="4275" spans="1:22" customFormat="1" x14ac:dyDescent="0.45">
      <c r="A4275">
        <v>774566</v>
      </c>
      <c r="B4275" t="s">
        <v>24312</v>
      </c>
      <c r="C4275" t="s">
        <v>24313</v>
      </c>
      <c r="D4275">
        <v>3</v>
      </c>
      <c r="F4275" s="126"/>
      <c r="G4275" s="7">
        <v>0</v>
      </c>
      <c r="H4275" s="7">
        <v>0</v>
      </c>
      <c r="I4275" s="7">
        <v>0</v>
      </c>
      <c r="J4275" s="7">
        <v>0</v>
      </c>
      <c r="K4275" s="3">
        <f t="shared" si="156"/>
        <v>0</v>
      </c>
      <c r="L4275" s="3"/>
      <c r="M4275" s="3">
        <f t="shared" si="157"/>
        <v>0</v>
      </c>
      <c r="O4275" s="5"/>
      <c r="S4275" s="6"/>
    </row>
    <row r="4276" spans="1:22" customFormat="1" x14ac:dyDescent="0.45">
      <c r="A4276">
        <v>774649</v>
      </c>
      <c r="B4276" t="s">
        <v>24314</v>
      </c>
      <c r="C4276" t="s">
        <v>24315</v>
      </c>
      <c r="D4276">
        <v>1</v>
      </c>
      <c r="F4276" s="126"/>
      <c r="K4276" s="3">
        <f t="shared" si="156"/>
        <v>0</v>
      </c>
      <c r="L4276" s="3"/>
      <c r="M4276" s="3">
        <f t="shared" si="157"/>
        <v>0</v>
      </c>
      <c r="O4276" s="5"/>
      <c r="S4276" s="6"/>
    </row>
    <row r="4277" spans="1:22" customFormat="1" x14ac:dyDescent="0.45">
      <c r="A4277">
        <v>774841</v>
      </c>
      <c r="B4277" t="s">
        <v>24316</v>
      </c>
      <c r="C4277" t="s">
        <v>24317</v>
      </c>
      <c r="D4277">
        <v>2</v>
      </c>
      <c r="F4277" s="126"/>
      <c r="G4277" s="3">
        <v>0</v>
      </c>
      <c r="H4277" s="3">
        <v>0</v>
      </c>
      <c r="I4277" s="3">
        <v>0</v>
      </c>
      <c r="J4277" s="3">
        <v>0</v>
      </c>
      <c r="K4277" s="3">
        <f t="shared" si="156"/>
        <v>0</v>
      </c>
      <c r="L4277" s="3"/>
      <c r="M4277" s="3">
        <f t="shared" si="157"/>
        <v>0</v>
      </c>
      <c r="O4277" s="5"/>
      <c r="S4277" s="6"/>
    </row>
    <row r="4278" spans="1:22" customFormat="1" x14ac:dyDescent="0.45">
      <c r="A4278">
        <v>774881</v>
      </c>
      <c r="B4278" t="s">
        <v>24318</v>
      </c>
      <c r="C4278" t="s">
        <v>24319</v>
      </c>
      <c r="D4278">
        <v>3</v>
      </c>
      <c r="F4278" s="126"/>
      <c r="G4278" s="3">
        <v>0</v>
      </c>
      <c r="H4278" s="3">
        <v>0</v>
      </c>
      <c r="I4278" s="3">
        <v>0</v>
      </c>
      <c r="J4278" s="3">
        <v>0</v>
      </c>
      <c r="K4278" s="3">
        <f t="shared" si="156"/>
        <v>0</v>
      </c>
      <c r="L4278" s="3"/>
      <c r="M4278" s="3">
        <f t="shared" si="157"/>
        <v>0</v>
      </c>
      <c r="O4278" s="5"/>
      <c r="S4278" s="6"/>
    </row>
    <row r="4279" spans="1:22" x14ac:dyDescent="0.45">
      <c r="A4279" s="124">
        <v>520631</v>
      </c>
      <c r="B4279" s="124" t="s">
        <v>24320</v>
      </c>
      <c r="C4279" s="125" t="s">
        <v>24259</v>
      </c>
      <c r="D4279" s="124">
        <v>4</v>
      </c>
      <c r="E4279" s="124" t="s">
        <v>16417</v>
      </c>
      <c r="F4279" s="126">
        <v>9.7999999999999997E-3</v>
      </c>
      <c r="G4279" s="126">
        <v>0.03</v>
      </c>
      <c r="H4279" s="126">
        <v>0.01</v>
      </c>
      <c r="I4279" s="127">
        <v>0</v>
      </c>
      <c r="J4279" s="127">
        <v>0</v>
      </c>
      <c r="K4279" s="126">
        <f t="shared" si="156"/>
        <v>0.04</v>
      </c>
      <c r="L4279" s="3"/>
      <c r="M4279" s="126">
        <f t="shared" si="157"/>
        <v>4.9799999999999997E-2</v>
      </c>
      <c r="N4279" s="124" t="s">
        <v>26928</v>
      </c>
      <c r="O4279" s="125" t="s">
        <v>24251</v>
      </c>
      <c r="P4279" s="125" t="s">
        <v>24252</v>
      </c>
      <c r="Q4279" s="130">
        <v>169640000</v>
      </c>
      <c r="R4279" s="130" t="s">
        <v>16348</v>
      </c>
      <c r="S4279" s="130">
        <v>136930000</v>
      </c>
      <c r="T4279" s="129">
        <f>S4279/Q4279</f>
        <v>0.80717991039849091</v>
      </c>
      <c r="U4279" s="130" t="s">
        <v>19</v>
      </c>
      <c r="V4279" s="125" t="s">
        <v>24253</v>
      </c>
    </row>
    <row r="4280" spans="1:22" customFormat="1" x14ac:dyDescent="0.45">
      <c r="A4280">
        <v>775199</v>
      </c>
      <c r="B4280" t="s">
        <v>24321</v>
      </c>
      <c r="C4280" t="s">
        <v>16331</v>
      </c>
      <c r="D4280">
        <v>1</v>
      </c>
      <c r="E4280" t="s">
        <v>16331</v>
      </c>
      <c r="F4280" s="126"/>
      <c r="K4280" s="3">
        <f t="shared" si="156"/>
        <v>0</v>
      </c>
      <c r="L4280" s="3"/>
      <c r="M4280" s="3">
        <f t="shared" si="157"/>
        <v>0</v>
      </c>
      <c r="O4280" s="5"/>
      <c r="S4280" s="6"/>
    </row>
    <row r="4281" spans="1:22" customFormat="1" x14ac:dyDescent="0.45">
      <c r="A4281">
        <v>775263</v>
      </c>
      <c r="B4281" t="s">
        <v>24322</v>
      </c>
      <c r="C4281" t="s">
        <v>24323</v>
      </c>
      <c r="D4281">
        <v>1</v>
      </c>
      <c r="F4281" s="126"/>
      <c r="G4281" s="3">
        <v>0</v>
      </c>
      <c r="H4281" s="3">
        <v>0</v>
      </c>
      <c r="I4281" s="3">
        <v>0</v>
      </c>
      <c r="J4281" s="3">
        <v>0</v>
      </c>
      <c r="K4281" s="3">
        <f t="shared" si="156"/>
        <v>0</v>
      </c>
      <c r="L4281" s="3"/>
      <c r="M4281" s="3">
        <f t="shared" si="157"/>
        <v>0</v>
      </c>
      <c r="O4281" s="5"/>
      <c r="S4281" s="6"/>
    </row>
    <row r="4282" spans="1:22" customFormat="1" x14ac:dyDescent="0.45">
      <c r="A4282">
        <v>775330</v>
      </c>
      <c r="B4282" t="s">
        <v>24324</v>
      </c>
      <c r="C4282" t="s">
        <v>24325</v>
      </c>
      <c r="D4282">
        <v>2</v>
      </c>
      <c r="F4282" s="126"/>
      <c r="G4282" s="7">
        <v>0</v>
      </c>
      <c r="H4282" s="7">
        <v>0</v>
      </c>
      <c r="I4282" s="7">
        <v>0</v>
      </c>
      <c r="J4282" s="7">
        <v>0</v>
      </c>
      <c r="K4282" s="3">
        <f t="shared" si="156"/>
        <v>0</v>
      </c>
      <c r="L4282" s="3"/>
      <c r="M4282" s="3">
        <f t="shared" si="157"/>
        <v>0</v>
      </c>
      <c r="N4282" s="7"/>
      <c r="O4282" s="5"/>
      <c r="S4282" s="6"/>
    </row>
    <row r="4283" spans="1:22" customFormat="1" x14ac:dyDescent="0.45">
      <c r="A4283">
        <v>775647</v>
      </c>
      <c r="B4283" t="s">
        <v>24326</v>
      </c>
      <c r="C4283" t="s">
        <v>24327</v>
      </c>
      <c r="D4283">
        <v>3</v>
      </c>
      <c r="F4283" s="126"/>
      <c r="G4283" s="3"/>
      <c r="H4283" s="3"/>
      <c r="I4283" s="3"/>
      <c r="J4283" s="3"/>
      <c r="K4283" s="3">
        <f t="shared" si="156"/>
        <v>0</v>
      </c>
      <c r="L4283" s="3"/>
      <c r="M4283" s="3">
        <f t="shared" si="157"/>
        <v>0</v>
      </c>
      <c r="O4283" s="5"/>
      <c r="S4283" s="6"/>
    </row>
    <row r="4284" spans="1:22" customFormat="1" x14ac:dyDescent="0.45">
      <c r="A4284">
        <v>775671</v>
      </c>
      <c r="B4284" t="s">
        <v>24328</v>
      </c>
      <c r="C4284" t="s">
        <v>24329</v>
      </c>
      <c r="D4284">
        <v>3</v>
      </c>
      <c r="F4284" s="126"/>
      <c r="G4284" s="7">
        <v>0</v>
      </c>
      <c r="H4284" s="7">
        <v>0</v>
      </c>
      <c r="I4284" s="7">
        <v>0</v>
      </c>
      <c r="J4284" s="7">
        <v>0</v>
      </c>
      <c r="K4284" s="3">
        <f t="shared" si="156"/>
        <v>0</v>
      </c>
      <c r="L4284" s="3"/>
      <c r="M4284" s="3">
        <f t="shared" si="157"/>
        <v>0</v>
      </c>
      <c r="N4284" s="7"/>
      <c r="O4284" s="5"/>
      <c r="S4284" s="6"/>
    </row>
    <row r="4285" spans="1:22" x14ac:dyDescent="0.45">
      <c r="A4285" s="124">
        <v>531287</v>
      </c>
      <c r="B4285" s="124" t="s">
        <v>24330</v>
      </c>
      <c r="C4285" s="125" t="s">
        <v>24331</v>
      </c>
      <c r="D4285" s="124">
        <v>3</v>
      </c>
      <c r="E4285" s="124" t="s">
        <v>16417</v>
      </c>
      <c r="F4285" s="126">
        <v>9.7999999999999997E-3</v>
      </c>
      <c r="G4285" s="126">
        <v>0.03</v>
      </c>
      <c r="H4285" s="126">
        <v>0.01</v>
      </c>
      <c r="I4285" s="127">
        <v>0</v>
      </c>
      <c r="J4285" s="127">
        <v>0</v>
      </c>
      <c r="K4285" s="126">
        <f t="shared" si="156"/>
        <v>0.04</v>
      </c>
      <c r="L4285" s="3"/>
      <c r="M4285" s="126">
        <f t="shared" si="157"/>
        <v>4.9799999999999997E-2</v>
      </c>
      <c r="N4285" s="124" t="s">
        <v>26928</v>
      </c>
      <c r="O4285" s="125" t="s">
        <v>24251</v>
      </c>
      <c r="P4285" s="125" t="s">
        <v>24252</v>
      </c>
      <c r="Q4285" s="130">
        <v>169640000</v>
      </c>
      <c r="R4285" s="130" t="s">
        <v>16348</v>
      </c>
      <c r="S4285" s="130">
        <v>136930000</v>
      </c>
      <c r="T4285" s="129">
        <f>S4285/Q4285</f>
        <v>0.80717991039849091</v>
      </c>
      <c r="U4285" s="130" t="s">
        <v>19</v>
      </c>
      <c r="V4285" s="125" t="s">
        <v>24253</v>
      </c>
    </row>
    <row r="4286" spans="1:22" customFormat="1" x14ac:dyDescent="0.45">
      <c r="A4286">
        <v>775854</v>
      </c>
      <c r="B4286" t="s">
        <v>24332</v>
      </c>
      <c r="C4286" t="s">
        <v>24333</v>
      </c>
      <c r="D4286">
        <v>1</v>
      </c>
      <c r="F4286" s="126"/>
      <c r="G4286" s="3">
        <v>0</v>
      </c>
      <c r="H4286" s="3">
        <v>0</v>
      </c>
      <c r="I4286" s="3">
        <v>0</v>
      </c>
      <c r="J4286" s="3">
        <v>0</v>
      </c>
      <c r="K4286" s="3">
        <f t="shared" si="156"/>
        <v>0</v>
      </c>
      <c r="L4286" s="3"/>
      <c r="M4286" s="3">
        <f t="shared" si="157"/>
        <v>0</v>
      </c>
      <c r="O4286" s="5"/>
      <c r="S4286" s="6"/>
    </row>
    <row r="4287" spans="1:22" customFormat="1" x14ac:dyDescent="0.45">
      <c r="A4287">
        <v>776240</v>
      </c>
      <c r="B4287" t="s">
        <v>24334</v>
      </c>
      <c r="C4287" t="s">
        <v>24335</v>
      </c>
      <c r="D4287">
        <v>1</v>
      </c>
      <c r="F4287" s="126"/>
      <c r="G4287" s="3">
        <v>0</v>
      </c>
      <c r="H4287" s="3">
        <v>0</v>
      </c>
      <c r="I4287" s="3">
        <v>0</v>
      </c>
      <c r="J4287" s="3">
        <v>0</v>
      </c>
      <c r="K4287" s="3">
        <f t="shared" si="156"/>
        <v>0</v>
      </c>
      <c r="L4287" s="3"/>
      <c r="M4287" s="3">
        <f t="shared" si="157"/>
        <v>0</v>
      </c>
      <c r="O4287" s="5"/>
      <c r="S4287" s="6"/>
    </row>
    <row r="4288" spans="1:22" x14ac:dyDescent="0.45">
      <c r="A4288" s="124">
        <v>533559</v>
      </c>
      <c r="B4288" s="124" t="s">
        <v>24336</v>
      </c>
      <c r="C4288" s="125" t="s">
        <v>24259</v>
      </c>
      <c r="D4288" s="125">
        <v>10</v>
      </c>
      <c r="E4288" s="124" t="s">
        <v>16417</v>
      </c>
      <c r="F4288" s="126">
        <v>9.7999999999999997E-3</v>
      </c>
      <c r="G4288" s="126">
        <v>0.03</v>
      </c>
      <c r="H4288" s="126">
        <v>0.01</v>
      </c>
      <c r="I4288" s="127">
        <v>0</v>
      </c>
      <c r="J4288" s="127">
        <v>0</v>
      </c>
      <c r="K4288" s="126">
        <f t="shared" si="156"/>
        <v>0.04</v>
      </c>
      <c r="L4288" s="3"/>
      <c r="M4288" s="126">
        <f t="shared" si="157"/>
        <v>4.9799999999999997E-2</v>
      </c>
      <c r="N4288" s="124" t="s">
        <v>26928</v>
      </c>
      <c r="O4288" s="125" t="s">
        <v>24251</v>
      </c>
      <c r="P4288" s="125" t="s">
        <v>24252</v>
      </c>
      <c r="Q4288" s="130">
        <v>169640000</v>
      </c>
      <c r="R4288" s="130" t="s">
        <v>16348</v>
      </c>
      <c r="S4288" s="130">
        <v>136930000</v>
      </c>
      <c r="T4288" s="129">
        <f>S4288/Q4288</f>
        <v>0.80717991039849091</v>
      </c>
      <c r="U4288" s="130" t="s">
        <v>19</v>
      </c>
      <c r="V4288" s="125" t="s">
        <v>24253</v>
      </c>
    </row>
    <row r="4289" spans="1:22" customFormat="1" x14ac:dyDescent="0.45">
      <c r="A4289">
        <v>777461</v>
      </c>
      <c r="B4289" t="s">
        <v>24337</v>
      </c>
      <c r="C4289" t="s">
        <v>24338</v>
      </c>
      <c r="D4289">
        <v>1</v>
      </c>
      <c r="E4289" t="s">
        <v>16593</v>
      </c>
      <c r="F4289" s="126"/>
      <c r="G4289" s="3"/>
      <c r="H4289" s="3"/>
      <c r="I4289" s="3"/>
      <c r="J4289" s="3"/>
      <c r="K4289" s="3">
        <f t="shared" si="156"/>
        <v>0</v>
      </c>
      <c r="L4289" s="3"/>
      <c r="M4289" s="3">
        <f t="shared" si="157"/>
        <v>0</v>
      </c>
      <c r="N4289" t="s">
        <v>17205</v>
      </c>
      <c r="O4289" s="5"/>
      <c r="S4289" s="6"/>
    </row>
    <row r="4290" spans="1:22" customFormat="1" x14ac:dyDescent="0.45">
      <c r="A4290">
        <v>777463</v>
      </c>
      <c r="B4290" t="s">
        <v>24339</v>
      </c>
      <c r="C4290" t="s">
        <v>24340</v>
      </c>
      <c r="D4290">
        <v>1</v>
      </c>
      <c r="F4290" s="126"/>
      <c r="G4290" s="3"/>
      <c r="H4290" s="3"/>
      <c r="I4290" s="3"/>
      <c r="J4290" s="3"/>
      <c r="K4290" s="3">
        <f t="shared" si="156"/>
        <v>0</v>
      </c>
      <c r="L4290" s="3"/>
      <c r="M4290" s="3">
        <f t="shared" si="157"/>
        <v>0</v>
      </c>
      <c r="O4290" s="5"/>
      <c r="S4290" s="6"/>
    </row>
    <row r="4291" spans="1:22" customFormat="1" x14ac:dyDescent="0.45">
      <c r="A4291">
        <v>778343</v>
      </c>
      <c r="B4291" t="s">
        <v>24341</v>
      </c>
      <c r="C4291" t="s">
        <v>24342</v>
      </c>
      <c r="D4291">
        <v>1</v>
      </c>
      <c r="F4291" s="126"/>
      <c r="G4291" s="3">
        <v>0</v>
      </c>
      <c r="H4291" s="3">
        <v>0</v>
      </c>
      <c r="I4291" s="3">
        <v>0</v>
      </c>
      <c r="J4291" s="3">
        <v>0</v>
      </c>
      <c r="K4291" s="3">
        <f t="shared" si="156"/>
        <v>0</v>
      </c>
      <c r="L4291" s="3"/>
      <c r="M4291" s="3">
        <f t="shared" si="157"/>
        <v>0</v>
      </c>
      <c r="O4291" s="5"/>
      <c r="S4291" s="6"/>
    </row>
    <row r="4292" spans="1:22" customFormat="1" x14ac:dyDescent="0.45">
      <c r="A4292">
        <v>778445</v>
      </c>
      <c r="B4292" t="s">
        <v>24343</v>
      </c>
      <c r="C4292" t="s">
        <v>16331</v>
      </c>
      <c r="D4292">
        <v>1</v>
      </c>
      <c r="E4292" t="s">
        <v>16331</v>
      </c>
      <c r="F4292" s="126"/>
      <c r="G4292" s="7">
        <v>0</v>
      </c>
      <c r="H4292" s="7">
        <v>0</v>
      </c>
      <c r="I4292" s="7">
        <v>0</v>
      </c>
      <c r="J4292" s="7">
        <v>0</v>
      </c>
      <c r="K4292" s="3">
        <f t="shared" si="156"/>
        <v>0</v>
      </c>
      <c r="L4292" s="3"/>
      <c r="M4292" s="3">
        <f t="shared" si="157"/>
        <v>0</v>
      </c>
      <c r="O4292" s="5"/>
      <c r="S4292" s="6"/>
    </row>
    <row r="4293" spans="1:22" customFormat="1" x14ac:dyDescent="0.45">
      <c r="A4293">
        <v>778483</v>
      </c>
      <c r="B4293" t="s">
        <v>24344</v>
      </c>
      <c r="C4293" t="s">
        <v>24345</v>
      </c>
      <c r="D4293">
        <v>3</v>
      </c>
      <c r="F4293" s="126"/>
      <c r="G4293" s="3">
        <v>0</v>
      </c>
      <c r="H4293" s="3">
        <v>0</v>
      </c>
      <c r="I4293" s="3">
        <v>0</v>
      </c>
      <c r="J4293" s="3">
        <v>0</v>
      </c>
      <c r="K4293" s="3">
        <f t="shared" si="156"/>
        <v>0</v>
      </c>
      <c r="L4293" s="3"/>
      <c r="M4293" s="3">
        <f t="shared" si="157"/>
        <v>0</v>
      </c>
      <c r="O4293" s="5"/>
      <c r="S4293" s="6"/>
    </row>
    <row r="4294" spans="1:22" customFormat="1" x14ac:dyDescent="0.45">
      <c r="A4294">
        <v>778519</v>
      </c>
      <c r="B4294" t="s">
        <v>24346</v>
      </c>
      <c r="C4294" t="s">
        <v>24347</v>
      </c>
      <c r="D4294">
        <v>1</v>
      </c>
      <c r="F4294" s="126"/>
      <c r="G4294" s="3">
        <v>0</v>
      </c>
      <c r="H4294" s="3">
        <v>0</v>
      </c>
      <c r="I4294" s="3">
        <v>0</v>
      </c>
      <c r="J4294" s="3">
        <v>0</v>
      </c>
      <c r="K4294" s="3">
        <f t="shared" si="156"/>
        <v>0</v>
      </c>
      <c r="L4294" s="3"/>
      <c r="M4294" s="3">
        <f t="shared" si="157"/>
        <v>0</v>
      </c>
      <c r="O4294" s="5"/>
      <c r="S4294" s="6"/>
    </row>
    <row r="4295" spans="1:22" customFormat="1" x14ac:dyDescent="0.45">
      <c r="A4295">
        <v>778632</v>
      </c>
      <c r="B4295" t="s">
        <v>24348</v>
      </c>
      <c r="C4295" t="s">
        <v>24349</v>
      </c>
      <c r="D4295">
        <v>1</v>
      </c>
      <c r="F4295" s="126"/>
      <c r="K4295" s="3">
        <f t="shared" ref="K4295:K4358" si="158">SUM(G4295:J4295)</f>
        <v>0</v>
      </c>
      <c r="L4295" s="3"/>
      <c r="M4295" s="3">
        <f t="shared" ref="M4295:M4358" si="159">K4295+F4295</f>
        <v>0</v>
      </c>
      <c r="O4295" s="5"/>
      <c r="S4295" s="6"/>
    </row>
    <row r="4296" spans="1:22" customFormat="1" x14ac:dyDescent="0.45">
      <c r="A4296">
        <v>778701</v>
      </c>
      <c r="B4296" t="s">
        <v>24350</v>
      </c>
      <c r="C4296" t="s">
        <v>16331</v>
      </c>
      <c r="D4296">
        <v>1</v>
      </c>
      <c r="E4296" t="s">
        <v>16331</v>
      </c>
      <c r="F4296" s="126"/>
      <c r="K4296" s="3">
        <f t="shared" si="158"/>
        <v>0</v>
      </c>
      <c r="L4296" s="3"/>
      <c r="M4296" s="3">
        <f t="shared" si="159"/>
        <v>0</v>
      </c>
      <c r="O4296" s="5"/>
      <c r="S4296" s="6"/>
    </row>
    <row r="4297" spans="1:22" customFormat="1" x14ac:dyDescent="0.45">
      <c r="A4297">
        <v>778738</v>
      </c>
      <c r="B4297" t="s">
        <v>24351</v>
      </c>
      <c r="C4297" t="s">
        <v>24352</v>
      </c>
      <c r="D4297">
        <v>1</v>
      </c>
      <c r="F4297" s="126"/>
      <c r="G4297" s="7">
        <v>0</v>
      </c>
      <c r="H4297" s="7">
        <v>0</v>
      </c>
      <c r="I4297" s="7">
        <v>0</v>
      </c>
      <c r="J4297" s="7">
        <v>0</v>
      </c>
      <c r="K4297" s="3">
        <f t="shared" si="158"/>
        <v>0</v>
      </c>
      <c r="L4297" s="3"/>
      <c r="M4297" s="3">
        <f t="shared" si="159"/>
        <v>0</v>
      </c>
      <c r="O4297" s="5"/>
      <c r="S4297" s="6"/>
    </row>
    <row r="4298" spans="1:22" customFormat="1" x14ac:dyDescent="0.45">
      <c r="A4298">
        <v>778807</v>
      </c>
      <c r="B4298" t="s">
        <v>24353</v>
      </c>
      <c r="C4298" t="s">
        <v>24354</v>
      </c>
      <c r="D4298">
        <v>3</v>
      </c>
      <c r="F4298" s="126"/>
      <c r="G4298" s="7">
        <v>0</v>
      </c>
      <c r="H4298" s="7">
        <v>0</v>
      </c>
      <c r="I4298" s="7">
        <v>0</v>
      </c>
      <c r="J4298" s="7">
        <v>0</v>
      </c>
      <c r="K4298" s="3">
        <f t="shared" si="158"/>
        <v>0</v>
      </c>
      <c r="L4298" s="3"/>
      <c r="M4298" s="3">
        <f t="shared" si="159"/>
        <v>0</v>
      </c>
      <c r="O4298" s="5"/>
      <c r="S4298" s="6"/>
    </row>
    <row r="4299" spans="1:22" customFormat="1" x14ac:dyDescent="0.45">
      <c r="A4299">
        <v>778812</v>
      </c>
      <c r="B4299" t="s">
        <v>24355</v>
      </c>
      <c r="C4299" t="s">
        <v>24356</v>
      </c>
      <c r="D4299">
        <v>2</v>
      </c>
      <c r="F4299" s="126"/>
      <c r="G4299" s="3"/>
      <c r="H4299" s="3"/>
      <c r="I4299" s="3"/>
      <c r="J4299" s="3"/>
      <c r="K4299" s="3">
        <f t="shared" si="158"/>
        <v>0</v>
      </c>
      <c r="L4299" s="3"/>
      <c r="M4299" s="3">
        <f t="shared" si="159"/>
        <v>0</v>
      </c>
      <c r="O4299" s="5"/>
      <c r="S4299" s="6"/>
    </row>
    <row r="4300" spans="1:22" customFormat="1" x14ac:dyDescent="0.45">
      <c r="A4300">
        <v>778816</v>
      </c>
      <c r="B4300" t="s">
        <v>24357</v>
      </c>
      <c r="C4300" t="s">
        <v>16331</v>
      </c>
      <c r="D4300">
        <v>2</v>
      </c>
      <c r="E4300" t="s">
        <v>16331</v>
      </c>
      <c r="F4300" s="126"/>
      <c r="G4300" s="7">
        <v>0</v>
      </c>
      <c r="H4300" s="7">
        <v>0</v>
      </c>
      <c r="I4300" s="7">
        <v>0</v>
      </c>
      <c r="J4300" s="7">
        <v>0</v>
      </c>
      <c r="K4300" s="3">
        <f t="shared" si="158"/>
        <v>0</v>
      </c>
      <c r="L4300" s="3"/>
      <c r="M4300" s="3">
        <f t="shared" si="159"/>
        <v>0</v>
      </c>
      <c r="O4300" s="5"/>
      <c r="S4300" s="6"/>
    </row>
    <row r="4301" spans="1:22" customFormat="1" x14ac:dyDescent="0.45">
      <c r="A4301">
        <v>778835</v>
      </c>
      <c r="B4301" t="s">
        <v>24358</v>
      </c>
      <c r="C4301" t="s">
        <v>24359</v>
      </c>
      <c r="D4301">
        <v>4</v>
      </c>
      <c r="F4301" s="126"/>
      <c r="G4301" s="7">
        <v>0</v>
      </c>
      <c r="H4301" s="7">
        <v>0</v>
      </c>
      <c r="I4301" s="7">
        <v>0</v>
      </c>
      <c r="J4301" s="7">
        <v>0</v>
      </c>
      <c r="K4301" s="3">
        <f t="shared" si="158"/>
        <v>0</v>
      </c>
      <c r="L4301" s="3"/>
      <c r="M4301" s="3">
        <f t="shared" si="159"/>
        <v>0</v>
      </c>
      <c r="N4301" s="7"/>
      <c r="O4301" s="5"/>
      <c r="S4301" s="6"/>
    </row>
    <row r="4302" spans="1:22" x14ac:dyDescent="0.45">
      <c r="A4302" s="124">
        <v>631878</v>
      </c>
      <c r="B4302" s="124" t="s">
        <v>24360</v>
      </c>
      <c r="C4302" s="125" t="s">
        <v>24331</v>
      </c>
      <c r="D4302" s="125">
        <v>4</v>
      </c>
      <c r="E4302" s="124" t="s">
        <v>16417</v>
      </c>
      <c r="F4302" s="126">
        <v>9.7999999999999997E-3</v>
      </c>
      <c r="G4302" s="126">
        <v>0.03</v>
      </c>
      <c r="H4302" s="126">
        <v>0.01</v>
      </c>
      <c r="I4302" s="127">
        <v>0</v>
      </c>
      <c r="J4302" s="127">
        <v>0</v>
      </c>
      <c r="K4302" s="126">
        <f t="shared" si="158"/>
        <v>0.04</v>
      </c>
      <c r="L4302" s="3"/>
      <c r="M4302" s="126">
        <f t="shared" si="159"/>
        <v>4.9799999999999997E-2</v>
      </c>
      <c r="N4302" s="124" t="s">
        <v>26928</v>
      </c>
      <c r="O4302" s="125" t="s">
        <v>24251</v>
      </c>
      <c r="P4302" s="125" t="s">
        <v>24252</v>
      </c>
      <c r="Q4302" s="130">
        <v>169640000</v>
      </c>
      <c r="R4302" s="130" t="s">
        <v>16348</v>
      </c>
      <c r="S4302" s="130">
        <v>136930000</v>
      </c>
      <c r="T4302" s="130">
        <f>S4302/Q4302</f>
        <v>0.80717991039849091</v>
      </c>
      <c r="U4302" s="130" t="s">
        <v>19</v>
      </c>
      <c r="V4302" s="125" t="s">
        <v>24253</v>
      </c>
    </row>
    <row r="4303" spans="1:22" customFormat="1" x14ac:dyDescent="0.45">
      <c r="A4303">
        <v>779041</v>
      </c>
      <c r="B4303" t="s">
        <v>24361</v>
      </c>
      <c r="C4303" t="s">
        <v>24362</v>
      </c>
      <c r="D4303">
        <v>1</v>
      </c>
      <c r="F4303" s="126"/>
      <c r="G4303" s="3">
        <v>0</v>
      </c>
      <c r="H4303" s="3">
        <v>0</v>
      </c>
      <c r="I4303" s="3">
        <v>0</v>
      </c>
      <c r="J4303" s="3">
        <v>0</v>
      </c>
      <c r="K4303" s="3">
        <f t="shared" si="158"/>
        <v>0</v>
      </c>
      <c r="L4303" s="3"/>
      <c r="M4303" s="3">
        <f t="shared" si="159"/>
        <v>0</v>
      </c>
      <c r="O4303" s="5"/>
      <c r="S4303" s="6"/>
    </row>
    <row r="4304" spans="1:22" customFormat="1" x14ac:dyDescent="0.45">
      <c r="A4304">
        <v>779098</v>
      </c>
      <c r="B4304" t="s">
        <v>24363</v>
      </c>
      <c r="C4304" t="s">
        <v>24364</v>
      </c>
      <c r="D4304">
        <v>2</v>
      </c>
      <c r="F4304" s="126"/>
      <c r="G4304" s="3"/>
      <c r="H4304" s="3"/>
      <c r="I4304" s="3"/>
      <c r="J4304" s="3"/>
      <c r="K4304" s="3">
        <f t="shared" si="158"/>
        <v>0</v>
      </c>
      <c r="L4304" s="3"/>
      <c r="M4304" s="3">
        <f t="shared" si="159"/>
        <v>0</v>
      </c>
      <c r="O4304" s="5"/>
      <c r="S4304" s="6"/>
    </row>
    <row r="4305" spans="1:22" customFormat="1" x14ac:dyDescent="0.45">
      <c r="A4305">
        <v>779172</v>
      </c>
      <c r="B4305" t="s">
        <v>24365</v>
      </c>
      <c r="C4305" t="s">
        <v>24366</v>
      </c>
      <c r="D4305">
        <v>1</v>
      </c>
      <c r="F4305" s="126"/>
      <c r="G4305" s="7">
        <v>0</v>
      </c>
      <c r="H4305" s="7">
        <v>0</v>
      </c>
      <c r="I4305" s="7">
        <v>0</v>
      </c>
      <c r="J4305" s="7">
        <v>0</v>
      </c>
      <c r="K4305" s="3">
        <f t="shared" si="158"/>
        <v>0</v>
      </c>
      <c r="L4305" s="3"/>
      <c r="M4305" s="3">
        <f t="shared" si="159"/>
        <v>0</v>
      </c>
      <c r="O4305" s="5"/>
      <c r="S4305" s="6"/>
    </row>
    <row r="4306" spans="1:22" customFormat="1" x14ac:dyDescent="0.45">
      <c r="A4306">
        <v>779397</v>
      </c>
      <c r="B4306" t="s">
        <v>24367</v>
      </c>
      <c r="C4306" t="s">
        <v>24368</v>
      </c>
      <c r="D4306">
        <v>4</v>
      </c>
      <c r="F4306" s="126"/>
      <c r="G4306" s="3">
        <v>0</v>
      </c>
      <c r="H4306" s="3">
        <v>0</v>
      </c>
      <c r="I4306" s="3">
        <v>0</v>
      </c>
      <c r="J4306" s="3">
        <v>0</v>
      </c>
      <c r="K4306" s="3">
        <f t="shared" si="158"/>
        <v>0</v>
      </c>
      <c r="L4306" s="3"/>
      <c r="M4306" s="3">
        <f t="shared" si="159"/>
        <v>0</v>
      </c>
      <c r="O4306" s="5"/>
      <c r="S4306" s="6"/>
    </row>
    <row r="4307" spans="1:22" customFormat="1" x14ac:dyDescent="0.45">
      <c r="A4307">
        <v>779806</v>
      </c>
      <c r="B4307" t="s">
        <v>24369</v>
      </c>
      <c r="C4307" t="s">
        <v>24370</v>
      </c>
      <c r="D4307">
        <v>2</v>
      </c>
      <c r="F4307" s="126"/>
      <c r="G4307" s="3">
        <v>0</v>
      </c>
      <c r="H4307" s="3">
        <v>0</v>
      </c>
      <c r="I4307" s="3">
        <v>0</v>
      </c>
      <c r="J4307" s="3">
        <v>0</v>
      </c>
      <c r="K4307" s="3">
        <f t="shared" si="158"/>
        <v>0</v>
      </c>
      <c r="L4307" s="3"/>
      <c r="M4307" s="3">
        <f t="shared" si="159"/>
        <v>0</v>
      </c>
      <c r="O4307" s="5"/>
      <c r="S4307" s="6"/>
    </row>
    <row r="4308" spans="1:22" customFormat="1" x14ac:dyDescent="0.45">
      <c r="A4308">
        <v>780370</v>
      </c>
      <c r="B4308" t="s">
        <v>24371</v>
      </c>
      <c r="C4308" t="s">
        <v>24372</v>
      </c>
      <c r="D4308">
        <v>2</v>
      </c>
      <c r="F4308" s="126"/>
      <c r="G4308" s="3">
        <v>0</v>
      </c>
      <c r="H4308" s="3">
        <v>0</v>
      </c>
      <c r="I4308" s="3">
        <v>0</v>
      </c>
      <c r="J4308" s="3">
        <v>0</v>
      </c>
      <c r="K4308" s="3">
        <f t="shared" si="158"/>
        <v>0</v>
      </c>
      <c r="L4308" s="3"/>
      <c r="M4308" s="3">
        <f t="shared" si="159"/>
        <v>0</v>
      </c>
      <c r="O4308" s="5"/>
      <c r="S4308" s="6"/>
    </row>
    <row r="4309" spans="1:22" customFormat="1" x14ac:dyDescent="0.45">
      <c r="A4309">
        <v>780642</v>
      </c>
      <c r="B4309" t="s">
        <v>24373</v>
      </c>
      <c r="C4309" t="s">
        <v>24374</v>
      </c>
      <c r="D4309">
        <v>1</v>
      </c>
      <c r="F4309" s="126"/>
      <c r="G4309" s="7">
        <v>0</v>
      </c>
      <c r="H4309" s="7">
        <v>0</v>
      </c>
      <c r="I4309" s="7">
        <v>0</v>
      </c>
      <c r="J4309" s="7">
        <v>0</v>
      </c>
      <c r="K4309" s="3">
        <f t="shared" si="158"/>
        <v>0</v>
      </c>
      <c r="L4309" s="3"/>
      <c r="M4309" s="3">
        <f t="shared" si="159"/>
        <v>0</v>
      </c>
      <c r="N4309" s="7"/>
      <c r="O4309" s="5"/>
      <c r="S4309" s="6"/>
    </row>
    <row r="4310" spans="1:22" customFormat="1" x14ac:dyDescent="0.45">
      <c r="A4310">
        <v>781109</v>
      </c>
      <c r="B4310" t="s">
        <v>24375</v>
      </c>
      <c r="C4310" t="s">
        <v>24376</v>
      </c>
      <c r="D4310">
        <v>0</v>
      </c>
      <c r="E4310" t="s">
        <v>16491</v>
      </c>
      <c r="F4310" s="126"/>
      <c r="G4310" s="7">
        <v>0</v>
      </c>
      <c r="H4310" s="7">
        <v>0</v>
      </c>
      <c r="I4310" s="7">
        <v>0</v>
      </c>
      <c r="J4310" s="7">
        <v>0</v>
      </c>
      <c r="K4310" s="3">
        <f t="shared" si="158"/>
        <v>0</v>
      </c>
      <c r="L4310" s="3"/>
      <c r="M4310" s="3">
        <f t="shared" si="159"/>
        <v>0</v>
      </c>
      <c r="N4310" s="7"/>
      <c r="O4310" s="5"/>
      <c r="S4310" s="6"/>
    </row>
    <row r="4311" spans="1:22" customFormat="1" x14ac:dyDescent="0.45">
      <c r="A4311">
        <v>781164</v>
      </c>
      <c r="B4311" t="s">
        <v>24377</v>
      </c>
      <c r="C4311" t="s">
        <v>24378</v>
      </c>
      <c r="D4311">
        <v>3</v>
      </c>
      <c r="F4311" s="126"/>
      <c r="G4311" s="7">
        <v>0</v>
      </c>
      <c r="H4311" s="7">
        <v>0</v>
      </c>
      <c r="I4311" s="7">
        <v>0</v>
      </c>
      <c r="J4311" s="7">
        <v>0</v>
      </c>
      <c r="K4311" s="3">
        <f t="shared" si="158"/>
        <v>0</v>
      </c>
      <c r="L4311" s="3"/>
      <c r="M4311" s="3">
        <f t="shared" si="159"/>
        <v>0</v>
      </c>
      <c r="N4311" s="7"/>
      <c r="O4311" s="5"/>
      <c r="S4311" s="6"/>
    </row>
    <row r="4312" spans="1:22" customFormat="1" x14ac:dyDescent="0.45">
      <c r="A4312">
        <v>781168</v>
      </c>
      <c r="B4312" t="s">
        <v>24379</v>
      </c>
      <c r="C4312" t="s">
        <v>24380</v>
      </c>
      <c r="D4312">
        <v>2</v>
      </c>
      <c r="F4312" s="126"/>
      <c r="G4312" s="3">
        <v>0</v>
      </c>
      <c r="H4312" s="3">
        <v>0</v>
      </c>
      <c r="I4312" s="3">
        <v>0</v>
      </c>
      <c r="J4312" s="3">
        <v>0</v>
      </c>
      <c r="K4312" s="3">
        <f t="shared" si="158"/>
        <v>0</v>
      </c>
      <c r="L4312" s="3"/>
      <c r="M4312" s="3">
        <f t="shared" si="159"/>
        <v>0</v>
      </c>
      <c r="O4312" s="5"/>
      <c r="S4312" s="6"/>
    </row>
    <row r="4313" spans="1:22" customFormat="1" x14ac:dyDescent="0.45">
      <c r="A4313">
        <v>781273</v>
      </c>
      <c r="B4313" t="s">
        <v>24381</v>
      </c>
      <c r="C4313" t="s">
        <v>16331</v>
      </c>
      <c r="D4313">
        <v>2</v>
      </c>
      <c r="E4313" t="s">
        <v>16331</v>
      </c>
      <c r="F4313" s="126"/>
      <c r="G4313" s="7">
        <v>0</v>
      </c>
      <c r="H4313" s="7">
        <v>0</v>
      </c>
      <c r="I4313" s="7">
        <v>0</v>
      </c>
      <c r="J4313" s="7">
        <v>0</v>
      </c>
      <c r="K4313" s="3">
        <f t="shared" si="158"/>
        <v>0</v>
      </c>
      <c r="L4313" s="3"/>
      <c r="M4313" s="3">
        <f t="shared" si="159"/>
        <v>0</v>
      </c>
      <c r="O4313" s="5"/>
      <c r="S4313" s="6"/>
    </row>
    <row r="4314" spans="1:22" customFormat="1" x14ac:dyDescent="0.45">
      <c r="A4314">
        <v>781320</v>
      </c>
      <c r="B4314" t="s">
        <v>24382</v>
      </c>
      <c r="C4314" t="s">
        <v>16331</v>
      </c>
      <c r="D4314">
        <v>1</v>
      </c>
      <c r="E4314" t="s">
        <v>16331</v>
      </c>
      <c r="F4314" s="126"/>
      <c r="G4314" s="7">
        <v>0</v>
      </c>
      <c r="H4314" s="7">
        <v>0</v>
      </c>
      <c r="I4314" s="7">
        <v>0</v>
      </c>
      <c r="J4314" s="7">
        <v>0</v>
      </c>
      <c r="K4314" s="3">
        <f t="shared" si="158"/>
        <v>0</v>
      </c>
      <c r="L4314" s="3"/>
      <c r="M4314" s="3">
        <f t="shared" si="159"/>
        <v>0</v>
      </c>
      <c r="O4314" s="5"/>
      <c r="S4314" s="6"/>
    </row>
    <row r="4315" spans="1:22" x14ac:dyDescent="0.45">
      <c r="A4315" s="124">
        <v>797157</v>
      </c>
      <c r="B4315" s="124" t="s">
        <v>24383</v>
      </c>
      <c r="C4315" s="125" t="s">
        <v>24331</v>
      </c>
      <c r="D4315" s="125">
        <v>2</v>
      </c>
      <c r="E4315" s="124" t="s">
        <v>16417</v>
      </c>
      <c r="F4315" s="126">
        <v>9.7999999999999997E-3</v>
      </c>
      <c r="G4315" s="126">
        <v>0.03</v>
      </c>
      <c r="H4315" s="126">
        <v>0.01</v>
      </c>
      <c r="I4315" s="127">
        <v>0</v>
      </c>
      <c r="J4315" s="127">
        <v>0</v>
      </c>
      <c r="K4315" s="126">
        <f t="shared" si="158"/>
        <v>0.04</v>
      </c>
      <c r="L4315" s="3"/>
      <c r="M4315" s="126">
        <f t="shared" si="159"/>
        <v>4.9799999999999997E-2</v>
      </c>
      <c r="N4315" s="124" t="s">
        <v>26928</v>
      </c>
      <c r="O4315" s="125" t="s">
        <v>24251</v>
      </c>
      <c r="P4315" s="125" t="s">
        <v>24252</v>
      </c>
      <c r="Q4315" s="130">
        <v>169640000</v>
      </c>
      <c r="R4315" s="130" t="s">
        <v>16348</v>
      </c>
      <c r="S4315" s="130">
        <v>136930000</v>
      </c>
      <c r="T4315" s="130">
        <f>S4315/Q4315</f>
        <v>0.80717991039849091</v>
      </c>
      <c r="U4315" s="130" t="s">
        <v>19</v>
      </c>
      <c r="V4315" s="125" t="s">
        <v>24253</v>
      </c>
    </row>
    <row r="4316" spans="1:22" customFormat="1" x14ac:dyDescent="0.45">
      <c r="A4316">
        <v>781480</v>
      </c>
      <c r="B4316" t="s">
        <v>24384</v>
      </c>
      <c r="C4316" s="2" t="s">
        <v>24385</v>
      </c>
      <c r="D4316">
        <v>2</v>
      </c>
      <c r="F4316" s="126"/>
      <c r="G4316" s="3">
        <v>0</v>
      </c>
      <c r="H4316" s="3">
        <v>0</v>
      </c>
      <c r="I4316" s="3">
        <v>0</v>
      </c>
      <c r="J4316" s="3">
        <v>0</v>
      </c>
      <c r="K4316" s="3">
        <f t="shared" si="158"/>
        <v>0</v>
      </c>
      <c r="L4316" s="3"/>
      <c r="M4316" s="3">
        <f t="shared" si="159"/>
        <v>0</v>
      </c>
      <c r="O4316" s="5"/>
      <c r="S4316" s="6"/>
    </row>
    <row r="4317" spans="1:22" customFormat="1" x14ac:dyDescent="0.45">
      <c r="A4317">
        <v>781685</v>
      </c>
      <c r="B4317" t="s">
        <v>24386</v>
      </c>
      <c r="C4317" t="s">
        <v>24387</v>
      </c>
      <c r="D4317">
        <v>1</v>
      </c>
      <c r="F4317" s="126"/>
      <c r="G4317" s="7">
        <v>0</v>
      </c>
      <c r="H4317" s="7">
        <v>0</v>
      </c>
      <c r="I4317" s="7">
        <v>0</v>
      </c>
      <c r="J4317" s="7">
        <v>0</v>
      </c>
      <c r="K4317" s="3">
        <f t="shared" si="158"/>
        <v>0</v>
      </c>
      <c r="L4317" s="3"/>
      <c r="M4317" s="3">
        <f t="shared" si="159"/>
        <v>0</v>
      </c>
      <c r="O4317" s="5"/>
      <c r="S4317" s="6"/>
    </row>
    <row r="4318" spans="1:22" customFormat="1" x14ac:dyDescent="0.45">
      <c r="A4318">
        <v>781702</v>
      </c>
      <c r="B4318" t="s">
        <v>24388</v>
      </c>
      <c r="C4318" t="s">
        <v>16331</v>
      </c>
      <c r="D4318">
        <v>0</v>
      </c>
      <c r="E4318" t="s">
        <v>16331</v>
      </c>
      <c r="F4318" s="126"/>
      <c r="K4318" s="3">
        <f t="shared" si="158"/>
        <v>0</v>
      </c>
      <c r="L4318" s="3"/>
      <c r="M4318" s="3">
        <f t="shared" si="159"/>
        <v>0</v>
      </c>
      <c r="O4318" s="5"/>
      <c r="S4318" s="6"/>
    </row>
    <row r="4319" spans="1:22" customFormat="1" x14ac:dyDescent="0.45">
      <c r="A4319">
        <v>782092</v>
      </c>
      <c r="B4319" t="s">
        <v>24389</v>
      </c>
      <c r="C4319" t="s">
        <v>24390</v>
      </c>
      <c r="D4319">
        <v>2</v>
      </c>
      <c r="F4319" s="126"/>
      <c r="G4319" s="3">
        <v>0</v>
      </c>
      <c r="H4319" s="3">
        <v>0</v>
      </c>
      <c r="I4319" s="3">
        <v>0</v>
      </c>
      <c r="J4319" s="3">
        <v>0</v>
      </c>
      <c r="K4319" s="3">
        <f t="shared" si="158"/>
        <v>0</v>
      </c>
      <c r="L4319" s="3"/>
      <c r="M4319" s="3">
        <f t="shared" si="159"/>
        <v>0</v>
      </c>
      <c r="O4319" s="5"/>
      <c r="S4319" s="6"/>
    </row>
    <row r="4320" spans="1:22" customFormat="1" x14ac:dyDescent="0.45">
      <c r="A4320">
        <v>782133</v>
      </c>
      <c r="B4320" t="s">
        <v>24391</v>
      </c>
      <c r="C4320" t="s">
        <v>24392</v>
      </c>
      <c r="D4320">
        <v>7</v>
      </c>
      <c r="F4320" s="126"/>
      <c r="G4320" s="3">
        <v>0</v>
      </c>
      <c r="H4320" s="3">
        <v>0</v>
      </c>
      <c r="I4320" s="3">
        <v>0</v>
      </c>
      <c r="J4320" s="3">
        <v>0</v>
      </c>
      <c r="K4320" s="3">
        <f t="shared" si="158"/>
        <v>0</v>
      </c>
      <c r="L4320" s="3"/>
      <c r="M4320" s="3">
        <f t="shared" si="159"/>
        <v>0</v>
      </c>
      <c r="O4320" s="5"/>
      <c r="S4320" s="6"/>
    </row>
    <row r="4321" spans="1:19" customFormat="1" x14ac:dyDescent="0.45">
      <c r="A4321">
        <v>782417</v>
      </c>
      <c r="B4321" t="s">
        <v>24393</v>
      </c>
      <c r="C4321" t="s">
        <v>24394</v>
      </c>
      <c r="D4321">
        <v>1</v>
      </c>
      <c r="F4321" s="126"/>
      <c r="G4321" s="3">
        <v>0</v>
      </c>
      <c r="H4321" s="3">
        <v>0</v>
      </c>
      <c r="I4321" s="3">
        <v>0</v>
      </c>
      <c r="J4321" s="3">
        <v>0</v>
      </c>
      <c r="K4321" s="3">
        <f t="shared" si="158"/>
        <v>0</v>
      </c>
      <c r="L4321" s="3"/>
      <c r="M4321" s="3">
        <f t="shared" si="159"/>
        <v>0</v>
      </c>
      <c r="O4321" s="5"/>
      <c r="S4321" s="6"/>
    </row>
    <row r="4322" spans="1:19" customFormat="1" x14ac:dyDescent="0.45">
      <c r="A4322">
        <v>782577</v>
      </c>
      <c r="B4322" t="s">
        <v>24395</v>
      </c>
      <c r="C4322" t="s">
        <v>24396</v>
      </c>
      <c r="D4322">
        <v>1</v>
      </c>
      <c r="F4322" s="126"/>
      <c r="G4322" s="3">
        <v>0</v>
      </c>
      <c r="H4322" s="3">
        <v>0</v>
      </c>
      <c r="I4322" s="3">
        <v>0</v>
      </c>
      <c r="J4322" s="3">
        <v>0</v>
      </c>
      <c r="K4322" s="3">
        <f t="shared" si="158"/>
        <v>0</v>
      </c>
      <c r="L4322" s="3"/>
      <c r="M4322" s="3">
        <f t="shared" si="159"/>
        <v>0</v>
      </c>
      <c r="O4322" s="5"/>
      <c r="S4322" s="6"/>
    </row>
    <row r="4323" spans="1:19" customFormat="1" x14ac:dyDescent="0.45">
      <c r="A4323">
        <v>782609</v>
      </c>
      <c r="B4323" t="s">
        <v>24397</v>
      </c>
      <c r="C4323" t="s">
        <v>24398</v>
      </c>
      <c r="D4323">
        <v>1</v>
      </c>
      <c r="F4323" s="126"/>
      <c r="G4323" s="3">
        <v>0</v>
      </c>
      <c r="H4323" s="3">
        <v>0</v>
      </c>
      <c r="I4323" s="3">
        <v>0</v>
      </c>
      <c r="J4323" s="3">
        <v>0</v>
      </c>
      <c r="K4323" s="3">
        <f t="shared" si="158"/>
        <v>0</v>
      </c>
      <c r="L4323" s="3"/>
      <c r="M4323" s="3">
        <f t="shared" si="159"/>
        <v>0</v>
      </c>
      <c r="O4323" s="5"/>
      <c r="S4323" s="6"/>
    </row>
    <row r="4324" spans="1:19" customFormat="1" x14ac:dyDescent="0.45">
      <c r="A4324">
        <v>782715</v>
      </c>
      <c r="B4324" t="s">
        <v>24399</v>
      </c>
      <c r="C4324" t="s">
        <v>24400</v>
      </c>
      <c r="D4324">
        <v>0</v>
      </c>
      <c r="E4324" t="s">
        <v>16334</v>
      </c>
      <c r="F4324" s="126"/>
      <c r="G4324" s="3">
        <v>0</v>
      </c>
      <c r="H4324" s="3">
        <v>0</v>
      </c>
      <c r="I4324" s="3">
        <v>0</v>
      </c>
      <c r="J4324" s="3">
        <v>0</v>
      </c>
      <c r="K4324" s="3">
        <f t="shared" si="158"/>
        <v>0</v>
      </c>
      <c r="L4324" s="3"/>
      <c r="M4324" s="3">
        <f t="shared" si="159"/>
        <v>0</v>
      </c>
      <c r="O4324" s="5"/>
      <c r="S4324" s="6"/>
    </row>
    <row r="4325" spans="1:19" customFormat="1" x14ac:dyDescent="0.45">
      <c r="A4325">
        <v>783290</v>
      </c>
      <c r="B4325" t="s">
        <v>24401</v>
      </c>
      <c r="C4325" t="s">
        <v>24402</v>
      </c>
      <c r="D4325">
        <v>1</v>
      </c>
      <c r="F4325" s="126"/>
      <c r="G4325" s="3">
        <v>0</v>
      </c>
      <c r="H4325" s="3">
        <v>0</v>
      </c>
      <c r="I4325" s="3">
        <v>0</v>
      </c>
      <c r="J4325" s="3">
        <v>0</v>
      </c>
      <c r="K4325" s="3">
        <f t="shared" si="158"/>
        <v>0</v>
      </c>
      <c r="L4325" s="3"/>
      <c r="M4325" s="3">
        <f t="shared" si="159"/>
        <v>0</v>
      </c>
      <c r="O4325" s="5"/>
      <c r="S4325" s="6"/>
    </row>
    <row r="4326" spans="1:19" customFormat="1" x14ac:dyDescent="0.45">
      <c r="A4326">
        <v>783494</v>
      </c>
      <c r="B4326" t="s">
        <v>24403</v>
      </c>
      <c r="C4326" t="s">
        <v>24404</v>
      </c>
      <c r="D4326">
        <v>1</v>
      </c>
      <c r="F4326" s="126"/>
      <c r="G4326" s="3">
        <v>0</v>
      </c>
      <c r="H4326" s="3">
        <v>0</v>
      </c>
      <c r="I4326" s="3">
        <v>0</v>
      </c>
      <c r="J4326" s="3">
        <v>0</v>
      </c>
      <c r="K4326" s="3">
        <f t="shared" si="158"/>
        <v>0</v>
      </c>
      <c r="L4326" s="3"/>
      <c r="M4326" s="3">
        <f t="shared" si="159"/>
        <v>0</v>
      </c>
      <c r="O4326" s="5"/>
      <c r="S4326" s="6"/>
    </row>
    <row r="4327" spans="1:19" customFormat="1" x14ac:dyDescent="0.45">
      <c r="A4327">
        <v>783698</v>
      </c>
      <c r="B4327" t="s">
        <v>24405</v>
      </c>
      <c r="C4327" t="s">
        <v>24406</v>
      </c>
      <c r="D4327">
        <v>2</v>
      </c>
      <c r="F4327" s="126"/>
      <c r="G4327" s="3">
        <v>0</v>
      </c>
      <c r="H4327" s="3">
        <v>0</v>
      </c>
      <c r="I4327" s="3">
        <v>0</v>
      </c>
      <c r="J4327" s="3">
        <v>0</v>
      </c>
      <c r="K4327" s="3">
        <f t="shared" si="158"/>
        <v>0</v>
      </c>
      <c r="L4327" s="3"/>
      <c r="M4327" s="3">
        <f t="shared" si="159"/>
        <v>0</v>
      </c>
      <c r="O4327" s="5"/>
      <c r="S4327" s="6"/>
    </row>
    <row r="4328" spans="1:19" customFormat="1" x14ac:dyDescent="0.45">
      <c r="A4328">
        <v>783716</v>
      </c>
      <c r="B4328" t="s">
        <v>24407</v>
      </c>
      <c r="C4328" t="s">
        <v>24408</v>
      </c>
      <c r="D4328">
        <v>2</v>
      </c>
      <c r="F4328" s="126"/>
      <c r="G4328" s="3">
        <v>0</v>
      </c>
      <c r="H4328" s="3">
        <v>0</v>
      </c>
      <c r="I4328" s="3">
        <v>0</v>
      </c>
      <c r="J4328" s="3">
        <v>0</v>
      </c>
      <c r="K4328" s="3">
        <f t="shared" si="158"/>
        <v>0</v>
      </c>
      <c r="L4328" s="3"/>
      <c r="M4328" s="3">
        <f t="shared" si="159"/>
        <v>0</v>
      </c>
      <c r="O4328" s="5"/>
      <c r="S4328" s="6"/>
    </row>
    <row r="4329" spans="1:19" customFormat="1" x14ac:dyDescent="0.45">
      <c r="A4329">
        <v>783726</v>
      </c>
      <c r="B4329" t="s">
        <v>24409</v>
      </c>
      <c r="C4329" t="s">
        <v>24410</v>
      </c>
      <c r="D4329">
        <v>2</v>
      </c>
      <c r="F4329" s="126"/>
      <c r="G4329" s="7">
        <v>0</v>
      </c>
      <c r="H4329" s="7">
        <v>0</v>
      </c>
      <c r="I4329" s="7">
        <v>0</v>
      </c>
      <c r="J4329" s="7">
        <v>0</v>
      </c>
      <c r="K4329" s="3">
        <f t="shared" si="158"/>
        <v>0</v>
      </c>
      <c r="L4329" s="3"/>
      <c r="M4329" s="3">
        <f t="shared" si="159"/>
        <v>0</v>
      </c>
      <c r="O4329" s="5"/>
      <c r="S4329" s="6"/>
    </row>
    <row r="4330" spans="1:19" customFormat="1" x14ac:dyDescent="0.45">
      <c r="A4330">
        <v>783916</v>
      </c>
      <c r="B4330" t="s">
        <v>24411</v>
      </c>
      <c r="C4330" t="s">
        <v>16331</v>
      </c>
      <c r="D4330">
        <v>1</v>
      </c>
      <c r="E4330" t="s">
        <v>16331</v>
      </c>
      <c r="F4330" s="126"/>
      <c r="K4330" s="3">
        <f t="shared" si="158"/>
        <v>0</v>
      </c>
      <c r="L4330" s="3"/>
      <c r="M4330" s="3">
        <f t="shared" si="159"/>
        <v>0</v>
      </c>
      <c r="O4330" s="5"/>
      <c r="S4330" s="6"/>
    </row>
    <row r="4331" spans="1:19" customFormat="1" x14ac:dyDescent="0.45">
      <c r="A4331">
        <v>784088</v>
      </c>
      <c r="B4331" t="s">
        <v>24412</v>
      </c>
      <c r="C4331" t="s">
        <v>16331</v>
      </c>
      <c r="D4331">
        <v>1</v>
      </c>
      <c r="E4331" t="s">
        <v>16331</v>
      </c>
      <c r="F4331" s="126"/>
      <c r="G4331" s="7">
        <v>0</v>
      </c>
      <c r="H4331" s="7">
        <v>0</v>
      </c>
      <c r="I4331" s="7">
        <v>0</v>
      </c>
      <c r="J4331" s="7">
        <v>0</v>
      </c>
      <c r="K4331" s="3">
        <f t="shared" si="158"/>
        <v>0</v>
      </c>
      <c r="L4331" s="3"/>
      <c r="M4331" s="3">
        <f t="shared" si="159"/>
        <v>0</v>
      </c>
      <c r="O4331" s="5"/>
      <c r="S4331" s="6"/>
    </row>
    <row r="4332" spans="1:19" customFormat="1" x14ac:dyDescent="0.45">
      <c r="A4332">
        <v>784174</v>
      </c>
      <c r="B4332" t="s">
        <v>24413</v>
      </c>
      <c r="C4332" s="2" t="s">
        <v>24414</v>
      </c>
      <c r="D4332">
        <v>2</v>
      </c>
      <c r="F4332" s="126"/>
      <c r="G4332" s="3">
        <v>0</v>
      </c>
      <c r="H4332" s="3">
        <v>0</v>
      </c>
      <c r="I4332" s="3">
        <v>0</v>
      </c>
      <c r="J4332" s="3">
        <v>0</v>
      </c>
      <c r="K4332" s="3">
        <f t="shared" si="158"/>
        <v>0</v>
      </c>
      <c r="L4332" s="3"/>
      <c r="M4332" s="3">
        <f t="shared" si="159"/>
        <v>0</v>
      </c>
      <c r="O4332" s="5"/>
      <c r="S4332" s="6"/>
    </row>
    <row r="4333" spans="1:19" customFormat="1" x14ac:dyDescent="0.45">
      <c r="A4333">
        <v>784239</v>
      </c>
      <c r="B4333" t="s">
        <v>24415</v>
      </c>
      <c r="C4333" t="s">
        <v>16331</v>
      </c>
      <c r="D4333">
        <v>1</v>
      </c>
      <c r="E4333" t="s">
        <v>16331</v>
      </c>
      <c r="F4333" s="126"/>
      <c r="G4333" s="7">
        <v>0</v>
      </c>
      <c r="H4333" s="7">
        <v>0</v>
      </c>
      <c r="I4333" s="7">
        <v>0</v>
      </c>
      <c r="J4333" s="7">
        <v>0</v>
      </c>
      <c r="K4333" s="3">
        <f t="shared" si="158"/>
        <v>0</v>
      </c>
      <c r="L4333" s="3"/>
      <c r="M4333" s="3">
        <f t="shared" si="159"/>
        <v>0</v>
      </c>
      <c r="O4333" s="5"/>
      <c r="S4333" s="6"/>
    </row>
    <row r="4334" spans="1:19" customFormat="1" x14ac:dyDescent="0.45">
      <c r="A4334">
        <v>784347</v>
      </c>
      <c r="B4334" t="s">
        <v>24416</v>
      </c>
      <c r="C4334" t="s">
        <v>24417</v>
      </c>
      <c r="D4334">
        <v>2</v>
      </c>
      <c r="F4334" s="126"/>
      <c r="K4334" s="3">
        <f t="shared" si="158"/>
        <v>0</v>
      </c>
      <c r="L4334" s="3"/>
      <c r="M4334" s="3">
        <f t="shared" si="159"/>
        <v>0</v>
      </c>
      <c r="O4334" s="5"/>
      <c r="S4334" s="6"/>
    </row>
    <row r="4335" spans="1:19" customFormat="1" x14ac:dyDescent="0.45">
      <c r="A4335">
        <v>784483</v>
      </c>
      <c r="B4335" t="s">
        <v>24418</v>
      </c>
      <c r="C4335" t="s">
        <v>24419</v>
      </c>
      <c r="D4335">
        <v>1</v>
      </c>
      <c r="F4335" s="126"/>
      <c r="G4335" s="3">
        <v>0</v>
      </c>
      <c r="H4335" s="3">
        <v>0</v>
      </c>
      <c r="I4335" s="3">
        <v>0</v>
      </c>
      <c r="J4335" s="3">
        <v>0</v>
      </c>
      <c r="K4335" s="3">
        <f t="shared" si="158"/>
        <v>0</v>
      </c>
      <c r="L4335" s="3"/>
      <c r="M4335" s="3">
        <f t="shared" si="159"/>
        <v>0</v>
      </c>
      <c r="O4335" s="5"/>
      <c r="S4335" s="6"/>
    </row>
    <row r="4336" spans="1:19" customFormat="1" x14ac:dyDescent="0.45">
      <c r="A4336">
        <v>784785</v>
      </c>
      <c r="B4336" t="s">
        <v>24420</v>
      </c>
      <c r="C4336" t="s">
        <v>24421</v>
      </c>
      <c r="D4336">
        <v>4</v>
      </c>
      <c r="F4336" s="126"/>
      <c r="G4336" s="3">
        <v>0</v>
      </c>
      <c r="H4336" s="3">
        <v>0</v>
      </c>
      <c r="I4336" s="3">
        <v>0</v>
      </c>
      <c r="J4336" s="3">
        <v>0</v>
      </c>
      <c r="K4336" s="3">
        <f t="shared" si="158"/>
        <v>0</v>
      </c>
      <c r="L4336" s="3"/>
      <c r="M4336" s="3">
        <f t="shared" si="159"/>
        <v>0</v>
      </c>
      <c r="O4336" s="5"/>
      <c r="S4336" s="6"/>
    </row>
    <row r="4337" spans="1:22" customFormat="1" x14ac:dyDescent="0.45">
      <c r="A4337">
        <v>784799</v>
      </c>
      <c r="B4337" t="s">
        <v>24422</v>
      </c>
      <c r="C4337" t="s">
        <v>24423</v>
      </c>
      <c r="D4337">
        <v>2</v>
      </c>
      <c r="F4337" s="126"/>
      <c r="G4337" s="3">
        <v>0</v>
      </c>
      <c r="H4337" s="3">
        <v>0</v>
      </c>
      <c r="I4337" s="3">
        <v>0</v>
      </c>
      <c r="J4337" s="3">
        <v>0</v>
      </c>
      <c r="K4337" s="3">
        <f t="shared" si="158"/>
        <v>0</v>
      </c>
      <c r="L4337" s="3"/>
      <c r="M4337" s="3">
        <f t="shared" si="159"/>
        <v>0</v>
      </c>
      <c r="O4337" s="5"/>
      <c r="S4337" s="6"/>
    </row>
    <row r="4338" spans="1:22" customFormat="1" x14ac:dyDescent="0.45">
      <c r="A4338">
        <v>785085</v>
      </c>
      <c r="B4338" t="s">
        <v>24424</v>
      </c>
      <c r="C4338" t="s">
        <v>16331</v>
      </c>
      <c r="D4338">
        <v>2</v>
      </c>
      <c r="E4338" t="s">
        <v>16331</v>
      </c>
      <c r="F4338" s="126"/>
      <c r="K4338" s="3">
        <f t="shared" si="158"/>
        <v>0</v>
      </c>
      <c r="L4338" s="3"/>
      <c r="M4338" s="3">
        <f t="shared" si="159"/>
        <v>0</v>
      </c>
      <c r="O4338" s="5"/>
      <c r="S4338" s="6"/>
    </row>
    <row r="4339" spans="1:22" customFormat="1" x14ac:dyDescent="0.45">
      <c r="A4339">
        <v>785187</v>
      </c>
      <c r="B4339" t="s">
        <v>24425</v>
      </c>
      <c r="C4339" t="s">
        <v>24426</v>
      </c>
      <c r="D4339">
        <v>1</v>
      </c>
      <c r="F4339" s="126"/>
      <c r="G4339" s="3">
        <v>0</v>
      </c>
      <c r="H4339" s="3">
        <v>0</v>
      </c>
      <c r="I4339" s="3">
        <v>0</v>
      </c>
      <c r="J4339" s="3">
        <v>0</v>
      </c>
      <c r="K4339" s="3">
        <f t="shared" si="158"/>
        <v>0</v>
      </c>
      <c r="L4339" s="3"/>
      <c r="M4339" s="3">
        <f t="shared" si="159"/>
        <v>0</v>
      </c>
      <c r="O4339" s="5"/>
      <c r="S4339" s="6"/>
    </row>
    <row r="4340" spans="1:22" x14ac:dyDescent="0.45">
      <c r="A4340" s="124">
        <v>949328</v>
      </c>
      <c r="B4340" s="124" t="s">
        <v>24427</v>
      </c>
      <c r="C4340" s="125" t="s">
        <v>24428</v>
      </c>
      <c r="D4340" s="124">
        <v>2</v>
      </c>
      <c r="E4340" s="124" t="s">
        <v>16334</v>
      </c>
      <c r="F4340" s="126">
        <v>1.6999999999999999E-3</v>
      </c>
      <c r="G4340" s="126">
        <v>0</v>
      </c>
      <c r="H4340" s="126">
        <v>3.8150000000000003E-2</v>
      </c>
      <c r="I4340" s="127"/>
      <c r="J4340" s="127"/>
      <c r="K4340" s="126">
        <f t="shared" si="158"/>
        <v>3.8150000000000003E-2</v>
      </c>
      <c r="L4340" s="3"/>
      <c r="M4340" s="126">
        <f t="shared" si="159"/>
        <v>3.9850000000000003E-2</v>
      </c>
      <c r="N4340" s="124" t="s">
        <v>24429</v>
      </c>
      <c r="O4340" s="131" t="s">
        <v>24430</v>
      </c>
      <c r="P4340" s="128" t="s">
        <v>26918</v>
      </c>
      <c r="Q4340" s="124">
        <v>66210</v>
      </c>
      <c r="R4340" s="124" t="s">
        <v>16348</v>
      </c>
      <c r="S4340" s="132">
        <v>63328</v>
      </c>
      <c r="T4340" s="129">
        <f>S4340/Q4340</f>
        <v>0.95647183204953934</v>
      </c>
      <c r="V4340" s="125" t="s">
        <v>24431</v>
      </c>
    </row>
    <row r="4341" spans="1:22" customFormat="1" x14ac:dyDescent="0.45">
      <c r="A4341">
        <v>785754</v>
      </c>
      <c r="B4341" t="s">
        <v>24432</v>
      </c>
      <c r="C4341" t="s">
        <v>24433</v>
      </c>
      <c r="D4341">
        <v>3</v>
      </c>
      <c r="F4341" s="126"/>
      <c r="G4341" s="3">
        <v>0</v>
      </c>
      <c r="H4341" s="3">
        <v>0</v>
      </c>
      <c r="I4341" s="3">
        <v>0</v>
      </c>
      <c r="J4341" s="3">
        <v>0</v>
      </c>
      <c r="K4341" s="3">
        <f t="shared" si="158"/>
        <v>0</v>
      </c>
      <c r="L4341" s="3"/>
      <c r="M4341" s="3">
        <f t="shared" si="159"/>
        <v>0</v>
      </c>
      <c r="O4341" s="5"/>
      <c r="S4341" s="6"/>
    </row>
    <row r="4342" spans="1:22" customFormat="1" x14ac:dyDescent="0.45">
      <c r="A4342">
        <v>785885</v>
      </c>
      <c r="B4342" t="s">
        <v>24434</v>
      </c>
      <c r="C4342" t="s">
        <v>16331</v>
      </c>
      <c r="D4342">
        <v>1</v>
      </c>
      <c r="E4342" t="s">
        <v>16331</v>
      </c>
      <c r="F4342" s="126"/>
      <c r="G4342" s="7">
        <v>0</v>
      </c>
      <c r="H4342" s="7">
        <v>0</v>
      </c>
      <c r="I4342" s="7">
        <v>0</v>
      </c>
      <c r="J4342" s="7">
        <v>0</v>
      </c>
      <c r="K4342" s="3">
        <f t="shared" si="158"/>
        <v>0</v>
      </c>
      <c r="L4342" s="3"/>
      <c r="M4342" s="3">
        <f t="shared" si="159"/>
        <v>0</v>
      </c>
      <c r="O4342" s="5"/>
      <c r="S4342" s="6"/>
    </row>
    <row r="4343" spans="1:22" customFormat="1" x14ac:dyDescent="0.45">
      <c r="A4343">
        <v>786005</v>
      </c>
      <c r="B4343" t="s">
        <v>24435</v>
      </c>
      <c r="C4343" t="s">
        <v>24436</v>
      </c>
      <c r="D4343">
        <v>1</v>
      </c>
      <c r="F4343" s="126"/>
      <c r="G4343" s="3">
        <v>0</v>
      </c>
      <c r="H4343" s="3">
        <v>0</v>
      </c>
      <c r="I4343" s="3">
        <v>0</v>
      </c>
      <c r="J4343" s="3">
        <v>0</v>
      </c>
      <c r="K4343" s="3">
        <f t="shared" si="158"/>
        <v>0</v>
      </c>
      <c r="L4343" s="3"/>
      <c r="M4343" s="3">
        <f t="shared" si="159"/>
        <v>0</v>
      </c>
      <c r="O4343" s="5"/>
      <c r="S4343" s="6"/>
    </row>
    <row r="4344" spans="1:22" customFormat="1" x14ac:dyDescent="0.45">
      <c r="A4344">
        <v>786139</v>
      </c>
      <c r="B4344" t="s">
        <v>24437</v>
      </c>
      <c r="C4344" t="s">
        <v>24438</v>
      </c>
      <c r="D4344">
        <v>1</v>
      </c>
      <c r="F4344" s="126"/>
      <c r="G4344" s="7">
        <v>0</v>
      </c>
      <c r="H4344" s="7">
        <v>0</v>
      </c>
      <c r="I4344" s="7">
        <v>0</v>
      </c>
      <c r="J4344" s="7">
        <v>0</v>
      </c>
      <c r="K4344" s="3">
        <f t="shared" si="158"/>
        <v>0</v>
      </c>
      <c r="L4344" s="3"/>
      <c r="M4344" s="3">
        <f t="shared" si="159"/>
        <v>0</v>
      </c>
      <c r="O4344" s="5"/>
      <c r="S4344" s="6"/>
    </row>
    <row r="4345" spans="1:22" customFormat="1" x14ac:dyDescent="0.45">
      <c r="A4345">
        <v>786254</v>
      </c>
      <c r="B4345" t="s">
        <v>24439</v>
      </c>
      <c r="C4345" t="s">
        <v>16331</v>
      </c>
      <c r="D4345">
        <v>1</v>
      </c>
      <c r="E4345" t="s">
        <v>16331</v>
      </c>
      <c r="F4345" s="126"/>
      <c r="G4345" s="7">
        <v>0</v>
      </c>
      <c r="H4345" s="7">
        <v>0</v>
      </c>
      <c r="I4345" s="7">
        <v>0</v>
      </c>
      <c r="J4345" s="7">
        <v>0</v>
      </c>
      <c r="K4345" s="3">
        <f t="shared" si="158"/>
        <v>0</v>
      </c>
      <c r="L4345" s="3"/>
      <c r="M4345" s="3">
        <f t="shared" si="159"/>
        <v>0</v>
      </c>
      <c r="O4345" s="5"/>
      <c r="S4345" s="6"/>
    </row>
    <row r="4346" spans="1:22" customFormat="1" x14ac:dyDescent="0.45">
      <c r="A4346">
        <v>786343</v>
      </c>
      <c r="B4346" t="s">
        <v>24440</v>
      </c>
      <c r="C4346" t="s">
        <v>24441</v>
      </c>
      <c r="D4346">
        <v>1</v>
      </c>
      <c r="F4346" s="126"/>
      <c r="G4346" s="3">
        <v>0</v>
      </c>
      <c r="H4346" s="3">
        <v>0</v>
      </c>
      <c r="I4346" s="3">
        <v>0</v>
      </c>
      <c r="J4346" s="3">
        <v>0</v>
      </c>
      <c r="K4346" s="3">
        <f t="shared" si="158"/>
        <v>0</v>
      </c>
      <c r="L4346" s="3"/>
      <c r="M4346" s="3">
        <f t="shared" si="159"/>
        <v>0</v>
      </c>
      <c r="O4346" s="5"/>
      <c r="S4346" s="6"/>
    </row>
    <row r="4347" spans="1:22" customFormat="1" x14ac:dyDescent="0.45">
      <c r="A4347">
        <v>786358</v>
      </c>
      <c r="B4347" t="s">
        <v>24442</v>
      </c>
      <c r="C4347" t="s">
        <v>16331</v>
      </c>
      <c r="D4347">
        <v>1</v>
      </c>
      <c r="E4347" t="s">
        <v>16331</v>
      </c>
      <c r="F4347" s="126"/>
      <c r="G4347" s="7">
        <v>0</v>
      </c>
      <c r="H4347" s="7">
        <v>0</v>
      </c>
      <c r="I4347" s="7">
        <v>0</v>
      </c>
      <c r="J4347" s="7">
        <v>0</v>
      </c>
      <c r="K4347" s="3">
        <f t="shared" si="158"/>
        <v>0</v>
      </c>
      <c r="L4347" s="3"/>
      <c r="M4347" s="3">
        <f t="shared" si="159"/>
        <v>0</v>
      </c>
      <c r="O4347" s="5"/>
      <c r="S4347" s="6"/>
    </row>
    <row r="4348" spans="1:22" customFormat="1" x14ac:dyDescent="0.45">
      <c r="A4348">
        <v>786411</v>
      </c>
      <c r="B4348" t="s">
        <v>24443</v>
      </c>
      <c r="C4348" t="s">
        <v>24444</v>
      </c>
      <c r="D4348">
        <v>1</v>
      </c>
      <c r="F4348" s="126"/>
      <c r="G4348" s="3">
        <v>0</v>
      </c>
      <c r="H4348" s="3">
        <v>0</v>
      </c>
      <c r="I4348" s="3">
        <v>0</v>
      </c>
      <c r="J4348" s="3">
        <v>0</v>
      </c>
      <c r="K4348" s="3">
        <f t="shared" si="158"/>
        <v>0</v>
      </c>
      <c r="L4348" s="3"/>
      <c r="M4348" s="3">
        <f t="shared" si="159"/>
        <v>0</v>
      </c>
      <c r="O4348" s="5"/>
      <c r="S4348" s="6"/>
    </row>
    <row r="4349" spans="1:22" customFormat="1" x14ac:dyDescent="0.45">
      <c r="A4349">
        <v>786510</v>
      </c>
      <c r="B4349" t="s">
        <v>24445</v>
      </c>
      <c r="C4349" t="s">
        <v>24446</v>
      </c>
      <c r="D4349">
        <v>2</v>
      </c>
      <c r="F4349" s="126"/>
      <c r="G4349" s="3">
        <v>0</v>
      </c>
      <c r="H4349" s="3">
        <v>0</v>
      </c>
      <c r="I4349" s="3">
        <v>0</v>
      </c>
      <c r="J4349" s="3">
        <v>0</v>
      </c>
      <c r="K4349" s="3">
        <f t="shared" si="158"/>
        <v>0</v>
      </c>
      <c r="L4349" s="3"/>
      <c r="M4349" s="3">
        <f t="shared" si="159"/>
        <v>0</v>
      </c>
      <c r="O4349" s="5"/>
      <c r="S4349" s="6"/>
    </row>
    <row r="4350" spans="1:22" customFormat="1" x14ac:dyDescent="0.45">
      <c r="A4350">
        <v>786673</v>
      </c>
      <c r="B4350" t="s">
        <v>24447</v>
      </c>
      <c r="C4350" t="s">
        <v>24448</v>
      </c>
      <c r="D4350">
        <v>1</v>
      </c>
      <c r="F4350" s="126"/>
      <c r="G4350" s="3"/>
      <c r="H4350" s="3"/>
      <c r="I4350" s="3"/>
      <c r="J4350" s="3"/>
      <c r="K4350" s="3">
        <f t="shared" si="158"/>
        <v>0</v>
      </c>
      <c r="L4350" s="3"/>
      <c r="M4350" s="3">
        <f t="shared" si="159"/>
        <v>0</v>
      </c>
      <c r="O4350" s="5"/>
      <c r="S4350" s="6"/>
    </row>
    <row r="4351" spans="1:22" customFormat="1" x14ac:dyDescent="0.45">
      <c r="A4351">
        <v>787019</v>
      </c>
      <c r="B4351" t="s">
        <v>24449</v>
      </c>
      <c r="C4351" t="s">
        <v>24450</v>
      </c>
      <c r="D4351">
        <v>2</v>
      </c>
      <c r="F4351" s="126"/>
      <c r="G4351" s="3">
        <v>0</v>
      </c>
      <c r="H4351" s="3">
        <v>0</v>
      </c>
      <c r="I4351" s="3">
        <v>0</v>
      </c>
      <c r="J4351" s="3">
        <v>0</v>
      </c>
      <c r="K4351" s="3">
        <f t="shared" si="158"/>
        <v>0</v>
      </c>
      <c r="L4351" s="3"/>
      <c r="M4351" s="3">
        <f t="shared" si="159"/>
        <v>0</v>
      </c>
      <c r="O4351" s="5"/>
      <c r="S4351" s="6"/>
    </row>
    <row r="4352" spans="1:22" customFormat="1" x14ac:dyDescent="0.45">
      <c r="A4352">
        <v>787051</v>
      </c>
      <c r="B4352" t="s">
        <v>24451</v>
      </c>
      <c r="C4352" t="s">
        <v>16331</v>
      </c>
      <c r="D4352">
        <v>1</v>
      </c>
      <c r="E4352" t="s">
        <v>16331</v>
      </c>
      <c r="F4352" s="126"/>
      <c r="G4352" s="7">
        <v>0</v>
      </c>
      <c r="H4352" s="7">
        <v>0</v>
      </c>
      <c r="I4352" s="7">
        <v>0</v>
      </c>
      <c r="J4352" s="7">
        <v>0</v>
      </c>
      <c r="K4352" s="3">
        <f t="shared" si="158"/>
        <v>0</v>
      </c>
      <c r="L4352" s="3"/>
      <c r="M4352" s="3">
        <f t="shared" si="159"/>
        <v>0</v>
      </c>
      <c r="O4352" s="5"/>
      <c r="S4352" s="6"/>
    </row>
    <row r="4353" spans="1:22" customFormat="1" x14ac:dyDescent="0.45">
      <c r="A4353">
        <v>787161</v>
      </c>
      <c r="B4353" t="s">
        <v>24452</v>
      </c>
      <c r="C4353" t="s">
        <v>24453</v>
      </c>
      <c r="D4353">
        <v>1</v>
      </c>
      <c r="F4353" s="126"/>
      <c r="G4353" s="3">
        <v>0</v>
      </c>
      <c r="H4353" s="3">
        <v>0</v>
      </c>
      <c r="I4353" s="3">
        <v>0</v>
      </c>
      <c r="J4353" s="3">
        <v>0</v>
      </c>
      <c r="K4353" s="3">
        <f t="shared" si="158"/>
        <v>0</v>
      </c>
      <c r="L4353" s="3"/>
      <c r="M4353" s="3">
        <f t="shared" si="159"/>
        <v>0</v>
      </c>
      <c r="O4353" s="5"/>
      <c r="S4353" s="6"/>
    </row>
    <row r="4354" spans="1:22" customFormat="1" x14ac:dyDescent="0.45">
      <c r="A4354">
        <v>787261</v>
      </c>
      <c r="B4354" t="s">
        <v>24454</v>
      </c>
      <c r="C4354" t="s">
        <v>24455</v>
      </c>
      <c r="D4354">
        <v>2</v>
      </c>
      <c r="F4354" s="126"/>
      <c r="G4354" s="7">
        <v>0</v>
      </c>
      <c r="H4354" s="7">
        <v>0</v>
      </c>
      <c r="I4354" s="7">
        <v>0</v>
      </c>
      <c r="J4354" s="7">
        <v>0</v>
      </c>
      <c r="K4354" s="3">
        <f t="shared" si="158"/>
        <v>0</v>
      </c>
      <c r="L4354" s="3"/>
      <c r="M4354" s="3">
        <f t="shared" si="159"/>
        <v>0</v>
      </c>
      <c r="N4354" s="7"/>
      <c r="O4354" s="5"/>
      <c r="S4354" s="6"/>
    </row>
    <row r="4355" spans="1:22" customFormat="1" x14ac:dyDescent="0.45">
      <c r="A4355">
        <v>787328</v>
      </c>
      <c r="B4355" t="s">
        <v>24456</v>
      </c>
      <c r="C4355" t="s">
        <v>24457</v>
      </c>
      <c r="D4355">
        <v>2</v>
      </c>
      <c r="F4355" s="126"/>
      <c r="G4355" s="3">
        <v>0</v>
      </c>
      <c r="H4355" s="3">
        <v>0</v>
      </c>
      <c r="I4355" s="3">
        <v>0</v>
      </c>
      <c r="J4355" s="3">
        <v>0</v>
      </c>
      <c r="K4355" s="3">
        <f t="shared" si="158"/>
        <v>0</v>
      </c>
      <c r="L4355" s="3"/>
      <c r="M4355" s="3">
        <f t="shared" si="159"/>
        <v>0</v>
      </c>
      <c r="O4355" s="5"/>
      <c r="S4355" s="6"/>
    </row>
    <row r="4356" spans="1:22" x14ac:dyDescent="0.45">
      <c r="A4356" s="124">
        <v>914522</v>
      </c>
      <c r="B4356" s="124" t="s">
        <v>24458</v>
      </c>
      <c r="C4356" s="125" t="s">
        <v>24459</v>
      </c>
      <c r="D4356" s="124">
        <v>1</v>
      </c>
      <c r="E4356" s="124" t="s">
        <v>16334</v>
      </c>
      <c r="F4356" s="126">
        <v>1.6999999999999999E-3</v>
      </c>
      <c r="G4356" s="126">
        <v>0.02</v>
      </c>
      <c r="H4356" s="126">
        <v>0.01</v>
      </c>
      <c r="I4356" s="127"/>
      <c r="J4356" s="127"/>
      <c r="K4356" s="126">
        <f t="shared" si="158"/>
        <v>0.03</v>
      </c>
      <c r="L4356" s="3"/>
      <c r="M4356" s="126">
        <f t="shared" si="159"/>
        <v>3.1699999999999999E-2</v>
      </c>
      <c r="O4356" s="131" t="s">
        <v>24460</v>
      </c>
      <c r="P4356" s="128" t="s">
        <v>26918</v>
      </c>
      <c r="Q4356" s="124">
        <f>50964+13600</f>
        <v>64564</v>
      </c>
      <c r="R4356" s="124" t="s">
        <v>16348</v>
      </c>
      <c r="S4356" s="132">
        <v>42741</v>
      </c>
      <c r="T4356" s="129">
        <f>S4356/Q4356</f>
        <v>0.66199430022922989</v>
      </c>
      <c r="V4356" s="125" t="s">
        <v>24461</v>
      </c>
    </row>
    <row r="4357" spans="1:22" customFormat="1" x14ac:dyDescent="0.45">
      <c r="A4357">
        <v>787517</v>
      </c>
      <c r="B4357" t="s">
        <v>24462</v>
      </c>
      <c r="C4357" t="s">
        <v>24463</v>
      </c>
      <c r="D4357">
        <v>2</v>
      </c>
      <c r="F4357" s="126"/>
      <c r="G4357" s="3">
        <v>0</v>
      </c>
      <c r="H4357" s="3">
        <v>0</v>
      </c>
      <c r="I4357" s="3">
        <v>0</v>
      </c>
      <c r="J4357" s="3">
        <v>0</v>
      </c>
      <c r="K4357" s="3">
        <f t="shared" si="158"/>
        <v>0</v>
      </c>
      <c r="L4357" s="3"/>
      <c r="M4357" s="3">
        <f t="shared" si="159"/>
        <v>0</v>
      </c>
      <c r="O4357" s="5"/>
      <c r="S4357" s="6"/>
    </row>
    <row r="4358" spans="1:22" customFormat="1" x14ac:dyDescent="0.45">
      <c r="A4358">
        <v>787607</v>
      </c>
      <c r="B4358" t="s">
        <v>24464</v>
      </c>
      <c r="C4358" t="s">
        <v>24465</v>
      </c>
      <c r="D4358">
        <v>1</v>
      </c>
      <c r="F4358" s="126"/>
      <c r="G4358" s="3"/>
      <c r="H4358" s="3"/>
      <c r="I4358" s="3"/>
      <c r="J4358" s="3"/>
      <c r="K4358" s="3">
        <f t="shared" si="158"/>
        <v>0</v>
      </c>
      <c r="L4358" s="3"/>
      <c r="M4358" s="3">
        <f t="shared" si="159"/>
        <v>0</v>
      </c>
      <c r="O4358" s="5"/>
      <c r="S4358" s="6"/>
    </row>
    <row r="4359" spans="1:22" customFormat="1" x14ac:dyDescent="0.45">
      <c r="A4359">
        <v>787803</v>
      </c>
      <c r="B4359" t="s">
        <v>24466</v>
      </c>
      <c r="C4359" t="s">
        <v>24467</v>
      </c>
      <c r="D4359">
        <v>10</v>
      </c>
      <c r="F4359" s="126"/>
      <c r="G4359" s="3">
        <v>0</v>
      </c>
      <c r="H4359" s="3">
        <v>0</v>
      </c>
      <c r="I4359" s="3">
        <v>0</v>
      </c>
      <c r="J4359" s="3">
        <v>0</v>
      </c>
      <c r="K4359" s="3">
        <f t="shared" ref="K4359:K4422" si="160">SUM(G4359:J4359)</f>
        <v>0</v>
      </c>
      <c r="L4359" s="3"/>
      <c r="M4359" s="3">
        <f t="shared" ref="M4359:M4422" si="161">K4359+F4359</f>
        <v>0</v>
      </c>
      <c r="O4359" s="5"/>
      <c r="S4359" s="6"/>
    </row>
    <row r="4360" spans="1:22" customFormat="1" x14ac:dyDescent="0.45">
      <c r="A4360">
        <v>788194</v>
      </c>
      <c r="B4360" t="s">
        <v>24468</v>
      </c>
      <c r="C4360" t="s">
        <v>16331</v>
      </c>
      <c r="D4360">
        <v>1</v>
      </c>
      <c r="E4360" t="s">
        <v>16331</v>
      </c>
      <c r="F4360" s="126"/>
      <c r="K4360" s="3">
        <f t="shared" si="160"/>
        <v>0</v>
      </c>
      <c r="L4360" s="3"/>
      <c r="M4360" s="3">
        <f t="shared" si="161"/>
        <v>0</v>
      </c>
      <c r="O4360" s="5"/>
      <c r="S4360" s="6"/>
    </row>
    <row r="4361" spans="1:22" customFormat="1" x14ac:dyDescent="0.45">
      <c r="A4361">
        <v>788252</v>
      </c>
      <c r="B4361" t="s">
        <v>24469</v>
      </c>
      <c r="C4361" t="s">
        <v>24470</v>
      </c>
      <c r="D4361">
        <v>5</v>
      </c>
      <c r="F4361" s="126"/>
      <c r="K4361" s="3">
        <f t="shared" si="160"/>
        <v>0</v>
      </c>
      <c r="L4361" s="3"/>
      <c r="M4361" s="3">
        <f t="shared" si="161"/>
        <v>0</v>
      </c>
      <c r="O4361" s="5"/>
      <c r="S4361" s="6"/>
    </row>
    <row r="4362" spans="1:22" customFormat="1" x14ac:dyDescent="0.45">
      <c r="A4362">
        <v>788285</v>
      </c>
      <c r="B4362" t="s">
        <v>24471</v>
      </c>
      <c r="C4362" t="s">
        <v>16331</v>
      </c>
      <c r="D4362">
        <v>10</v>
      </c>
      <c r="E4362" t="s">
        <v>16331</v>
      </c>
      <c r="F4362" s="126"/>
      <c r="G4362" s="7">
        <v>0</v>
      </c>
      <c r="H4362" s="7">
        <v>0</v>
      </c>
      <c r="I4362" s="7">
        <v>0</v>
      </c>
      <c r="J4362" s="7">
        <v>0</v>
      </c>
      <c r="K4362" s="3">
        <f t="shared" si="160"/>
        <v>0</v>
      </c>
      <c r="L4362" s="3"/>
      <c r="M4362" s="3">
        <f t="shared" si="161"/>
        <v>0</v>
      </c>
      <c r="O4362" s="5"/>
      <c r="S4362" s="6"/>
    </row>
    <row r="4363" spans="1:22" x14ac:dyDescent="0.45">
      <c r="A4363" s="124">
        <v>186250</v>
      </c>
      <c r="B4363" s="124" t="s">
        <v>24472</v>
      </c>
      <c r="C4363" s="125" t="s">
        <v>24473</v>
      </c>
      <c r="D4363" s="124">
        <v>13</v>
      </c>
      <c r="E4363" s="124" t="s">
        <v>16334</v>
      </c>
      <c r="F4363" s="126">
        <v>1.6999999999999999E-3</v>
      </c>
      <c r="G4363" s="126">
        <v>1.4999999999999999E-2</v>
      </c>
      <c r="H4363" s="135">
        <v>0.01</v>
      </c>
      <c r="I4363" s="127">
        <v>0</v>
      </c>
      <c r="J4363" s="127">
        <v>0</v>
      </c>
      <c r="K4363" s="126">
        <f t="shared" si="160"/>
        <v>2.5000000000000001E-2</v>
      </c>
      <c r="L4363" s="3"/>
      <c r="M4363" s="126">
        <f t="shared" si="161"/>
        <v>2.6700000000000002E-2</v>
      </c>
      <c r="O4363" s="125" t="s">
        <v>24474</v>
      </c>
      <c r="P4363" s="128" t="s">
        <v>26918</v>
      </c>
      <c r="Q4363" s="130">
        <f>831234+374349</f>
        <v>1205583</v>
      </c>
      <c r="R4363" s="124" t="s">
        <v>16348</v>
      </c>
      <c r="S4363" s="130">
        <v>831234</v>
      </c>
      <c r="T4363" s="129">
        <f>S4363/Q4363</f>
        <v>0.68948716098352414</v>
      </c>
      <c r="V4363" s="125" t="s">
        <v>24475</v>
      </c>
    </row>
    <row r="4364" spans="1:22" customFormat="1" x14ac:dyDescent="0.45">
      <c r="A4364">
        <v>788849</v>
      </c>
      <c r="B4364" t="s">
        <v>24476</v>
      </c>
      <c r="C4364" t="s">
        <v>24477</v>
      </c>
      <c r="D4364">
        <v>3</v>
      </c>
      <c r="F4364" s="126"/>
      <c r="G4364" s="3">
        <v>0</v>
      </c>
      <c r="H4364" s="3">
        <v>0</v>
      </c>
      <c r="I4364" s="3">
        <v>0</v>
      </c>
      <c r="J4364" s="3">
        <v>0</v>
      </c>
      <c r="K4364" s="3">
        <f t="shared" si="160"/>
        <v>0</v>
      </c>
      <c r="L4364" s="3"/>
      <c r="M4364" s="3">
        <f t="shared" si="161"/>
        <v>0</v>
      </c>
      <c r="O4364" s="5"/>
      <c r="S4364" s="6"/>
    </row>
    <row r="4365" spans="1:22" customFormat="1" x14ac:dyDescent="0.45">
      <c r="A4365">
        <v>789032</v>
      </c>
      <c r="B4365" t="s">
        <v>24478</v>
      </c>
      <c r="C4365" t="s">
        <v>24479</v>
      </c>
      <c r="D4365">
        <v>6</v>
      </c>
      <c r="F4365" s="126"/>
      <c r="G4365" s="3">
        <v>0</v>
      </c>
      <c r="H4365" s="3">
        <v>0</v>
      </c>
      <c r="I4365" s="3">
        <v>0</v>
      </c>
      <c r="J4365" s="3">
        <v>0</v>
      </c>
      <c r="K4365" s="3">
        <f t="shared" si="160"/>
        <v>0</v>
      </c>
      <c r="L4365" s="3"/>
      <c r="M4365" s="3">
        <f t="shared" si="161"/>
        <v>0</v>
      </c>
      <c r="O4365" s="5"/>
      <c r="S4365" s="6"/>
    </row>
    <row r="4366" spans="1:22" customFormat="1" x14ac:dyDescent="0.45">
      <c r="A4366">
        <v>789159</v>
      </c>
      <c r="B4366" t="s">
        <v>24480</v>
      </c>
      <c r="C4366" t="s">
        <v>24481</v>
      </c>
      <c r="D4366">
        <v>1</v>
      </c>
      <c r="F4366" s="126"/>
      <c r="G4366" s="3">
        <v>0</v>
      </c>
      <c r="H4366" s="3">
        <v>0</v>
      </c>
      <c r="I4366" s="3">
        <v>0</v>
      </c>
      <c r="J4366" s="3">
        <v>0</v>
      </c>
      <c r="K4366" s="3">
        <f t="shared" si="160"/>
        <v>0</v>
      </c>
      <c r="L4366" s="3"/>
      <c r="M4366" s="3">
        <f t="shared" si="161"/>
        <v>0</v>
      </c>
      <c r="O4366" s="5"/>
      <c r="S4366" s="6"/>
    </row>
    <row r="4367" spans="1:22" customFormat="1" x14ac:dyDescent="0.45">
      <c r="A4367">
        <v>789181</v>
      </c>
      <c r="B4367" t="s">
        <v>24482</v>
      </c>
      <c r="C4367" t="s">
        <v>24483</v>
      </c>
      <c r="D4367">
        <v>2</v>
      </c>
      <c r="F4367" s="126"/>
      <c r="G4367" s="3">
        <v>0</v>
      </c>
      <c r="H4367" s="3">
        <v>0</v>
      </c>
      <c r="I4367" s="3">
        <v>0</v>
      </c>
      <c r="J4367" s="3">
        <v>0</v>
      </c>
      <c r="K4367" s="3">
        <f t="shared" si="160"/>
        <v>0</v>
      </c>
      <c r="L4367" s="3"/>
      <c r="M4367" s="3">
        <f t="shared" si="161"/>
        <v>0</v>
      </c>
      <c r="O4367" s="5"/>
      <c r="S4367" s="6"/>
    </row>
    <row r="4368" spans="1:22" customFormat="1" x14ac:dyDescent="0.45">
      <c r="A4368">
        <v>789185</v>
      </c>
      <c r="B4368" t="s">
        <v>24484</v>
      </c>
      <c r="C4368" t="s">
        <v>24485</v>
      </c>
      <c r="D4368">
        <v>1</v>
      </c>
      <c r="F4368" s="126"/>
      <c r="G4368" s="3">
        <v>0</v>
      </c>
      <c r="H4368" s="3">
        <v>0</v>
      </c>
      <c r="I4368" s="3">
        <v>0</v>
      </c>
      <c r="J4368" s="3">
        <v>0</v>
      </c>
      <c r="K4368" s="3">
        <f t="shared" si="160"/>
        <v>0</v>
      </c>
      <c r="L4368" s="3"/>
      <c r="M4368" s="3">
        <f t="shared" si="161"/>
        <v>0</v>
      </c>
      <c r="O4368" s="5"/>
      <c r="S4368" s="6"/>
    </row>
    <row r="4369" spans="1:23" customFormat="1" x14ac:dyDescent="0.45">
      <c r="A4369">
        <v>789201</v>
      </c>
      <c r="B4369" t="s">
        <v>24486</v>
      </c>
      <c r="C4369" t="s">
        <v>24487</v>
      </c>
      <c r="D4369">
        <v>1</v>
      </c>
      <c r="F4369" s="126"/>
      <c r="H4369" s="7"/>
      <c r="K4369" s="3">
        <f t="shared" si="160"/>
        <v>0</v>
      </c>
      <c r="L4369" s="3"/>
      <c r="M4369" s="3">
        <f t="shared" si="161"/>
        <v>0</v>
      </c>
      <c r="O4369" s="5"/>
      <c r="S4369" s="6"/>
    </row>
    <row r="4370" spans="1:23" x14ac:dyDescent="0.45">
      <c r="A4370" s="124">
        <v>929868</v>
      </c>
      <c r="B4370" s="124" t="s">
        <v>24488</v>
      </c>
      <c r="C4370" s="125" t="s">
        <v>24489</v>
      </c>
      <c r="D4370" s="124">
        <v>2</v>
      </c>
      <c r="E4370" s="124" t="s">
        <v>16334</v>
      </c>
      <c r="F4370" s="126">
        <v>1.6999999999999999E-3</v>
      </c>
      <c r="G4370" s="126">
        <v>3.5000000000000003E-2</v>
      </c>
      <c r="H4370" s="126">
        <v>7.4999999999999997E-3</v>
      </c>
      <c r="I4370" s="127"/>
      <c r="J4370" s="127"/>
      <c r="K4370" s="126">
        <f t="shared" si="160"/>
        <v>4.2500000000000003E-2</v>
      </c>
      <c r="L4370" s="3"/>
      <c r="M4370" s="126">
        <f t="shared" si="161"/>
        <v>4.4200000000000003E-2</v>
      </c>
      <c r="O4370" s="131" t="s">
        <v>24490</v>
      </c>
      <c r="P4370" s="128" t="s">
        <v>26918</v>
      </c>
      <c r="Q4370" s="132">
        <f>80043+62003</f>
        <v>142046</v>
      </c>
      <c r="R4370" s="124" t="s">
        <v>16348</v>
      </c>
      <c r="S4370" s="132">
        <v>72943</v>
      </c>
      <c r="T4370" s="129">
        <f>S4370/Q4370</f>
        <v>0.51351674809568726</v>
      </c>
      <c r="V4370" s="125" t="s">
        <v>24491</v>
      </c>
      <c r="W4370" s="124" t="s">
        <v>17021</v>
      </c>
    </row>
    <row r="4371" spans="1:23" customFormat="1" x14ac:dyDescent="0.45">
      <c r="A4371">
        <v>789248</v>
      </c>
      <c r="B4371" t="s">
        <v>24492</v>
      </c>
      <c r="C4371" t="s">
        <v>16331</v>
      </c>
      <c r="D4371">
        <v>1</v>
      </c>
      <c r="E4371" t="s">
        <v>16331</v>
      </c>
      <c r="F4371" s="126"/>
      <c r="G4371" s="7">
        <v>0</v>
      </c>
      <c r="H4371" s="7">
        <v>0</v>
      </c>
      <c r="I4371" s="7">
        <v>0</v>
      </c>
      <c r="J4371" s="7">
        <v>0</v>
      </c>
      <c r="K4371" s="3">
        <f t="shared" si="160"/>
        <v>0</v>
      </c>
      <c r="L4371" s="3"/>
      <c r="M4371" s="3">
        <f t="shared" si="161"/>
        <v>0</v>
      </c>
      <c r="O4371" s="5"/>
      <c r="S4371" s="6"/>
    </row>
    <row r="4372" spans="1:23" customFormat="1" x14ac:dyDescent="0.45">
      <c r="A4372">
        <v>789271</v>
      </c>
      <c r="B4372" t="s">
        <v>24493</v>
      </c>
      <c r="C4372" t="s">
        <v>24494</v>
      </c>
      <c r="D4372">
        <v>2</v>
      </c>
      <c r="F4372" s="126"/>
      <c r="G4372" s="7">
        <v>0</v>
      </c>
      <c r="H4372" s="7">
        <v>0</v>
      </c>
      <c r="I4372" s="7">
        <v>0</v>
      </c>
      <c r="J4372" s="7">
        <v>0</v>
      </c>
      <c r="K4372" s="3">
        <f t="shared" si="160"/>
        <v>0</v>
      </c>
      <c r="L4372" s="3"/>
      <c r="M4372" s="3">
        <f t="shared" si="161"/>
        <v>0</v>
      </c>
      <c r="O4372" s="5"/>
      <c r="S4372" s="6"/>
    </row>
    <row r="4373" spans="1:23" customFormat="1" x14ac:dyDescent="0.45">
      <c r="A4373">
        <v>789403</v>
      </c>
      <c r="B4373" t="s">
        <v>24495</v>
      </c>
      <c r="C4373" t="s">
        <v>24496</v>
      </c>
      <c r="D4373">
        <v>1</v>
      </c>
      <c r="F4373" s="126"/>
      <c r="G4373" s="3">
        <v>0</v>
      </c>
      <c r="H4373" s="3">
        <v>0</v>
      </c>
      <c r="I4373" s="3">
        <v>0</v>
      </c>
      <c r="J4373" s="3">
        <v>0</v>
      </c>
      <c r="K4373" s="3">
        <f t="shared" si="160"/>
        <v>0</v>
      </c>
      <c r="L4373" s="3"/>
      <c r="M4373" s="3">
        <f t="shared" si="161"/>
        <v>0</v>
      </c>
      <c r="O4373" s="5"/>
      <c r="S4373" s="6"/>
    </row>
    <row r="4374" spans="1:23" customFormat="1" x14ac:dyDescent="0.45">
      <c r="A4374">
        <v>789482</v>
      </c>
      <c r="B4374" t="s">
        <v>24497</v>
      </c>
      <c r="C4374" t="s">
        <v>24498</v>
      </c>
      <c r="D4374">
        <v>54</v>
      </c>
      <c r="F4374" s="126"/>
      <c r="G4374" s="3">
        <v>0</v>
      </c>
      <c r="H4374" s="3">
        <v>0</v>
      </c>
      <c r="I4374" s="3">
        <v>0</v>
      </c>
      <c r="J4374" s="3">
        <v>0</v>
      </c>
      <c r="K4374" s="3">
        <f t="shared" si="160"/>
        <v>0</v>
      </c>
      <c r="L4374" s="3"/>
      <c r="M4374" s="3">
        <f t="shared" si="161"/>
        <v>0</v>
      </c>
      <c r="O4374" s="5"/>
      <c r="S4374" s="6"/>
    </row>
    <row r="4375" spans="1:23" customFormat="1" x14ac:dyDescent="0.45">
      <c r="A4375">
        <v>789503</v>
      </c>
      <c r="B4375" t="s">
        <v>24499</v>
      </c>
      <c r="C4375" t="s">
        <v>16331</v>
      </c>
      <c r="D4375">
        <v>2</v>
      </c>
      <c r="E4375" t="s">
        <v>16331</v>
      </c>
      <c r="F4375" s="126"/>
      <c r="G4375" s="7">
        <v>0</v>
      </c>
      <c r="H4375" s="7">
        <v>0</v>
      </c>
      <c r="I4375" s="7">
        <v>0</v>
      </c>
      <c r="J4375" s="7">
        <v>0</v>
      </c>
      <c r="K4375" s="3">
        <f t="shared" si="160"/>
        <v>0</v>
      </c>
      <c r="L4375" s="3"/>
      <c r="M4375" s="3">
        <f t="shared" si="161"/>
        <v>0</v>
      </c>
      <c r="O4375" s="5"/>
      <c r="S4375" s="6"/>
    </row>
    <row r="4376" spans="1:23" customFormat="1" x14ac:dyDescent="0.45">
      <c r="A4376">
        <v>789577</v>
      </c>
      <c r="B4376" t="s">
        <v>24500</v>
      </c>
      <c r="C4376" t="s">
        <v>24501</v>
      </c>
      <c r="D4376">
        <v>2</v>
      </c>
      <c r="F4376" s="126"/>
      <c r="G4376" s="3">
        <v>0</v>
      </c>
      <c r="H4376" s="3">
        <v>0</v>
      </c>
      <c r="I4376" s="3">
        <v>0</v>
      </c>
      <c r="J4376" s="3">
        <v>0</v>
      </c>
      <c r="K4376" s="3">
        <f t="shared" si="160"/>
        <v>0</v>
      </c>
      <c r="L4376" s="3"/>
      <c r="M4376" s="3">
        <f t="shared" si="161"/>
        <v>0</v>
      </c>
      <c r="O4376" s="5"/>
      <c r="S4376" s="6"/>
    </row>
    <row r="4377" spans="1:23" customFormat="1" x14ac:dyDescent="0.45">
      <c r="A4377">
        <v>789887</v>
      </c>
      <c r="B4377" t="s">
        <v>24502</v>
      </c>
      <c r="C4377" t="s">
        <v>24503</v>
      </c>
      <c r="D4377">
        <v>1</v>
      </c>
      <c r="F4377" s="126"/>
      <c r="G4377" s="3"/>
      <c r="H4377" s="3"/>
      <c r="I4377" s="3"/>
      <c r="J4377" s="3"/>
      <c r="K4377" s="3">
        <f t="shared" si="160"/>
        <v>0</v>
      </c>
      <c r="L4377" s="3"/>
      <c r="M4377" s="3">
        <f t="shared" si="161"/>
        <v>0</v>
      </c>
      <c r="O4377" s="5"/>
      <c r="S4377" s="6"/>
    </row>
    <row r="4378" spans="1:23" customFormat="1" x14ac:dyDescent="0.45">
      <c r="A4378">
        <v>789902</v>
      </c>
      <c r="B4378" t="s">
        <v>24504</v>
      </c>
      <c r="C4378" t="s">
        <v>16331</v>
      </c>
      <c r="D4378">
        <v>0</v>
      </c>
      <c r="E4378" t="s">
        <v>16331</v>
      </c>
      <c r="F4378" s="126"/>
      <c r="G4378" s="7">
        <v>0</v>
      </c>
      <c r="H4378" s="7">
        <v>0</v>
      </c>
      <c r="I4378" s="7">
        <v>0</v>
      </c>
      <c r="J4378" s="7">
        <v>0</v>
      </c>
      <c r="K4378" s="3">
        <f t="shared" si="160"/>
        <v>0</v>
      </c>
      <c r="L4378" s="3"/>
      <c r="M4378" s="3">
        <f t="shared" si="161"/>
        <v>0</v>
      </c>
      <c r="O4378" s="5"/>
      <c r="S4378" s="6"/>
    </row>
    <row r="4379" spans="1:23" x14ac:dyDescent="0.45">
      <c r="A4379" s="124">
        <v>583351</v>
      </c>
      <c r="B4379" s="124" t="s">
        <v>24505</v>
      </c>
      <c r="C4379" s="124" t="s">
        <v>24506</v>
      </c>
      <c r="D4379" s="124">
        <v>2</v>
      </c>
      <c r="E4379" s="124" t="s">
        <v>16334</v>
      </c>
      <c r="F4379" s="126">
        <v>1.6999999999999999E-3</v>
      </c>
      <c r="G4379" s="126">
        <v>1.4999999999999999E-2</v>
      </c>
      <c r="H4379" s="126">
        <v>0.01</v>
      </c>
      <c r="I4379" s="127"/>
      <c r="J4379" s="127"/>
      <c r="K4379" s="126">
        <f t="shared" si="160"/>
        <v>2.5000000000000001E-2</v>
      </c>
      <c r="L4379" s="3"/>
      <c r="M4379" s="126">
        <f t="shared" si="161"/>
        <v>2.6700000000000002E-2</v>
      </c>
      <c r="O4379" s="131" t="s">
        <v>24507</v>
      </c>
      <c r="P4379" s="128" t="s">
        <v>26918</v>
      </c>
      <c r="Q4379" s="130">
        <f>69809+47471</f>
        <v>117280</v>
      </c>
      <c r="R4379" s="124" t="s">
        <v>16348</v>
      </c>
      <c r="S4379" s="132">
        <v>102693</v>
      </c>
      <c r="T4379" s="129">
        <f>S4379/Q4379</f>
        <v>0.87562244201909956</v>
      </c>
      <c r="V4379" s="125" t="s">
        <v>24508</v>
      </c>
    </row>
    <row r="4380" spans="1:23" customFormat="1" x14ac:dyDescent="0.45">
      <c r="A4380">
        <v>790186</v>
      </c>
      <c r="B4380" t="s">
        <v>24509</v>
      </c>
      <c r="C4380" t="s">
        <v>24510</v>
      </c>
      <c r="D4380">
        <v>1</v>
      </c>
      <c r="F4380" s="126"/>
      <c r="G4380" s="3">
        <v>0</v>
      </c>
      <c r="H4380" s="3">
        <v>0</v>
      </c>
      <c r="I4380" s="3">
        <v>0</v>
      </c>
      <c r="J4380" s="3">
        <v>0</v>
      </c>
      <c r="K4380" s="3">
        <f t="shared" si="160"/>
        <v>0</v>
      </c>
      <c r="L4380" s="3"/>
      <c r="M4380" s="3">
        <f t="shared" si="161"/>
        <v>0</v>
      </c>
      <c r="O4380" s="5"/>
      <c r="S4380" s="6"/>
    </row>
    <row r="4381" spans="1:23" customFormat="1" x14ac:dyDescent="0.45">
      <c r="A4381">
        <v>790249</v>
      </c>
      <c r="B4381" t="s">
        <v>24511</v>
      </c>
      <c r="C4381" t="s">
        <v>24512</v>
      </c>
      <c r="D4381">
        <v>1</v>
      </c>
      <c r="F4381" s="126"/>
      <c r="G4381" s="7">
        <v>0</v>
      </c>
      <c r="H4381" s="7">
        <v>0</v>
      </c>
      <c r="I4381" s="7">
        <v>0</v>
      </c>
      <c r="J4381" s="7">
        <v>0</v>
      </c>
      <c r="K4381" s="3">
        <f t="shared" si="160"/>
        <v>0</v>
      </c>
      <c r="L4381" s="3"/>
      <c r="M4381" s="3">
        <f t="shared" si="161"/>
        <v>0</v>
      </c>
      <c r="N4381" s="7"/>
      <c r="O4381" s="5"/>
      <c r="S4381" s="6"/>
    </row>
    <row r="4382" spans="1:23" customFormat="1" x14ac:dyDescent="0.45">
      <c r="A4382">
        <v>790252</v>
      </c>
      <c r="B4382" t="s">
        <v>24513</v>
      </c>
      <c r="C4382" t="s">
        <v>24514</v>
      </c>
      <c r="D4382">
        <v>2</v>
      </c>
      <c r="F4382" s="126"/>
      <c r="G4382" s="7">
        <v>0</v>
      </c>
      <c r="H4382" s="7">
        <v>0</v>
      </c>
      <c r="I4382" s="7">
        <v>0</v>
      </c>
      <c r="J4382" s="7">
        <v>0</v>
      </c>
      <c r="K4382" s="3">
        <f t="shared" si="160"/>
        <v>0</v>
      </c>
      <c r="L4382" s="3"/>
      <c r="M4382" s="3">
        <f t="shared" si="161"/>
        <v>0</v>
      </c>
      <c r="O4382" s="5"/>
      <c r="S4382" s="6"/>
    </row>
    <row r="4383" spans="1:23" customFormat="1" x14ac:dyDescent="0.45">
      <c r="A4383">
        <v>790287</v>
      </c>
      <c r="B4383" t="s">
        <v>24515</v>
      </c>
      <c r="C4383" t="s">
        <v>24516</v>
      </c>
      <c r="D4383">
        <v>4</v>
      </c>
      <c r="F4383" s="126"/>
      <c r="G4383" s="3">
        <v>0</v>
      </c>
      <c r="H4383" s="3">
        <v>0</v>
      </c>
      <c r="I4383" s="3">
        <v>0</v>
      </c>
      <c r="J4383" s="3">
        <v>0</v>
      </c>
      <c r="K4383" s="3">
        <f t="shared" si="160"/>
        <v>0</v>
      </c>
      <c r="L4383" s="3"/>
      <c r="M4383" s="3">
        <f t="shared" si="161"/>
        <v>0</v>
      </c>
      <c r="O4383" s="5"/>
      <c r="S4383" s="6"/>
    </row>
    <row r="4384" spans="1:23" customFormat="1" x14ac:dyDescent="0.45">
      <c r="A4384">
        <v>790419</v>
      </c>
      <c r="B4384" t="s">
        <v>24517</v>
      </c>
      <c r="C4384" t="s">
        <v>16331</v>
      </c>
      <c r="D4384">
        <v>0</v>
      </c>
      <c r="E4384" t="s">
        <v>16331</v>
      </c>
      <c r="F4384" s="126"/>
      <c r="G4384" s="7">
        <v>0</v>
      </c>
      <c r="H4384" s="7">
        <v>0</v>
      </c>
      <c r="I4384" s="7">
        <v>0</v>
      </c>
      <c r="J4384" s="7">
        <v>0</v>
      </c>
      <c r="K4384" s="3">
        <f t="shared" si="160"/>
        <v>0</v>
      </c>
      <c r="L4384" s="3"/>
      <c r="M4384" s="3">
        <f t="shared" si="161"/>
        <v>0</v>
      </c>
      <c r="O4384" s="5"/>
      <c r="S4384" s="6"/>
    </row>
    <row r="4385" spans="1:19" customFormat="1" x14ac:dyDescent="0.45">
      <c r="A4385">
        <v>790551</v>
      </c>
      <c r="B4385" t="s">
        <v>24518</v>
      </c>
      <c r="C4385" t="s">
        <v>16331</v>
      </c>
      <c r="D4385">
        <v>1</v>
      </c>
      <c r="E4385" t="s">
        <v>16331</v>
      </c>
      <c r="F4385" s="126"/>
      <c r="G4385" s="7">
        <v>0</v>
      </c>
      <c r="H4385" s="7">
        <v>0</v>
      </c>
      <c r="I4385" s="7">
        <v>0</v>
      </c>
      <c r="J4385" s="7">
        <v>0</v>
      </c>
      <c r="K4385" s="3">
        <f t="shared" si="160"/>
        <v>0</v>
      </c>
      <c r="L4385" s="3"/>
      <c r="M4385" s="3">
        <f t="shared" si="161"/>
        <v>0</v>
      </c>
      <c r="O4385" s="5"/>
      <c r="S4385" s="6"/>
    </row>
    <row r="4386" spans="1:19" customFormat="1" x14ac:dyDescent="0.45">
      <c r="A4386">
        <v>790603</v>
      </c>
      <c r="B4386" t="s">
        <v>24519</v>
      </c>
      <c r="C4386" t="s">
        <v>24520</v>
      </c>
      <c r="D4386">
        <v>2</v>
      </c>
      <c r="F4386" s="126"/>
      <c r="G4386" s="3">
        <v>0</v>
      </c>
      <c r="H4386" s="3">
        <v>0</v>
      </c>
      <c r="I4386" s="3">
        <v>0</v>
      </c>
      <c r="J4386" s="3">
        <v>0</v>
      </c>
      <c r="K4386" s="3">
        <f t="shared" si="160"/>
        <v>0</v>
      </c>
      <c r="L4386" s="3"/>
      <c r="M4386" s="3">
        <f t="shared" si="161"/>
        <v>0</v>
      </c>
      <c r="O4386" s="5"/>
      <c r="S4386" s="6"/>
    </row>
    <row r="4387" spans="1:19" customFormat="1" x14ac:dyDescent="0.45">
      <c r="A4387">
        <v>790902</v>
      </c>
      <c r="B4387" t="s">
        <v>24521</v>
      </c>
      <c r="C4387" t="s">
        <v>16331</v>
      </c>
      <c r="D4387">
        <v>1</v>
      </c>
      <c r="E4387" t="s">
        <v>16331</v>
      </c>
      <c r="F4387" s="126"/>
      <c r="K4387" s="3">
        <f t="shared" si="160"/>
        <v>0</v>
      </c>
      <c r="L4387" s="3"/>
      <c r="M4387" s="3">
        <f t="shared" si="161"/>
        <v>0</v>
      </c>
      <c r="O4387" s="5"/>
      <c r="S4387" s="6"/>
    </row>
    <row r="4388" spans="1:19" customFormat="1" x14ac:dyDescent="0.45">
      <c r="A4388">
        <v>791683</v>
      </c>
      <c r="B4388" t="s">
        <v>24522</v>
      </c>
      <c r="C4388" t="s">
        <v>24523</v>
      </c>
      <c r="D4388">
        <v>5</v>
      </c>
      <c r="F4388" s="126"/>
      <c r="G4388" s="3">
        <v>0</v>
      </c>
      <c r="H4388" s="3">
        <v>0</v>
      </c>
      <c r="I4388" s="3">
        <v>0</v>
      </c>
      <c r="J4388" s="3">
        <v>0</v>
      </c>
      <c r="K4388" s="3">
        <f t="shared" si="160"/>
        <v>0</v>
      </c>
      <c r="L4388" s="3"/>
      <c r="M4388" s="3">
        <f t="shared" si="161"/>
        <v>0</v>
      </c>
      <c r="O4388" s="5"/>
      <c r="S4388" s="6"/>
    </row>
    <row r="4389" spans="1:19" customFormat="1" x14ac:dyDescent="0.45">
      <c r="A4389">
        <v>791934</v>
      </c>
      <c r="B4389" t="s">
        <v>24524</v>
      </c>
      <c r="C4389" t="s">
        <v>24525</v>
      </c>
      <c r="D4389">
        <v>1</v>
      </c>
      <c r="F4389" s="126"/>
      <c r="G4389" s="3">
        <v>0</v>
      </c>
      <c r="H4389" s="3">
        <v>0</v>
      </c>
      <c r="I4389" s="3">
        <v>0</v>
      </c>
      <c r="J4389" s="3">
        <v>0</v>
      </c>
      <c r="K4389" s="3">
        <f t="shared" si="160"/>
        <v>0</v>
      </c>
      <c r="L4389" s="3"/>
      <c r="M4389" s="3">
        <f t="shared" si="161"/>
        <v>0</v>
      </c>
      <c r="O4389" s="5"/>
      <c r="S4389" s="6"/>
    </row>
    <row r="4390" spans="1:19" customFormat="1" x14ac:dyDescent="0.45">
      <c r="A4390">
        <v>791998</v>
      </c>
      <c r="B4390" t="s">
        <v>24526</v>
      </c>
      <c r="C4390" t="s">
        <v>16331</v>
      </c>
      <c r="D4390">
        <v>0</v>
      </c>
      <c r="E4390" t="s">
        <v>16331</v>
      </c>
      <c r="F4390" s="126"/>
      <c r="K4390" s="3">
        <f t="shared" si="160"/>
        <v>0</v>
      </c>
      <c r="L4390" s="3"/>
      <c r="M4390" s="3">
        <f t="shared" si="161"/>
        <v>0</v>
      </c>
      <c r="O4390" s="5"/>
      <c r="S4390" s="6"/>
    </row>
    <row r="4391" spans="1:19" customFormat="1" x14ac:dyDescent="0.45">
      <c r="A4391">
        <v>792123</v>
      </c>
      <c r="B4391" t="s">
        <v>24527</v>
      </c>
      <c r="C4391" t="s">
        <v>16331</v>
      </c>
      <c r="D4391">
        <v>2</v>
      </c>
      <c r="E4391" t="s">
        <v>16331</v>
      </c>
      <c r="F4391" s="126"/>
      <c r="G4391" s="7">
        <v>0</v>
      </c>
      <c r="H4391" s="7">
        <v>0</v>
      </c>
      <c r="I4391" s="7">
        <v>0</v>
      </c>
      <c r="J4391" s="7">
        <v>0</v>
      </c>
      <c r="K4391" s="3">
        <f t="shared" si="160"/>
        <v>0</v>
      </c>
      <c r="L4391" s="3"/>
      <c r="M4391" s="3">
        <f t="shared" si="161"/>
        <v>0</v>
      </c>
      <c r="O4391" s="5"/>
      <c r="S4391" s="6"/>
    </row>
    <row r="4392" spans="1:19" customFormat="1" x14ac:dyDescent="0.45">
      <c r="A4392">
        <v>792126</v>
      </c>
      <c r="B4392" t="s">
        <v>24528</v>
      </c>
      <c r="C4392" t="s">
        <v>24529</v>
      </c>
      <c r="D4392">
        <v>6</v>
      </c>
      <c r="F4392" s="126"/>
      <c r="G4392" s="3">
        <v>0</v>
      </c>
      <c r="H4392" s="3">
        <v>0</v>
      </c>
      <c r="I4392" s="3">
        <v>0</v>
      </c>
      <c r="J4392" s="3">
        <v>0</v>
      </c>
      <c r="K4392" s="3">
        <f t="shared" si="160"/>
        <v>0</v>
      </c>
      <c r="L4392" s="3"/>
      <c r="M4392" s="3">
        <f t="shared" si="161"/>
        <v>0</v>
      </c>
      <c r="O4392" s="5"/>
      <c r="S4392" s="6"/>
    </row>
    <row r="4393" spans="1:19" customFormat="1" x14ac:dyDescent="0.45">
      <c r="A4393">
        <v>792223</v>
      </c>
      <c r="B4393" t="s">
        <v>24530</v>
      </c>
      <c r="C4393" t="s">
        <v>16331</v>
      </c>
      <c r="D4393">
        <v>1</v>
      </c>
      <c r="E4393" t="s">
        <v>16331</v>
      </c>
      <c r="F4393" s="126"/>
      <c r="G4393" s="7">
        <v>0</v>
      </c>
      <c r="H4393" s="7">
        <v>0</v>
      </c>
      <c r="I4393" s="7">
        <v>0</v>
      </c>
      <c r="J4393" s="7">
        <v>0</v>
      </c>
      <c r="K4393" s="3">
        <f t="shared" si="160"/>
        <v>0</v>
      </c>
      <c r="L4393" s="3"/>
      <c r="M4393" s="3">
        <f t="shared" si="161"/>
        <v>0</v>
      </c>
      <c r="O4393" s="5"/>
      <c r="S4393" s="6"/>
    </row>
    <row r="4394" spans="1:19" customFormat="1" x14ac:dyDescent="0.45">
      <c r="A4394">
        <v>792330</v>
      </c>
      <c r="B4394" t="s">
        <v>24531</v>
      </c>
      <c r="C4394" t="s">
        <v>24532</v>
      </c>
      <c r="D4394">
        <v>1</v>
      </c>
      <c r="F4394" s="126"/>
      <c r="G4394" s="7">
        <v>0</v>
      </c>
      <c r="H4394" s="7">
        <v>0</v>
      </c>
      <c r="I4394" s="7">
        <v>0</v>
      </c>
      <c r="J4394" s="7">
        <v>0</v>
      </c>
      <c r="K4394" s="3">
        <f t="shared" si="160"/>
        <v>0</v>
      </c>
      <c r="L4394" s="3"/>
      <c r="M4394" s="3">
        <f t="shared" si="161"/>
        <v>0</v>
      </c>
      <c r="N4394" s="7"/>
      <c r="O4394" s="5"/>
      <c r="S4394" s="6"/>
    </row>
    <row r="4395" spans="1:19" customFormat="1" x14ac:dyDescent="0.45">
      <c r="A4395">
        <v>792373</v>
      </c>
      <c r="B4395" t="s">
        <v>24533</v>
      </c>
      <c r="C4395" t="s">
        <v>24534</v>
      </c>
      <c r="D4395">
        <v>0</v>
      </c>
      <c r="E4395" t="s">
        <v>16334</v>
      </c>
      <c r="F4395" s="126"/>
      <c r="G4395" s="7">
        <v>0</v>
      </c>
      <c r="H4395" s="3">
        <v>0</v>
      </c>
      <c r="I4395" s="3">
        <v>0</v>
      </c>
      <c r="J4395">
        <v>0</v>
      </c>
      <c r="K4395" s="3">
        <f t="shared" si="160"/>
        <v>0</v>
      </c>
      <c r="L4395" s="3"/>
      <c r="M4395" s="3">
        <f t="shared" si="161"/>
        <v>0</v>
      </c>
      <c r="O4395" s="5"/>
      <c r="S4395" s="6"/>
    </row>
    <row r="4396" spans="1:19" customFormat="1" x14ac:dyDescent="0.45">
      <c r="A4396">
        <v>792684</v>
      </c>
      <c r="B4396" t="s">
        <v>24535</v>
      </c>
      <c r="C4396" t="s">
        <v>24536</v>
      </c>
      <c r="D4396">
        <v>1</v>
      </c>
      <c r="F4396" s="126"/>
      <c r="G4396" s="3">
        <v>0</v>
      </c>
      <c r="H4396" s="3">
        <v>0</v>
      </c>
      <c r="I4396" s="3">
        <v>0</v>
      </c>
      <c r="J4396" s="3">
        <v>0</v>
      </c>
      <c r="K4396" s="3">
        <f t="shared" si="160"/>
        <v>0</v>
      </c>
      <c r="L4396" s="3"/>
      <c r="M4396" s="3">
        <f t="shared" si="161"/>
        <v>0</v>
      </c>
      <c r="O4396" s="5"/>
      <c r="S4396" s="6"/>
    </row>
    <row r="4397" spans="1:19" customFormat="1" x14ac:dyDescent="0.45">
      <c r="A4397">
        <v>792919</v>
      </c>
      <c r="B4397" t="s">
        <v>24537</v>
      </c>
      <c r="C4397" t="s">
        <v>24538</v>
      </c>
      <c r="D4397">
        <v>0</v>
      </c>
      <c r="E4397" t="s">
        <v>16561</v>
      </c>
      <c r="F4397" s="126"/>
      <c r="G4397" s="3"/>
      <c r="H4397" s="3"/>
      <c r="I4397" s="3"/>
      <c r="J4397" s="3"/>
      <c r="K4397" s="3">
        <f t="shared" si="160"/>
        <v>0</v>
      </c>
      <c r="L4397" s="3"/>
      <c r="M4397" s="3">
        <f t="shared" si="161"/>
        <v>0</v>
      </c>
      <c r="O4397" s="5"/>
      <c r="S4397" s="6"/>
    </row>
    <row r="4398" spans="1:19" customFormat="1" x14ac:dyDescent="0.45">
      <c r="A4398">
        <v>792964</v>
      </c>
      <c r="B4398" t="s">
        <v>24539</v>
      </c>
      <c r="C4398" t="s">
        <v>24540</v>
      </c>
      <c r="D4398">
        <v>2</v>
      </c>
      <c r="F4398" s="126"/>
      <c r="G4398" s="3"/>
      <c r="H4398" s="3"/>
      <c r="I4398" s="3"/>
      <c r="J4398" s="3"/>
      <c r="K4398" s="3">
        <f t="shared" si="160"/>
        <v>0</v>
      </c>
      <c r="L4398" s="3"/>
      <c r="M4398" s="3">
        <f t="shared" si="161"/>
        <v>0</v>
      </c>
      <c r="O4398" s="5"/>
      <c r="S4398" s="6"/>
    </row>
    <row r="4399" spans="1:19" customFormat="1" x14ac:dyDescent="0.45">
      <c r="A4399">
        <v>793399</v>
      </c>
      <c r="B4399" t="s">
        <v>24541</v>
      </c>
      <c r="C4399" t="s">
        <v>24542</v>
      </c>
      <c r="D4399">
        <v>4</v>
      </c>
      <c r="F4399" s="126"/>
      <c r="G4399" s="3">
        <v>0</v>
      </c>
      <c r="H4399" s="3">
        <v>0</v>
      </c>
      <c r="I4399" s="3">
        <v>0</v>
      </c>
      <c r="J4399" s="3">
        <v>0</v>
      </c>
      <c r="K4399" s="3">
        <f t="shared" si="160"/>
        <v>0</v>
      </c>
      <c r="L4399" s="3"/>
      <c r="M4399" s="3">
        <f t="shared" si="161"/>
        <v>0</v>
      </c>
      <c r="O4399" s="5"/>
      <c r="S4399" s="6"/>
    </row>
    <row r="4400" spans="1:19" customFormat="1" x14ac:dyDescent="0.45">
      <c r="A4400">
        <v>793506</v>
      </c>
      <c r="B4400" t="s">
        <v>24543</v>
      </c>
      <c r="C4400" t="s">
        <v>16331</v>
      </c>
      <c r="D4400">
        <v>1</v>
      </c>
      <c r="E4400" t="s">
        <v>16331</v>
      </c>
      <c r="F4400" s="126"/>
      <c r="G4400" s="7">
        <v>0</v>
      </c>
      <c r="H4400" s="7">
        <v>0</v>
      </c>
      <c r="I4400" s="7">
        <v>0</v>
      </c>
      <c r="J4400" s="7">
        <v>0</v>
      </c>
      <c r="K4400" s="3">
        <f t="shared" si="160"/>
        <v>0</v>
      </c>
      <c r="L4400" s="3"/>
      <c r="M4400" s="3">
        <f t="shared" si="161"/>
        <v>0</v>
      </c>
      <c r="O4400" s="5"/>
      <c r="S4400" s="6"/>
    </row>
    <row r="4401" spans="1:19" customFormat="1" x14ac:dyDescent="0.45">
      <c r="A4401">
        <v>793603</v>
      </c>
      <c r="B4401" t="s">
        <v>24544</v>
      </c>
      <c r="C4401" t="s">
        <v>16331</v>
      </c>
      <c r="D4401">
        <v>1</v>
      </c>
      <c r="E4401" t="s">
        <v>16331</v>
      </c>
      <c r="F4401" s="126"/>
      <c r="K4401" s="3">
        <f t="shared" si="160"/>
        <v>0</v>
      </c>
      <c r="L4401" s="3"/>
      <c r="M4401" s="3">
        <f t="shared" si="161"/>
        <v>0</v>
      </c>
      <c r="O4401" s="5"/>
      <c r="S4401" s="6"/>
    </row>
    <row r="4402" spans="1:19" customFormat="1" x14ac:dyDescent="0.45">
      <c r="A4402">
        <v>793617</v>
      </c>
      <c r="B4402" t="s">
        <v>24545</v>
      </c>
      <c r="C4402" t="s">
        <v>16331</v>
      </c>
      <c r="D4402">
        <v>1</v>
      </c>
      <c r="E4402" t="s">
        <v>16331</v>
      </c>
      <c r="F4402" s="126"/>
      <c r="G4402" s="7">
        <v>0</v>
      </c>
      <c r="H4402" s="7">
        <v>0</v>
      </c>
      <c r="I4402" s="7">
        <v>0</v>
      </c>
      <c r="J4402" s="7">
        <v>0</v>
      </c>
      <c r="K4402" s="3">
        <f t="shared" si="160"/>
        <v>0</v>
      </c>
      <c r="L4402" s="3"/>
      <c r="M4402" s="3">
        <f t="shared" si="161"/>
        <v>0</v>
      </c>
      <c r="O4402" s="5"/>
      <c r="S4402" s="6"/>
    </row>
    <row r="4403" spans="1:19" customFormat="1" x14ac:dyDescent="0.45">
      <c r="A4403">
        <v>793760</v>
      </c>
      <c r="B4403" t="s">
        <v>24546</v>
      </c>
      <c r="C4403" t="s">
        <v>16331</v>
      </c>
      <c r="D4403">
        <v>1</v>
      </c>
      <c r="E4403" t="s">
        <v>16331</v>
      </c>
      <c r="F4403" s="126"/>
      <c r="G4403" s="7">
        <v>0</v>
      </c>
      <c r="H4403" s="7">
        <v>0</v>
      </c>
      <c r="I4403" s="7">
        <v>0</v>
      </c>
      <c r="J4403" s="7">
        <v>0</v>
      </c>
      <c r="K4403" s="3">
        <f t="shared" si="160"/>
        <v>0</v>
      </c>
      <c r="L4403" s="3"/>
      <c r="M4403" s="3">
        <f t="shared" si="161"/>
        <v>0</v>
      </c>
      <c r="O4403" s="5"/>
      <c r="S4403" s="6"/>
    </row>
    <row r="4404" spans="1:19" customFormat="1" x14ac:dyDescent="0.45">
      <c r="A4404">
        <v>793798</v>
      </c>
      <c r="B4404" t="s">
        <v>24547</v>
      </c>
      <c r="C4404" t="s">
        <v>16331</v>
      </c>
      <c r="D4404">
        <v>1</v>
      </c>
      <c r="E4404" t="s">
        <v>16331</v>
      </c>
      <c r="F4404" s="126"/>
      <c r="G4404" s="7">
        <v>0</v>
      </c>
      <c r="H4404" s="7">
        <v>0</v>
      </c>
      <c r="I4404" s="7">
        <v>0</v>
      </c>
      <c r="J4404" s="7">
        <v>0</v>
      </c>
      <c r="K4404" s="3">
        <f t="shared" si="160"/>
        <v>0</v>
      </c>
      <c r="L4404" s="3"/>
      <c r="M4404" s="3">
        <f t="shared" si="161"/>
        <v>0</v>
      </c>
      <c r="O4404" s="5"/>
      <c r="S4404" s="6"/>
    </row>
    <row r="4405" spans="1:19" customFormat="1" x14ac:dyDescent="0.45">
      <c r="A4405">
        <v>793830</v>
      </c>
      <c r="B4405" t="s">
        <v>24548</v>
      </c>
      <c r="C4405" t="s">
        <v>24549</v>
      </c>
      <c r="D4405">
        <v>2</v>
      </c>
      <c r="F4405" s="126"/>
      <c r="G4405" s="3">
        <v>0</v>
      </c>
      <c r="H4405" s="3">
        <v>0</v>
      </c>
      <c r="I4405" s="3">
        <v>0</v>
      </c>
      <c r="J4405" s="3">
        <v>0</v>
      </c>
      <c r="K4405" s="3">
        <f t="shared" si="160"/>
        <v>0</v>
      </c>
      <c r="L4405" s="3"/>
      <c r="M4405" s="3">
        <f t="shared" si="161"/>
        <v>0</v>
      </c>
      <c r="O4405" s="5"/>
      <c r="S4405" s="6"/>
    </row>
    <row r="4406" spans="1:19" customFormat="1" x14ac:dyDescent="0.45">
      <c r="A4406">
        <v>793840</v>
      </c>
      <c r="B4406" t="s">
        <v>24550</v>
      </c>
      <c r="C4406" s="2" t="s">
        <v>24551</v>
      </c>
      <c r="D4406">
        <v>1</v>
      </c>
      <c r="F4406" s="126"/>
      <c r="G4406" s="3">
        <v>0</v>
      </c>
      <c r="H4406" s="3">
        <v>0</v>
      </c>
      <c r="I4406" s="3">
        <v>0</v>
      </c>
      <c r="J4406" s="3">
        <v>0</v>
      </c>
      <c r="K4406" s="3">
        <f t="shared" si="160"/>
        <v>0</v>
      </c>
      <c r="L4406" s="3"/>
      <c r="M4406" s="3">
        <f t="shared" si="161"/>
        <v>0</v>
      </c>
      <c r="O4406" s="5"/>
      <c r="S4406" s="6"/>
    </row>
    <row r="4407" spans="1:19" customFormat="1" x14ac:dyDescent="0.45">
      <c r="A4407">
        <v>793871</v>
      </c>
      <c r="B4407" t="s">
        <v>24552</v>
      </c>
      <c r="C4407" t="s">
        <v>24553</v>
      </c>
      <c r="D4407">
        <v>1</v>
      </c>
      <c r="F4407" s="126"/>
      <c r="G4407" s="3">
        <v>0</v>
      </c>
      <c r="H4407" s="3">
        <v>0</v>
      </c>
      <c r="I4407" s="3">
        <v>0</v>
      </c>
      <c r="J4407" s="3">
        <v>0</v>
      </c>
      <c r="K4407" s="3">
        <f t="shared" si="160"/>
        <v>0</v>
      </c>
      <c r="L4407" s="3"/>
      <c r="M4407" s="3">
        <f t="shared" si="161"/>
        <v>0</v>
      </c>
      <c r="O4407" s="5"/>
      <c r="S4407" s="6"/>
    </row>
    <row r="4408" spans="1:19" customFormat="1" x14ac:dyDescent="0.45">
      <c r="A4408">
        <v>793885</v>
      </c>
      <c r="B4408" t="s">
        <v>24554</v>
      </c>
      <c r="C4408" t="s">
        <v>16331</v>
      </c>
      <c r="D4408">
        <v>1</v>
      </c>
      <c r="E4408" t="s">
        <v>16331</v>
      </c>
      <c r="F4408" s="126"/>
      <c r="G4408" s="7">
        <v>0</v>
      </c>
      <c r="H4408" s="7">
        <v>0</v>
      </c>
      <c r="I4408" s="7">
        <v>0</v>
      </c>
      <c r="J4408" s="7">
        <v>0</v>
      </c>
      <c r="K4408" s="3">
        <f t="shared" si="160"/>
        <v>0</v>
      </c>
      <c r="L4408" s="3"/>
      <c r="M4408" s="3">
        <f t="shared" si="161"/>
        <v>0</v>
      </c>
      <c r="O4408" s="5"/>
      <c r="S4408" s="6"/>
    </row>
    <row r="4409" spans="1:19" customFormat="1" x14ac:dyDescent="0.45">
      <c r="A4409">
        <v>793995</v>
      </c>
      <c r="B4409" t="s">
        <v>24555</v>
      </c>
      <c r="C4409" t="s">
        <v>16331</v>
      </c>
      <c r="D4409">
        <v>1</v>
      </c>
      <c r="E4409" t="s">
        <v>16331</v>
      </c>
      <c r="F4409" s="126"/>
      <c r="G4409" s="7">
        <v>0</v>
      </c>
      <c r="H4409" s="7">
        <v>0</v>
      </c>
      <c r="I4409" s="7">
        <v>0</v>
      </c>
      <c r="J4409" s="7">
        <v>0</v>
      </c>
      <c r="K4409" s="3">
        <f t="shared" si="160"/>
        <v>0</v>
      </c>
      <c r="L4409" s="3"/>
      <c r="M4409" s="3">
        <f t="shared" si="161"/>
        <v>0</v>
      </c>
      <c r="O4409" s="5"/>
      <c r="S4409" s="6"/>
    </row>
    <row r="4410" spans="1:19" customFormat="1" x14ac:dyDescent="0.45">
      <c r="A4410">
        <v>794181</v>
      </c>
      <c r="B4410" t="s">
        <v>24556</v>
      </c>
      <c r="C4410" t="s">
        <v>24557</v>
      </c>
      <c r="D4410">
        <v>3</v>
      </c>
      <c r="F4410" s="126"/>
      <c r="G4410" s="3">
        <v>0</v>
      </c>
      <c r="H4410" s="3">
        <v>0</v>
      </c>
      <c r="I4410" s="3">
        <v>0</v>
      </c>
      <c r="J4410" s="3">
        <v>0</v>
      </c>
      <c r="K4410" s="3">
        <f t="shared" si="160"/>
        <v>0</v>
      </c>
      <c r="L4410" s="3"/>
      <c r="M4410" s="3">
        <f t="shared" si="161"/>
        <v>0</v>
      </c>
      <c r="O4410" s="5"/>
      <c r="S4410" s="6"/>
    </row>
    <row r="4411" spans="1:19" customFormat="1" x14ac:dyDescent="0.45">
      <c r="A4411">
        <v>794323</v>
      </c>
      <c r="B4411" t="s">
        <v>24558</v>
      </c>
      <c r="C4411" t="s">
        <v>16331</v>
      </c>
      <c r="D4411">
        <v>1</v>
      </c>
      <c r="E4411" t="s">
        <v>16331</v>
      </c>
      <c r="F4411" s="126"/>
      <c r="G4411" s="7">
        <v>0</v>
      </c>
      <c r="H4411" s="7">
        <v>0</v>
      </c>
      <c r="I4411" s="7">
        <v>0</v>
      </c>
      <c r="J4411" s="7">
        <v>0</v>
      </c>
      <c r="K4411" s="3">
        <f t="shared" si="160"/>
        <v>0</v>
      </c>
      <c r="L4411" s="3"/>
      <c r="M4411" s="3">
        <f t="shared" si="161"/>
        <v>0</v>
      </c>
      <c r="O4411" s="5"/>
      <c r="S4411" s="6"/>
    </row>
    <row r="4412" spans="1:19" customFormat="1" x14ac:dyDescent="0.45">
      <c r="A4412">
        <v>794390</v>
      </c>
      <c r="B4412" t="s">
        <v>24559</v>
      </c>
      <c r="C4412" t="s">
        <v>16331</v>
      </c>
      <c r="D4412">
        <v>1</v>
      </c>
      <c r="E4412" t="s">
        <v>16331</v>
      </c>
      <c r="F4412" s="126"/>
      <c r="G4412" s="7">
        <v>0</v>
      </c>
      <c r="H4412" s="7">
        <v>0</v>
      </c>
      <c r="I4412" s="7">
        <v>0</v>
      </c>
      <c r="J4412" s="7">
        <v>0</v>
      </c>
      <c r="K4412" s="3">
        <f t="shared" si="160"/>
        <v>0</v>
      </c>
      <c r="L4412" s="3"/>
      <c r="M4412" s="3">
        <f t="shared" si="161"/>
        <v>0</v>
      </c>
      <c r="O4412" s="5"/>
      <c r="S4412" s="6"/>
    </row>
    <row r="4413" spans="1:19" customFormat="1" x14ac:dyDescent="0.45">
      <c r="A4413">
        <v>794403</v>
      </c>
      <c r="B4413" t="s">
        <v>24560</v>
      </c>
      <c r="C4413" t="s">
        <v>16331</v>
      </c>
      <c r="D4413">
        <v>2</v>
      </c>
      <c r="E4413" t="s">
        <v>16331</v>
      </c>
      <c r="F4413" s="126"/>
      <c r="G4413" s="7">
        <v>0</v>
      </c>
      <c r="H4413" s="7">
        <v>0</v>
      </c>
      <c r="I4413" s="7">
        <v>0</v>
      </c>
      <c r="J4413" s="7">
        <v>0</v>
      </c>
      <c r="K4413" s="3">
        <f t="shared" si="160"/>
        <v>0</v>
      </c>
      <c r="L4413" s="3"/>
      <c r="M4413" s="3">
        <f t="shared" si="161"/>
        <v>0</v>
      </c>
      <c r="O4413" s="5"/>
      <c r="S4413" s="6"/>
    </row>
    <row r="4414" spans="1:19" customFormat="1" x14ac:dyDescent="0.45">
      <c r="A4414">
        <v>794406</v>
      </c>
      <c r="B4414" t="s">
        <v>24561</v>
      </c>
      <c r="C4414" t="s">
        <v>24562</v>
      </c>
      <c r="D4414">
        <v>1</v>
      </c>
      <c r="F4414" s="126"/>
      <c r="G4414" s="7">
        <v>0</v>
      </c>
      <c r="H4414" s="7">
        <v>0</v>
      </c>
      <c r="I4414" s="7">
        <v>0</v>
      </c>
      <c r="J4414" s="7">
        <v>0</v>
      </c>
      <c r="K4414" s="3">
        <f t="shared" si="160"/>
        <v>0</v>
      </c>
      <c r="L4414" s="3"/>
      <c r="M4414" s="3">
        <f t="shared" si="161"/>
        <v>0</v>
      </c>
      <c r="O4414" s="5"/>
      <c r="S4414" s="6"/>
    </row>
    <row r="4415" spans="1:19" customFormat="1" x14ac:dyDescent="0.45">
      <c r="A4415">
        <v>794932</v>
      </c>
      <c r="B4415" t="s">
        <v>24563</v>
      </c>
      <c r="C4415" t="s">
        <v>16331</v>
      </c>
      <c r="D4415">
        <v>1</v>
      </c>
      <c r="E4415" t="s">
        <v>16331</v>
      </c>
      <c r="F4415" s="126"/>
      <c r="K4415" s="3">
        <f t="shared" si="160"/>
        <v>0</v>
      </c>
      <c r="L4415" s="3"/>
      <c r="M4415" s="3">
        <f t="shared" si="161"/>
        <v>0</v>
      </c>
      <c r="O4415" s="5"/>
      <c r="S4415" s="6"/>
    </row>
    <row r="4416" spans="1:19" customFormat="1" x14ac:dyDescent="0.45">
      <c r="A4416">
        <v>795042</v>
      </c>
      <c r="B4416" t="s">
        <v>24564</v>
      </c>
      <c r="C4416" t="s">
        <v>16331</v>
      </c>
      <c r="D4416">
        <v>2</v>
      </c>
      <c r="E4416" t="s">
        <v>16331</v>
      </c>
      <c r="F4416" s="126"/>
      <c r="G4416" s="7">
        <v>0</v>
      </c>
      <c r="H4416" s="7">
        <v>0</v>
      </c>
      <c r="I4416" s="7">
        <v>0</v>
      </c>
      <c r="J4416" s="7">
        <v>0</v>
      </c>
      <c r="K4416" s="3">
        <f t="shared" si="160"/>
        <v>0</v>
      </c>
      <c r="L4416" s="3"/>
      <c r="M4416" s="3">
        <f t="shared" si="161"/>
        <v>0</v>
      </c>
      <c r="O4416" s="5"/>
      <c r="S4416" s="6"/>
    </row>
    <row r="4417" spans="1:19" customFormat="1" x14ac:dyDescent="0.45">
      <c r="A4417">
        <v>795051</v>
      </c>
      <c r="B4417" t="s">
        <v>24565</v>
      </c>
      <c r="C4417" t="s">
        <v>24566</v>
      </c>
      <c r="D4417">
        <v>1</v>
      </c>
      <c r="F4417" s="126"/>
      <c r="G4417" s="7">
        <v>0</v>
      </c>
      <c r="H4417" s="7">
        <v>0</v>
      </c>
      <c r="I4417" s="7">
        <v>0</v>
      </c>
      <c r="J4417" s="7">
        <v>0</v>
      </c>
      <c r="K4417" s="3">
        <f t="shared" si="160"/>
        <v>0</v>
      </c>
      <c r="L4417" s="3"/>
      <c r="M4417" s="3">
        <f t="shared" si="161"/>
        <v>0</v>
      </c>
      <c r="O4417" s="5"/>
      <c r="S4417" s="6"/>
    </row>
    <row r="4418" spans="1:19" customFormat="1" x14ac:dyDescent="0.45">
      <c r="A4418">
        <v>795258</v>
      </c>
      <c r="B4418" t="s">
        <v>24567</v>
      </c>
      <c r="C4418" t="s">
        <v>24568</v>
      </c>
      <c r="D4418">
        <v>1</v>
      </c>
      <c r="F4418" s="126"/>
      <c r="G4418" s="7">
        <v>0</v>
      </c>
      <c r="H4418" s="7">
        <v>0</v>
      </c>
      <c r="I4418" s="7">
        <v>0</v>
      </c>
      <c r="J4418" s="7">
        <v>0</v>
      </c>
      <c r="K4418" s="3">
        <f t="shared" si="160"/>
        <v>0</v>
      </c>
      <c r="L4418" s="3"/>
      <c r="M4418" s="3">
        <f t="shared" si="161"/>
        <v>0</v>
      </c>
      <c r="O4418" s="5"/>
      <c r="S4418" s="6"/>
    </row>
    <row r="4419" spans="1:19" customFormat="1" x14ac:dyDescent="0.45">
      <c r="A4419">
        <v>795384</v>
      </c>
      <c r="B4419" t="s">
        <v>24569</v>
      </c>
      <c r="C4419" t="s">
        <v>24570</v>
      </c>
      <c r="D4419">
        <v>1</v>
      </c>
      <c r="F4419" s="126"/>
      <c r="G4419" s="7">
        <v>0</v>
      </c>
      <c r="H4419" s="7">
        <v>0</v>
      </c>
      <c r="I4419" s="7">
        <v>0</v>
      </c>
      <c r="J4419" s="7">
        <v>0</v>
      </c>
      <c r="K4419" s="3">
        <f t="shared" si="160"/>
        <v>0</v>
      </c>
      <c r="L4419" s="3"/>
      <c r="M4419" s="3">
        <f t="shared" si="161"/>
        <v>0</v>
      </c>
      <c r="O4419" s="5"/>
      <c r="S4419" s="6"/>
    </row>
    <row r="4420" spans="1:19" customFormat="1" x14ac:dyDescent="0.45">
      <c r="A4420">
        <v>795641</v>
      </c>
      <c r="B4420" t="s">
        <v>24571</v>
      </c>
      <c r="C4420" t="s">
        <v>24572</v>
      </c>
      <c r="D4420">
        <v>2</v>
      </c>
      <c r="F4420" s="126"/>
      <c r="G4420" s="7">
        <v>0</v>
      </c>
      <c r="H4420" s="7">
        <v>0</v>
      </c>
      <c r="I4420" s="7">
        <v>0</v>
      </c>
      <c r="J4420" s="7">
        <v>0</v>
      </c>
      <c r="K4420" s="3">
        <f t="shared" si="160"/>
        <v>0</v>
      </c>
      <c r="L4420" s="3"/>
      <c r="M4420" s="3">
        <f t="shared" si="161"/>
        <v>0</v>
      </c>
      <c r="O4420" s="5"/>
      <c r="S4420" s="6"/>
    </row>
    <row r="4421" spans="1:19" customFormat="1" x14ac:dyDescent="0.45">
      <c r="A4421">
        <v>795673</v>
      </c>
      <c r="B4421" t="s">
        <v>24573</v>
      </c>
      <c r="C4421" t="s">
        <v>16331</v>
      </c>
      <c r="D4421">
        <v>0</v>
      </c>
      <c r="E4421" t="s">
        <v>16331</v>
      </c>
      <c r="F4421" s="126"/>
      <c r="K4421" s="3">
        <f t="shared" si="160"/>
        <v>0</v>
      </c>
      <c r="L4421" s="3"/>
      <c r="M4421" s="3">
        <f t="shared" si="161"/>
        <v>0</v>
      </c>
      <c r="O4421" s="5"/>
      <c r="S4421" s="6"/>
    </row>
    <row r="4422" spans="1:19" customFormat="1" x14ac:dyDescent="0.45">
      <c r="A4422">
        <v>795885</v>
      </c>
      <c r="B4422" t="s">
        <v>24574</v>
      </c>
      <c r="C4422" t="s">
        <v>24575</v>
      </c>
      <c r="D4422">
        <v>12</v>
      </c>
      <c r="F4422" s="126"/>
      <c r="G4422" s="3">
        <v>0</v>
      </c>
      <c r="H4422" s="3">
        <v>0</v>
      </c>
      <c r="I4422" s="3">
        <v>0</v>
      </c>
      <c r="J4422" s="3">
        <v>0</v>
      </c>
      <c r="K4422" s="3">
        <f t="shared" si="160"/>
        <v>0</v>
      </c>
      <c r="L4422" s="3"/>
      <c r="M4422" s="3">
        <f t="shared" si="161"/>
        <v>0</v>
      </c>
      <c r="O4422" s="5"/>
      <c r="S4422" s="6"/>
    </row>
    <row r="4423" spans="1:19" customFormat="1" x14ac:dyDescent="0.45">
      <c r="A4423">
        <v>796391</v>
      </c>
      <c r="B4423" t="s">
        <v>24576</v>
      </c>
      <c r="C4423" t="s">
        <v>24577</v>
      </c>
      <c r="D4423">
        <v>1</v>
      </c>
      <c r="F4423" s="126"/>
      <c r="G4423" s="7">
        <v>0</v>
      </c>
      <c r="H4423" s="7">
        <v>0</v>
      </c>
      <c r="I4423" s="7">
        <v>0</v>
      </c>
      <c r="J4423" s="7">
        <v>0</v>
      </c>
      <c r="K4423" s="3">
        <f t="shared" ref="K4423:K4486" si="162">SUM(G4423:J4423)</f>
        <v>0</v>
      </c>
      <c r="L4423" s="3"/>
      <c r="M4423" s="3">
        <f t="shared" ref="M4423:M4486" si="163">K4423+F4423</f>
        <v>0</v>
      </c>
      <c r="O4423" s="5"/>
      <c r="S4423" s="6"/>
    </row>
    <row r="4424" spans="1:19" customFormat="1" x14ac:dyDescent="0.45">
      <c r="A4424">
        <v>796599</v>
      </c>
      <c r="B4424" t="s">
        <v>24578</v>
      </c>
      <c r="C4424" t="s">
        <v>16331</v>
      </c>
      <c r="D4424">
        <v>1</v>
      </c>
      <c r="E4424" t="s">
        <v>16331</v>
      </c>
      <c r="F4424" s="126"/>
      <c r="G4424" s="7">
        <v>0</v>
      </c>
      <c r="H4424" s="7">
        <v>0</v>
      </c>
      <c r="I4424" s="7">
        <v>0</v>
      </c>
      <c r="J4424" s="7">
        <v>0</v>
      </c>
      <c r="K4424" s="3">
        <f t="shared" si="162"/>
        <v>0</v>
      </c>
      <c r="L4424" s="3"/>
      <c r="M4424" s="3">
        <f t="shared" si="163"/>
        <v>0</v>
      </c>
      <c r="N4424" s="7"/>
      <c r="O4424" s="5"/>
      <c r="S4424" s="6"/>
    </row>
    <row r="4425" spans="1:19" customFormat="1" x14ac:dyDescent="0.45">
      <c r="A4425">
        <v>796617</v>
      </c>
      <c r="B4425" t="s">
        <v>24579</v>
      </c>
      <c r="C4425" t="s">
        <v>24580</v>
      </c>
      <c r="D4425">
        <v>0</v>
      </c>
      <c r="E4425" t="s">
        <v>16561</v>
      </c>
      <c r="F4425" s="126"/>
      <c r="G4425" s="3">
        <v>0</v>
      </c>
      <c r="H4425" s="3">
        <v>0</v>
      </c>
      <c r="I4425" s="3">
        <v>0</v>
      </c>
      <c r="J4425" s="3">
        <v>0</v>
      </c>
      <c r="K4425" s="3">
        <f t="shared" si="162"/>
        <v>0</v>
      </c>
      <c r="L4425" s="3"/>
      <c r="M4425" s="3">
        <f t="shared" si="163"/>
        <v>0</v>
      </c>
      <c r="O4425" s="5"/>
      <c r="S4425" s="6"/>
    </row>
    <row r="4426" spans="1:19" customFormat="1" x14ac:dyDescent="0.45">
      <c r="A4426">
        <v>797019</v>
      </c>
      <c r="B4426" t="s">
        <v>24581</v>
      </c>
      <c r="C4426" t="s">
        <v>24582</v>
      </c>
      <c r="D4426">
        <v>2</v>
      </c>
      <c r="F4426" s="126"/>
      <c r="K4426" s="3">
        <f t="shared" si="162"/>
        <v>0</v>
      </c>
      <c r="L4426" s="3"/>
      <c r="M4426" s="3">
        <f t="shared" si="163"/>
        <v>0</v>
      </c>
      <c r="O4426" s="5"/>
      <c r="S4426" s="6"/>
    </row>
    <row r="4427" spans="1:19" customFormat="1" x14ac:dyDescent="0.45">
      <c r="A4427">
        <v>797420</v>
      </c>
      <c r="B4427" t="s">
        <v>24583</v>
      </c>
      <c r="C4427" t="s">
        <v>24584</v>
      </c>
      <c r="D4427">
        <v>1</v>
      </c>
      <c r="F4427" s="126"/>
      <c r="G4427" s="7">
        <v>0</v>
      </c>
      <c r="H4427" s="7">
        <v>0</v>
      </c>
      <c r="I4427" s="7">
        <v>0</v>
      </c>
      <c r="J4427" s="7">
        <v>0</v>
      </c>
      <c r="K4427" s="3">
        <f t="shared" si="162"/>
        <v>0</v>
      </c>
      <c r="L4427" s="3"/>
      <c r="M4427" s="3">
        <f t="shared" si="163"/>
        <v>0</v>
      </c>
      <c r="O4427" s="5"/>
      <c r="S4427" s="6"/>
    </row>
    <row r="4428" spans="1:19" customFormat="1" x14ac:dyDescent="0.45">
      <c r="A4428">
        <v>797619</v>
      </c>
      <c r="B4428" t="s">
        <v>24585</v>
      </c>
      <c r="C4428" t="s">
        <v>24586</v>
      </c>
      <c r="D4428">
        <v>1</v>
      </c>
      <c r="F4428" s="126"/>
      <c r="G4428" s="7">
        <v>0</v>
      </c>
      <c r="H4428" s="7">
        <v>0</v>
      </c>
      <c r="I4428" s="7">
        <v>0</v>
      </c>
      <c r="J4428" s="7">
        <v>0</v>
      </c>
      <c r="K4428" s="3">
        <f t="shared" si="162"/>
        <v>0</v>
      </c>
      <c r="L4428" s="3"/>
      <c r="M4428" s="3">
        <f t="shared" si="163"/>
        <v>0</v>
      </c>
      <c r="O4428" s="5"/>
      <c r="S4428" s="6"/>
    </row>
    <row r="4429" spans="1:19" customFormat="1" x14ac:dyDescent="0.45">
      <c r="A4429">
        <v>797673</v>
      </c>
      <c r="B4429" t="s">
        <v>24587</v>
      </c>
      <c r="C4429" t="s">
        <v>24588</v>
      </c>
      <c r="D4429">
        <v>3</v>
      </c>
      <c r="F4429" s="126"/>
      <c r="G4429" s="3">
        <v>0</v>
      </c>
      <c r="H4429" s="3">
        <v>0</v>
      </c>
      <c r="I4429" s="3">
        <v>0</v>
      </c>
      <c r="J4429" s="3">
        <v>0</v>
      </c>
      <c r="K4429" s="3">
        <f t="shared" si="162"/>
        <v>0</v>
      </c>
      <c r="L4429" s="3"/>
      <c r="M4429" s="3">
        <f t="shared" si="163"/>
        <v>0</v>
      </c>
      <c r="O4429" s="5"/>
      <c r="S4429" s="6"/>
    </row>
    <row r="4430" spans="1:19" customFormat="1" x14ac:dyDescent="0.45">
      <c r="A4430">
        <v>797692</v>
      </c>
      <c r="B4430" t="s">
        <v>24589</v>
      </c>
      <c r="C4430" t="s">
        <v>16331</v>
      </c>
      <c r="D4430">
        <v>1</v>
      </c>
      <c r="E4430" t="s">
        <v>16331</v>
      </c>
      <c r="F4430" s="126"/>
      <c r="G4430" s="7">
        <v>0</v>
      </c>
      <c r="H4430" s="7">
        <v>0</v>
      </c>
      <c r="I4430" s="7">
        <v>0</v>
      </c>
      <c r="J4430" s="7">
        <v>0</v>
      </c>
      <c r="K4430" s="3">
        <f t="shared" si="162"/>
        <v>0</v>
      </c>
      <c r="L4430" s="3"/>
      <c r="M4430" s="3">
        <f t="shared" si="163"/>
        <v>0</v>
      </c>
      <c r="O4430" s="5"/>
      <c r="S4430" s="6"/>
    </row>
    <row r="4431" spans="1:19" customFormat="1" x14ac:dyDescent="0.45">
      <c r="A4431">
        <v>797828</v>
      </c>
      <c r="B4431" t="s">
        <v>24590</v>
      </c>
      <c r="C4431" t="s">
        <v>24591</v>
      </c>
      <c r="D4431">
        <v>2</v>
      </c>
      <c r="F4431" s="126"/>
      <c r="G4431" s="7">
        <v>0</v>
      </c>
      <c r="H4431" s="7">
        <v>0</v>
      </c>
      <c r="I4431" s="7">
        <v>0</v>
      </c>
      <c r="J4431" s="7">
        <v>0</v>
      </c>
      <c r="K4431" s="3">
        <f t="shared" si="162"/>
        <v>0</v>
      </c>
      <c r="L4431" s="3"/>
      <c r="M4431" s="3">
        <f t="shared" si="163"/>
        <v>0</v>
      </c>
      <c r="O4431" s="5"/>
      <c r="S4431" s="6"/>
    </row>
    <row r="4432" spans="1:19" customFormat="1" x14ac:dyDescent="0.45">
      <c r="A4432">
        <v>798272</v>
      </c>
      <c r="B4432" t="s">
        <v>24592</v>
      </c>
      <c r="C4432" t="s">
        <v>16331</v>
      </c>
      <c r="D4432">
        <v>1</v>
      </c>
      <c r="E4432" t="s">
        <v>16331</v>
      </c>
      <c r="F4432" s="126"/>
      <c r="G4432" s="7">
        <v>0</v>
      </c>
      <c r="H4432" s="7">
        <v>0</v>
      </c>
      <c r="I4432" s="7">
        <v>0</v>
      </c>
      <c r="J4432" s="7">
        <v>0</v>
      </c>
      <c r="K4432" s="3">
        <f t="shared" si="162"/>
        <v>0</v>
      </c>
      <c r="L4432" s="3"/>
      <c r="M4432" s="3">
        <f t="shared" si="163"/>
        <v>0</v>
      </c>
      <c r="O4432" s="5"/>
      <c r="S4432" s="6"/>
    </row>
    <row r="4433" spans="1:23" customFormat="1" x14ac:dyDescent="0.45">
      <c r="A4433">
        <v>798366</v>
      </c>
      <c r="B4433" t="s">
        <v>24593</v>
      </c>
      <c r="C4433" t="s">
        <v>24594</v>
      </c>
      <c r="D4433">
        <v>1</v>
      </c>
      <c r="F4433" s="126"/>
      <c r="G4433" s="7">
        <v>0</v>
      </c>
      <c r="H4433" s="7">
        <v>0</v>
      </c>
      <c r="I4433" s="7">
        <v>0</v>
      </c>
      <c r="J4433" s="7">
        <v>0</v>
      </c>
      <c r="K4433" s="3">
        <f t="shared" si="162"/>
        <v>0</v>
      </c>
      <c r="L4433" s="3"/>
      <c r="M4433" s="3">
        <f t="shared" si="163"/>
        <v>0</v>
      </c>
      <c r="O4433" s="5"/>
      <c r="S4433" s="6"/>
    </row>
    <row r="4434" spans="1:23" customFormat="1" x14ac:dyDescent="0.45">
      <c r="A4434">
        <v>798518</v>
      </c>
      <c r="B4434" t="s">
        <v>24595</v>
      </c>
      <c r="C4434" t="s">
        <v>24596</v>
      </c>
      <c r="D4434">
        <v>2</v>
      </c>
      <c r="F4434" s="126"/>
      <c r="G4434" s="3">
        <v>0</v>
      </c>
      <c r="H4434" s="3">
        <v>0</v>
      </c>
      <c r="I4434" s="3">
        <v>0</v>
      </c>
      <c r="J4434" s="3">
        <v>0</v>
      </c>
      <c r="K4434" s="3">
        <f t="shared" si="162"/>
        <v>0</v>
      </c>
      <c r="L4434" s="3"/>
      <c r="M4434" s="3">
        <f t="shared" si="163"/>
        <v>0</v>
      </c>
      <c r="O4434" s="5"/>
      <c r="S4434" s="6"/>
    </row>
    <row r="4435" spans="1:23" customFormat="1" x14ac:dyDescent="0.45">
      <c r="A4435">
        <v>798611</v>
      </c>
      <c r="B4435" t="s">
        <v>24597</v>
      </c>
      <c r="C4435" t="s">
        <v>24598</v>
      </c>
      <c r="D4435">
        <v>7</v>
      </c>
      <c r="F4435" s="126"/>
      <c r="G4435" s="3">
        <v>0</v>
      </c>
      <c r="H4435" s="3">
        <v>0</v>
      </c>
      <c r="I4435" s="3">
        <v>0</v>
      </c>
      <c r="J4435" s="3">
        <v>0</v>
      </c>
      <c r="K4435" s="3">
        <f t="shared" si="162"/>
        <v>0</v>
      </c>
      <c r="L4435" s="3"/>
      <c r="M4435" s="3">
        <f t="shared" si="163"/>
        <v>0</v>
      </c>
      <c r="O4435" s="5"/>
      <c r="S4435" s="6"/>
    </row>
    <row r="4436" spans="1:23" customFormat="1" x14ac:dyDescent="0.45">
      <c r="A4436">
        <v>798772</v>
      </c>
      <c r="B4436" t="s">
        <v>24599</v>
      </c>
      <c r="C4436" t="s">
        <v>24600</v>
      </c>
      <c r="D4436">
        <v>5</v>
      </c>
      <c r="F4436" s="126"/>
      <c r="G4436" s="3">
        <v>0</v>
      </c>
      <c r="H4436" s="3">
        <v>0</v>
      </c>
      <c r="I4436" s="3">
        <v>0</v>
      </c>
      <c r="J4436" s="3">
        <v>0</v>
      </c>
      <c r="K4436" s="3">
        <f t="shared" si="162"/>
        <v>0</v>
      </c>
      <c r="L4436" s="3"/>
      <c r="M4436" s="3">
        <f t="shared" si="163"/>
        <v>0</v>
      </c>
      <c r="O4436" s="5"/>
      <c r="S4436" s="6"/>
    </row>
    <row r="4437" spans="1:23" customFormat="1" x14ac:dyDescent="0.45">
      <c r="A4437">
        <v>799333</v>
      </c>
      <c r="B4437" t="s">
        <v>24601</v>
      </c>
      <c r="C4437" t="s">
        <v>24602</v>
      </c>
      <c r="D4437">
        <v>6</v>
      </c>
      <c r="F4437" s="126"/>
      <c r="G4437" s="3"/>
      <c r="H4437" s="3"/>
      <c r="I4437" s="3"/>
      <c r="J4437" s="3"/>
      <c r="K4437" s="3">
        <f t="shared" si="162"/>
        <v>0</v>
      </c>
      <c r="L4437" s="3"/>
      <c r="M4437" s="3">
        <f t="shared" si="163"/>
        <v>0</v>
      </c>
      <c r="O4437" s="5"/>
      <c r="S4437" s="6"/>
    </row>
    <row r="4438" spans="1:23" customFormat="1" x14ac:dyDescent="0.45">
      <c r="A4438">
        <v>799367</v>
      </c>
      <c r="B4438" t="s">
        <v>24603</v>
      </c>
      <c r="C4438" t="s">
        <v>24604</v>
      </c>
      <c r="D4438">
        <v>2</v>
      </c>
      <c r="F4438" s="126"/>
      <c r="G4438" s="7">
        <v>0</v>
      </c>
      <c r="H4438" s="7">
        <v>0</v>
      </c>
      <c r="I4438" s="7">
        <v>0</v>
      </c>
      <c r="J4438" s="7">
        <v>0</v>
      </c>
      <c r="K4438" s="3">
        <f t="shared" si="162"/>
        <v>0</v>
      </c>
      <c r="L4438" s="3"/>
      <c r="M4438" s="3">
        <f t="shared" si="163"/>
        <v>0</v>
      </c>
      <c r="O4438" s="5"/>
      <c r="S4438" s="6"/>
    </row>
    <row r="4439" spans="1:23" customFormat="1" x14ac:dyDescent="0.45">
      <c r="A4439">
        <v>799429</v>
      </c>
      <c r="B4439" t="s">
        <v>24605</v>
      </c>
      <c r="C4439" t="s">
        <v>24606</v>
      </c>
      <c r="D4439">
        <v>0</v>
      </c>
      <c r="E4439" t="s">
        <v>16561</v>
      </c>
      <c r="F4439" s="126"/>
      <c r="G4439" s="7">
        <v>0</v>
      </c>
      <c r="H4439" s="7">
        <v>0</v>
      </c>
      <c r="I4439" s="7">
        <v>0</v>
      </c>
      <c r="J4439" s="7">
        <v>0</v>
      </c>
      <c r="K4439" s="3">
        <f t="shared" si="162"/>
        <v>0</v>
      </c>
      <c r="L4439" s="3"/>
      <c r="M4439" s="3">
        <f t="shared" si="163"/>
        <v>0</v>
      </c>
      <c r="N4439" s="7"/>
      <c r="O4439" s="2" t="s">
        <v>16624</v>
      </c>
      <c r="S4439" s="6"/>
    </row>
    <row r="4440" spans="1:23" customFormat="1" x14ac:dyDescent="0.45">
      <c r="A4440">
        <v>799740</v>
      </c>
      <c r="B4440" t="s">
        <v>24607</v>
      </c>
      <c r="C4440" t="s">
        <v>16331</v>
      </c>
      <c r="D4440">
        <v>1</v>
      </c>
      <c r="E4440" t="s">
        <v>16331</v>
      </c>
      <c r="F4440" s="126"/>
      <c r="K4440" s="3">
        <f t="shared" si="162"/>
        <v>0</v>
      </c>
      <c r="L4440" s="3"/>
      <c r="M4440" s="3">
        <f t="shared" si="163"/>
        <v>0</v>
      </c>
      <c r="O4440" s="5"/>
      <c r="S4440" s="6"/>
    </row>
    <row r="4441" spans="1:23" customFormat="1" x14ac:dyDescent="0.45">
      <c r="A4441">
        <v>799741</v>
      </c>
      <c r="B4441" t="s">
        <v>24608</v>
      </c>
      <c r="C4441" t="s">
        <v>16331</v>
      </c>
      <c r="D4441">
        <v>3</v>
      </c>
      <c r="E4441" t="s">
        <v>16331</v>
      </c>
      <c r="F4441" s="126"/>
      <c r="G4441" s="7">
        <v>0</v>
      </c>
      <c r="H4441" s="7">
        <v>0</v>
      </c>
      <c r="I4441" s="7">
        <v>0</v>
      </c>
      <c r="J4441" s="7">
        <v>0</v>
      </c>
      <c r="K4441" s="3">
        <f t="shared" si="162"/>
        <v>0</v>
      </c>
      <c r="L4441" s="3"/>
      <c r="M4441" s="3">
        <f t="shared" si="163"/>
        <v>0</v>
      </c>
      <c r="O4441" s="5"/>
      <c r="S4441" s="6"/>
    </row>
    <row r="4442" spans="1:23" customFormat="1" x14ac:dyDescent="0.45">
      <c r="A4442">
        <v>799761</v>
      </c>
      <c r="B4442" t="s">
        <v>24609</v>
      </c>
      <c r="C4442" s="2" t="s">
        <v>24610</v>
      </c>
      <c r="D4442">
        <v>2</v>
      </c>
      <c r="F4442" s="126"/>
      <c r="G4442" s="3">
        <v>0</v>
      </c>
      <c r="H4442" s="3">
        <v>0</v>
      </c>
      <c r="I4442" s="3">
        <v>0</v>
      </c>
      <c r="J4442" s="3">
        <v>0</v>
      </c>
      <c r="K4442" s="3">
        <f t="shared" si="162"/>
        <v>0</v>
      </c>
      <c r="L4442" s="3"/>
      <c r="M4442" s="3">
        <f t="shared" si="163"/>
        <v>0</v>
      </c>
      <c r="O4442" s="5"/>
      <c r="S4442" s="6"/>
    </row>
    <row r="4443" spans="1:23" customFormat="1" x14ac:dyDescent="0.45">
      <c r="A4443">
        <v>799794</v>
      </c>
      <c r="B4443" t="s">
        <v>24611</v>
      </c>
      <c r="C4443" t="s">
        <v>24612</v>
      </c>
      <c r="D4443">
        <v>1</v>
      </c>
      <c r="F4443" s="126"/>
      <c r="G4443" s="3"/>
      <c r="H4443" s="3"/>
      <c r="I4443" s="3"/>
      <c r="J4443" s="3"/>
      <c r="K4443" s="3">
        <f t="shared" si="162"/>
        <v>0</v>
      </c>
      <c r="L4443" s="3"/>
      <c r="M4443" s="3">
        <f t="shared" si="163"/>
        <v>0</v>
      </c>
      <c r="O4443" s="5"/>
      <c r="S4443" s="6"/>
    </row>
    <row r="4444" spans="1:23" customFormat="1" x14ac:dyDescent="0.45">
      <c r="A4444">
        <v>799828</v>
      </c>
      <c r="B4444" t="s">
        <v>24613</v>
      </c>
      <c r="C4444" t="s">
        <v>24614</v>
      </c>
      <c r="D4444">
        <v>3</v>
      </c>
      <c r="F4444" s="126"/>
      <c r="G4444" s="7">
        <v>0</v>
      </c>
      <c r="H4444" s="7">
        <v>0</v>
      </c>
      <c r="I4444" s="7">
        <v>0</v>
      </c>
      <c r="J4444" s="7">
        <v>0</v>
      </c>
      <c r="K4444" s="3">
        <f t="shared" si="162"/>
        <v>0</v>
      </c>
      <c r="L4444" s="3"/>
      <c r="M4444" s="3">
        <f t="shared" si="163"/>
        <v>0</v>
      </c>
      <c r="O4444" s="5"/>
      <c r="S4444" s="6"/>
    </row>
    <row r="4445" spans="1:23" customFormat="1" x14ac:dyDescent="0.45">
      <c r="A4445">
        <v>800013</v>
      </c>
      <c r="B4445" t="s">
        <v>24615</v>
      </c>
      <c r="C4445" t="s">
        <v>24616</v>
      </c>
      <c r="D4445">
        <v>2</v>
      </c>
      <c r="F4445" s="126"/>
      <c r="G4445" s="3">
        <v>0</v>
      </c>
      <c r="H4445" s="3">
        <v>0</v>
      </c>
      <c r="I4445" s="3">
        <v>0</v>
      </c>
      <c r="J4445" s="3">
        <v>0</v>
      </c>
      <c r="K4445" s="3">
        <f t="shared" si="162"/>
        <v>0</v>
      </c>
      <c r="L4445" s="3"/>
      <c r="M4445" s="3">
        <f t="shared" si="163"/>
        <v>0</v>
      </c>
      <c r="O4445" s="5"/>
      <c r="S4445" s="6"/>
    </row>
    <row r="4446" spans="1:23" customFormat="1" x14ac:dyDescent="0.45">
      <c r="A4446">
        <v>800081</v>
      </c>
      <c r="B4446" t="s">
        <v>24617</v>
      </c>
      <c r="C4446" t="s">
        <v>24618</v>
      </c>
      <c r="D4446">
        <v>1</v>
      </c>
      <c r="F4446" s="126"/>
      <c r="G4446" s="7">
        <v>0</v>
      </c>
      <c r="H4446" s="7">
        <v>0</v>
      </c>
      <c r="I4446" s="7">
        <v>0</v>
      </c>
      <c r="J4446" s="7">
        <v>0</v>
      </c>
      <c r="K4446" s="3">
        <f t="shared" si="162"/>
        <v>0</v>
      </c>
      <c r="L4446" s="3"/>
      <c r="M4446" s="3">
        <f t="shared" si="163"/>
        <v>0</v>
      </c>
      <c r="O4446" s="5"/>
      <c r="S4446" s="6"/>
    </row>
    <row r="4447" spans="1:23" x14ac:dyDescent="0.45">
      <c r="A4447" s="124">
        <v>975586</v>
      </c>
      <c r="B4447" s="124" t="s">
        <v>24619</v>
      </c>
      <c r="C4447" s="124" t="s">
        <v>24620</v>
      </c>
      <c r="D4447" s="124">
        <v>1</v>
      </c>
      <c r="E4447" s="124" t="s">
        <v>16334</v>
      </c>
      <c r="F4447" s="126">
        <v>1.6999999999999999E-3</v>
      </c>
      <c r="G4447" s="126">
        <v>0.05</v>
      </c>
      <c r="H4447" s="126">
        <v>7.4999999999999997E-3</v>
      </c>
      <c r="I4447" s="127"/>
      <c r="J4447" s="127"/>
      <c r="K4447" s="126">
        <f t="shared" si="162"/>
        <v>5.7500000000000002E-2</v>
      </c>
      <c r="L4447" s="3"/>
      <c r="M4447" s="126">
        <f t="shared" si="163"/>
        <v>5.9200000000000003E-2</v>
      </c>
      <c r="O4447" s="131" t="s">
        <v>24621</v>
      </c>
      <c r="P4447" s="128" t="s">
        <v>26918</v>
      </c>
      <c r="Q4447" s="124">
        <f>51986+2802</f>
        <v>54788</v>
      </c>
      <c r="R4447" s="124" t="s">
        <v>16348</v>
      </c>
      <c r="S4447" s="132">
        <v>29586</v>
      </c>
      <c r="T4447" s="129">
        <f>S4447/Q4447</f>
        <v>0.54000876104256401</v>
      </c>
      <c r="V4447" s="125" t="s">
        <v>24622</v>
      </c>
      <c r="W4447" s="124" t="s">
        <v>17021</v>
      </c>
    </row>
    <row r="4448" spans="1:23" customFormat="1" x14ac:dyDescent="0.45">
      <c r="A4448">
        <v>800234</v>
      </c>
      <c r="B4448" t="s">
        <v>24623</v>
      </c>
      <c r="C4448" t="s">
        <v>16331</v>
      </c>
      <c r="D4448">
        <v>2</v>
      </c>
      <c r="E4448" t="s">
        <v>16331</v>
      </c>
      <c r="F4448" s="126"/>
      <c r="G4448" s="7">
        <v>0</v>
      </c>
      <c r="H4448" s="7">
        <v>0</v>
      </c>
      <c r="I4448" s="7">
        <v>0</v>
      </c>
      <c r="J4448" s="7">
        <v>0</v>
      </c>
      <c r="K4448" s="3">
        <f t="shared" si="162"/>
        <v>0</v>
      </c>
      <c r="L4448" s="3"/>
      <c r="M4448" s="3">
        <f t="shared" si="163"/>
        <v>0</v>
      </c>
      <c r="O4448" s="5"/>
      <c r="S4448" s="6"/>
    </row>
    <row r="4449" spans="1:19" customFormat="1" x14ac:dyDescent="0.45">
      <c r="A4449">
        <v>800434</v>
      </c>
      <c r="B4449" t="s">
        <v>24624</v>
      </c>
      <c r="C4449" t="s">
        <v>24625</v>
      </c>
      <c r="D4449">
        <v>1</v>
      </c>
      <c r="F4449" s="126"/>
      <c r="G4449" s="7">
        <v>0</v>
      </c>
      <c r="H4449" s="7">
        <v>0</v>
      </c>
      <c r="I4449" s="7">
        <v>0</v>
      </c>
      <c r="J4449" s="7">
        <v>0</v>
      </c>
      <c r="K4449" s="3">
        <f t="shared" si="162"/>
        <v>0</v>
      </c>
      <c r="L4449" s="3"/>
      <c r="M4449" s="3">
        <f t="shared" si="163"/>
        <v>0</v>
      </c>
      <c r="O4449" s="5"/>
      <c r="S4449" s="6"/>
    </row>
    <row r="4450" spans="1:19" customFormat="1" x14ac:dyDescent="0.45">
      <c r="A4450">
        <v>800509</v>
      </c>
      <c r="B4450" t="s">
        <v>24626</v>
      </c>
      <c r="C4450" t="s">
        <v>17234</v>
      </c>
      <c r="D4450">
        <v>2</v>
      </c>
      <c r="F4450" s="126"/>
      <c r="G4450" s="7">
        <v>0</v>
      </c>
      <c r="H4450" s="7">
        <v>0</v>
      </c>
      <c r="I4450" s="7">
        <v>0</v>
      </c>
      <c r="J4450" s="7">
        <v>0</v>
      </c>
      <c r="K4450" s="3">
        <f t="shared" si="162"/>
        <v>0</v>
      </c>
      <c r="L4450" s="3"/>
      <c r="M4450" s="3">
        <f t="shared" si="163"/>
        <v>0</v>
      </c>
      <c r="O4450" s="5"/>
      <c r="S4450" s="6"/>
    </row>
    <row r="4451" spans="1:19" customFormat="1" x14ac:dyDescent="0.45">
      <c r="A4451">
        <v>800783</v>
      </c>
      <c r="B4451" t="s">
        <v>24627</v>
      </c>
      <c r="C4451" t="s">
        <v>16331</v>
      </c>
      <c r="D4451">
        <v>1</v>
      </c>
      <c r="E4451" t="s">
        <v>16331</v>
      </c>
      <c r="F4451" s="126"/>
      <c r="G4451" s="7">
        <v>0</v>
      </c>
      <c r="H4451" s="7">
        <v>0</v>
      </c>
      <c r="I4451" s="7">
        <v>0</v>
      </c>
      <c r="J4451" s="7">
        <v>0</v>
      </c>
      <c r="K4451" s="3">
        <f t="shared" si="162"/>
        <v>0</v>
      </c>
      <c r="L4451" s="3"/>
      <c r="M4451" s="3">
        <f t="shared" si="163"/>
        <v>0</v>
      </c>
      <c r="O4451" s="5"/>
      <c r="S4451" s="6"/>
    </row>
    <row r="4452" spans="1:19" customFormat="1" x14ac:dyDescent="0.45">
      <c r="A4452">
        <v>800837</v>
      </c>
      <c r="B4452" t="s">
        <v>24628</v>
      </c>
      <c r="C4452" t="s">
        <v>16331</v>
      </c>
      <c r="D4452">
        <v>1</v>
      </c>
      <c r="E4452" t="s">
        <v>16331</v>
      </c>
      <c r="F4452" s="126"/>
      <c r="G4452" s="7">
        <v>0</v>
      </c>
      <c r="H4452" s="7">
        <v>0</v>
      </c>
      <c r="I4452" s="7">
        <v>0</v>
      </c>
      <c r="J4452" s="7">
        <v>0</v>
      </c>
      <c r="K4452" s="3">
        <f t="shared" si="162"/>
        <v>0</v>
      </c>
      <c r="L4452" s="3"/>
      <c r="M4452" s="3">
        <f t="shared" si="163"/>
        <v>0</v>
      </c>
      <c r="O4452" s="5"/>
      <c r="S4452" s="6"/>
    </row>
    <row r="4453" spans="1:19" customFormat="1" x14ac:dyDescent="0.45">
      <c r="A4453">
        <v>800932</v>
      </c>
      <c r="B4453" t="s">
        <v>24629</v>
      </c>
      <c r="C4453" t="s">
        <v>24630</v>
      </c>
      <c r="D4453">
        <v>2</v>
      </c>
      <c r="F4453" s="126"/>
      <c r="G4453" s="3">
        <v>0</v>
      </c>
      <c r="H4453" s="3">
        <v>0</v>
      </c>
      <c r="I4453" s="3">
        <v>0</v>
      </c>
      <c r="J4453" s="3">
        <v>0</v>
      </c>
      <c r="K4453" s="3">
        <f t="shared" si="162"/>
        <v>0</v>
      </c>
      <c r="L4453" s="3"/>
      <c r="M4453" s="3">
        <f t="shared" si="163"/>
        <v>0</v>
      </c>
      <c r="O4453" s="5"/>
      <c r="S4453" s="6"/>
    </row>
    <row r="4454" spans="1:19" customFormat="1" x14ac:dyDescent="0.45">
      <c r="A4454">
        <v>801128</v>
      </c>
      <c r="B4454" t="s">
        <v>24631</v>
      </c>
      <c r="C4454" t="s">
        <v>24632</v>
      </c>
      <c r="D4454">
        <v>2</v>
      </c>
      <c r="E4454" t="s">
        <v>16561</v>
      </c>
      <c r="F4454" s="126"/>
      <c r="G4454" s="3">
        <v>0</v>
      </c>
      <c r="H4454" s="3">
        <v>0</v>
      </c>
      <c r="I4454" s="3">
        <v>0</v>
      </c>
      <c r="J4454" s="3">
        <v>0</v>
      </c>
      <c r="K4454" s="3">
        <f t="shared" si="162"/>
        <v>0</v>
      </c>
      <c r="L4454" s="3"/>
      <c r="M4454" s="3">
        <f t="shared" si="163"/>
        <v>0</v>
      </c>
      <c r="N4454" t="s">
        <v>24633</v>
      </c>
      <c r="O4454" s="5"/>
      <c r="S4454" s="6"/>
    </row>
    <row r="4455" spans="1:19" customFormat="1" x14ac:dyDescent="0.45">
      <c r="A4455">
        <v>802016</v>
      </c>
      <c r="B4455" t="s">
        <v>24634</v>
      </c>
      <c r="C4455" t="s">
        <v>24635</v>
      </c>
      <c r="D4455">
        <v>3</v>
      </c>
      <c r="F4455" s="126"/>
      <c r="G4455" s="7">
        <v>0</v>
      </c>
      <c r="H4455" s="7">
        <v>0</v>
      </c>
      <c r="I4455" s="7">
        <v>0</v>
      </c>
      <c r="J4455" s="7">
        <v>0</v>
      </c>
      <c r="K4455" s="3">
        <f t="shared" si="162"/>
        <v>0</v>
      </c>
      <c r="L4455" s="3"/>
      <c r="M4455" s="3">
        <f t="shared" si="163"/>
        <v>0</v>
      </c>
      <c r="N4455" s="7"/>
      <c r="O4455" s="5"/>
      <c r="S4455" s="6"/>
    </row>
    <row r="4456" spans="1:19" customFormat="1" x14ac:dyDescent="0.45">
      <c r="A4456">
        <v>802057</v>
      </c>
      <c r="B4456" t="s">
        <v>24636</v>
      </c>
      <c r="C4456" t="s">
        <v>24637</v>
      </c>
      <c r="D4456">
        <v>2</v>
      </c>
      <c r="F4456" s="126"/>
      <c r="G4456" s="3">
        <v>0</v>
      </c>
      <c r="H4456" s="3">
        <v>0</v>
      </c>
      <c r="I4456" s="3">
        <v>0</v>
      </c>
      <c r="J4456" s="3">
        <v>0</v>
      </c>
      <c r="K4456" s="3">
        <f t="shared" si="162"/>
        <v>0</v>
      </c>
      <c r="L4456" s="3"/>
      <c r="M4456" s="3">
        <f t="shared" si="163"/>
        <v>0</v>
      </c>
      <c r="O4456" s="5"/>
      <c r="S4456" s="6"/>
    </row>
    <row r="4457" spans="1:19" customFormat="1" x14ac:dyDescent="0.45">
      <c r="A4457">
        <v>802267</v>
      </c>
      <c r="B4457" t="s">
        <v>24638</v>
      </c>
      <c r="C4457" t="s">
        <v>24639</v>
      </c>
      <c r="D4457">
        <v>1</v>
      </c>
      <c r="F4457" s="126"/>
      <c r="G4457" s="3">
        <v>0</v>
      </c>
      <c r="H4457" s="3">
        <v>0</v>
      </c>
      <c r="I4457" s="3">
        <v>0</v>
      </c>
      <c r="J4457" s="3">
        <v>0</v>
      </c>
      <c r="K4457" s="3">
        <f t="shared" si="162"/>
        <v>0</v>
      </c>
      <c r="L4457" s="3"/>
      <c r="M4457" s="3">
        <f t="shared" si="163"/>
        <v>0</v>
      </c>
      <c r="O4457" s="5"/>
      <c r="S4457" s="6"/>
    </row>
    <row r="4458" spans="1:19" customFormat="1" x14ac:dyDescent="0.45">
      <c r="A4458">
        <v>802286</v>
      </c>
      <c r="B4458" t="s">
        <v>24640</v>
      </c>
      <c r="C4458" t="s">
        <v>24641</v>
      </c>
      <c r="D4458">
        <v>1</v>
      </c>
      <c r="F4458" s="126"/>
      <c r="G4458" s="3"/>
      <c r="H4458" s="3"/>
      <c r="I4458" s="3"/>
      <c r="J4458" s="3"/>
      <c r="K4458" s="3">
        <f t="shared" si="162"/>
        <v>0</v>
      </c>
      <c r="L4458" s="3"/>
      <c r="M4458" s="3">
        <f t="shared" si="163"/>
        <v>0</v>
      </c>
      <c r="O4458" s="5"/>
      <c r="S4458" s="6"/>
    </row>
    <row r="4459" spans="1:19" customFormat="1" x14ac:dyDescent="0.45">
      <c r="A4459">
        <v>802331</v>
      </c>
      <c r="B4459" t="s">
        <v>24642</v>
      </c>
      <c r="C4459" t="s">
        <v>24643</v>
      </c>
      <c r="D4459">
        <v>72</v>
      </c>
      <c r="E4459" t="s">
        <v>16334</v>
      </c>
      <c r="F4459" s="126"/>
      <c r="G4459" s="3">
        <v>0</v>
      </c>
      <c r="H4459" s="3">
        <v>0</v>
      </c>
      <c r="I4459" s="3">
        <v>0</v>
      </c>
      <c r="J4459" s="3">
        <v>0</v>
      </c>
      <c r="K4459" s="3">
        <f t="shared" si="162"/>
        <v>0</v>
      </c>
      <c r="L4459" s="3"/>
      <c r="M4459" s="3">
        <f t="shared" si="163"/>
        <v>0</v>
      </c>
      <c r="O4459" s="5"/>
      <c r="S4459" s="6"/>
    </row>
    <row r="4460" spans="1:19" customFormat="1" x14ac:dyDescent="0.45">
      <c r="A4460">
        <v>802394</v>
      </c>
      <c r="B4460" t="s">
        <v>24644</v>
      </c>
      <c r="C4460" t="s">
        <v>24645</v>
      </c>
      <c r="D4460">
        <v>1</v>
      </c>
      <c r="F4460" s="126"/>
      <c r="G4460" s="7">
        <v>0</v>
      </c>
      <c r="H4460" s="7">
        <v>0</v>
      </c>
      <c r="I4460" s="7">
        <v>0</v>
      </c>
      <c r="J4460" s="7">
        <v>0</v>
      </c>
      <c r="K4460" s="3">
        <f t="shared" si="162"/>
        <v>0</v>
      </c>
      <c r="L4460" s="3"/>
      <c r="M4460" s="3">
        <f t="shared" si="163"/>
        <v>0</v>
      </c>
      <c r="O4460" s="5"/>
      <c r="S4460" s="6"/>
    </row>
    <row r="4461" spans="1:19" customFormat="1" x14ac:dyDescent="0.45">
      <c r="A4461">
        <v>803247</v>
      </c>
      <c r="B4461" t="s">
        <v>24646</v>
      </c>
      <c r="C4461" t="s">
        <v>24647</v>
      </c>
      <c r="D4461">
        <v>1</v>
      </c>
      <c r="F4461" s="126"/>
      <c r="G4461" s="3">
        <v>0</v>
      </c>
      <c r="H4461" s="3">
        <v>0</v>
      </c>
      <c r="I4461" s="3">
        <v>0</v>
      </c>
      <c r="J4461" s="3">
        <v>0</v>
      </c>
      <c r="K4461" s="3">
        <f t="shared" si="162"/>
        <v>0</v>
      </c>
      <c r="L4461" s="3"/>
      <c r="M4461" s="3">
        <f t="shared" si="163"/>
        <v>0</v>
      </c>
      <c r="O4461" s="5"/>
      <c r="S4461" s="6"/>
    </row>
    <row r="4462" spans="1:19" customFormat="1" x14ac:dyDescent="0.45">
      <c r="A4462">
        <v>803413</v>
      </c>
      <c r="B4462" t="s">
        <v>24648</v>
      </c>
      <c r="C4462" t="s">
        <v>24649</v>
      </c>
      <c r="D4462">
        <v>4</v>
      </c>
      <c r="F4462" s="126"/>
      <c r="G4462" s="7">
        <v>0</v>
      </c>
      <c r="H4462" s="7">
        <v>0</v>
      </c>
      <c r="I4462" s="7">
        <v>0</v>
      </c>
      <c r="J4462" s="7">
        <v>0</v>
      </c>
      <c r="K4462" s="3">
        <f t="shared" si="162"/>
        <v>0</v>
      </c>
      <c r="L4462" s="3"/>
      <c r="M4462" s="3">
        <f t="shared" si="163"/>
        <v>0</v>
      </c>
      <c r="O4462" s="5"/>
      <c r="S4462" s="6"/>
    </row>
    <row r="4463" spans="1:19" customFormat="1" x14ac:dyDescent="0.45">
      <c r="A4463">
        <v>803509</v>
      </c>
      <c r="B4463" t="s">
        <v>24650</v>
      </c>
      <c r="C4463" t="s">
        <v>24651</v>
      </c>
      <c r="D4463">
        <v>2</v>
      </c>
      <c r="F4463" s="126"/>
      <c r="G4463" s="3">
        <v>0</v>
      </c>
      <c r="H4463" s="3">
        <v>0</v>
      </c>
      <c r="I4463" s="3">
        <v>0</v>
      </c>
      <c r="J4463" s="3">
        <v>0</v>
      </c>
      <c r="K4463" s="3">
        <f t="shared" si="162"/>
        <v>0</v>
      </c>
      <c r="L4463" s="3"/>
      <c r="M4463" s="3">
        <f t="shared" si="163"/>
        <v>0</v>
      </c>
      <c r="O4463" s="5"/>
      <c r="S4463" s="6"/>
    </row>
    <row r="4464" spans="1:19" customFormat="1" x14ac:dyDescent="0.45">
      <c r="A4464">
        <v>803565</v>
      </c>
      <c r="B4464" t="s">
        <v>24652</v>
      </c>
      <c r="C4464" t="s">
        <v>24653</v>
      </c>
      <c r="D4464">
        <v>1</v>
      </c>
      <c r="F4464" s="126"/>
      <c r="G4464" s="3">
        <v>0</v>
      </c>
      <c r="H4464" s="3">
        <v>0</v>
      </c>
      <c r="I4464" s="3">
        <v>0</v>
      </c>
      <c r="J4464" s="3">
        <v>0</v>
      </c>
      <c r="K4464" s="3">
        <f t="shared" si="162"/>
        <v>0</v>
      </c>
      <c r="L4464" s="3"/>
      <c r="M4464" s="3">
        <f t="shared" si="163"/>
        <v>0</v>
      </c>
      <c r="O4464" s="5"/>
      <c r="S4464" s="6"/>
    </row>
    <row r="4465" spans="1:22" customFormat="1" x14ac:dyDescent="0.45">
      <c r="A4465">
        <v>803600</v>
      </c>
      <c r="B4465" t="s">
        <v>24654</v>
      </c>
      <c r="C4465" t="s">
        <v>24655</v>
      </c>
      <c r="D4465">
        <v>5</v>
      </c>
      <c r="F4465" s="126"/>
      <c r="G4465" s="3"/>
      <c r="H4465" s="3"/>
      <c r="I4465" s="3"/>
      <c r="J4465" s="3"/>
      <c r="K4465" s="3">
        <f t="shared" si="162"/>
        <v>0</v>
      </c>
      <c r="L4465" s="3"/>
      <c r="M4465" s="3">
        <f t="shared" si="163"/>
        <v>0</v>
      </c>
      <c r="O4465" s="5"/>
      <c r="S4465" s="6"/>
    </row>
    <row r="4466" spans="1:22" customFormat="1" x14ac:dyDescent="0.45">
      <c r="A4466">
        <v>803673</v>
      </c>
      <c r="B4466" t="s">
        <v>24656</v>
      </c>
      <c r="C4466" t="s">
        <v>24657</v>
      </c>
      <c r="D4466">
        <v>1</v>
      </c>
      <c r="F4466" s="126"/>
      <c r="G4466" s="7">
        <v>0</v>
      </c>
      <c r="H4466" s="7">
        <v>0</v>
      </c>
      <c r="I4466" s="7">
        <v>0</v>
      </c>
      <c r="J4466" s="7">
        <v>0</v>
      </c>
      <c r="K4466" s="3">
        <f t="shared" si="162"/>
        <v>0</v>
      </c>
      <c r="L4466" s="3"/>
      <c r="M4466" s="3">
        <f t="shared" si="163"/>
        <v>0</v>
      </c>
      <c r="N4466" s="7"/>
      <c r="O4466" s="5"/>
      <c r="S4466" s="6"/>
    </row>
    <row r="4467" spans="1:22" customFormat="1" x14ac:dyDescent="0.45">
      <c r="A4467">
        <v>804133</v>
      </c>
      <c r="B4467" t="s">
        <v>24658</v>
      </c>
      <c r="C4467" t="s">
        <v>24659</v>
      </c>
      <c r="D4467">
        <v>2</v>
      </c>
      <c r="F4467" s="126"/>
      <c r="G4467" s="3">
        <v>0</v>
      </c>
      <c r="H4467" s="3">
        <v>0</v>
      </c>
      <c r="I4467" s="3">
        <v>0</v>
      </c>
      <c r="J4467" s="3">
        <v>0</v>
      </c>
      <c r="K4467" s="3">
        <f t="shared" si="162"/>
        <v>0</v>
      </c>
      <c r="L4467" s="3"/>
      <c r="M4467" s="3">
        <f t="shared" si="163"/>
        <v>0</v>
      </c>
      <c r="O4467" s="5"/>
      <c r="S4467" s="6"/>
    </row>
    <row r="4468" spans="1:22" customFormat="1" x14ac:dyDescent="0.45">
      <c r="A4468">
        <v>804499</v>
      </c>
      <c r="B4468" t="s">
        <v>24660</v>
      </c>
      <c r="C4468" t="s">
        <v>24661</v>
      </c>
      <c r="D4468">
        <v>5</v>
      </c>
      <c r="F4468" s="126"/>
      <c r="G4468" s="3">
        <v>0</v>
      </c>
      <c r="H4468" s="3">
        <v>0</v>
      </c>
      <c r="I4468" s="3">
        <v>0</v>
      </c>
      <c r="J4468" s="3">
        <v>0</v>
      </c>
      <c r="K4468" s="3">
        <f t="shared" si="162"/>
        <v>0</v>
      </c>
      <c r="L4468" s="3"/>
      <c r="M4468" s="3">
        <f t="shared" si="163"/>
        <v>0</v>
      </c>
      <c r="O4468" s="5"/>
      <c r="S4468" s="6"/>
    </row>
    <row r="4469" spans="1:22" customFormat="1" x14ac:dyDescent="0.45">
      <c r="A4469">
        <v>804598</v>
      </c>
      <c r="B4469" t="s">
        <v>24662</v>
      </c>
      <c r="C4469" t="s">
        <v>24663</v>
      </c>
      <c r="D4469">
        <v>3</v>
      </c>
      <c r="F4469" s="126"/>
      <c r="G4469" s="3">
        <v>0</v>
      </c>
      <c r="H4469" s="3">
        <v>0</v>
      </c>
      <c r="I4469" s="3">
        <v>0</v>
      </c>
      <c r="J4469" s="3">
        <v>0</v>
      </c>
      <c r="K4469" s="3">
        <f t="shared" si="162"/>
        <v>0</v>
      </c>
      <c r="L4469" s="3"/>
      <c r="M4469" s="3">
        <f t="shared" si="163"/>
        <v>0</v>
      </c>
      <c r="O4469" s="5"/>
      <c r="S4469" s="6"/>
    </row>
    <row r="4470" spans="1:22" customFormat="1" x14ac:dyDescent="0.45">
      <c r="A4470">
        <v>804805</v>
      </c>
      <c r="B4470" t="s">
        <v>24664</v>
      </c>
      <c r="C4470" t="s">
        <v>16331</v>
      </c>
      <c r="D4470">
        <v>1</v>
      </c>
      <c r="E4470" t="s">
        <v>16331</v>
      </c>
      <c r="F4470" s="126"/>
      <c r="G4470" s="7">
        <v>0</v>
      </c>
      <c r="H4470" s="7">
        <v>0</v>
      </c>
      <c r="I4470" s="7">
        <v>0</v>
      </c>
      <c r="J4470" s="7">
        <v>0</v>
      </c>
      <c r="K4470" s="3">
        <f t="shared" si="162"/>
        <v>0</v>
      </c>
      <c r="L4470" s="3"/>
      <c r="M4470" s="3">
        <f t="shared" si="163"/>
        <v>0</v>
      </c>
      <c r="O4470" s="5"/>
      <c r="S4470" s="6"/>
    </row>
    <row r="4471" spans="1:22" customFormat="1" x14ac:dyDescent="0.45">
      <c r="A4471">
        <v>804808</v>
      </c>
      <c r="B4471" t="s">
        <v>24665</v>
      </c>
      <c r="C4471" t="s">
        <v>24666</v>
      </c>
      <c r="D4471">
        <v>1</v>
      </c>
      <c r="F4471" s="126"/>
      <c r="G4471" s="7">
        <v>0</v>
      </c>
      <c r="H4471" s="7">
        <v>0</v>
      </c>
      <c r="I4471" s="7">
        <v>0</v>
      </c>
      <c r="J4471" s="7">
        <v>0</v>
      </c>
      <c r="K4471" s="3">
        <f t="shared" si="162"/>
        <v>0</v>
      </c>
      <c r="L4471" s="3"/>
      <c r="M4471" s="3">
        <f t="shared" si="163"/>
        <v>0</v>
      </c>
      <c r="O4471" s="5"/>
      <c r="S4471" s="6"/>
    </row>
    <row r="4472" spans="1:22" customFormat="1" x14ac:dyDescent="0.45">
      <c r="A4472">
        <v>804844</v>
      </c>
      <c r="B4472" t="s">
        <v>24667</v>
      </c>
      <c r="C4472" t="s">
        <v>16331</v>
      </c>
      <c r="D4472">
        <v>2</v>
      </c>
      <c r="E4472" t="s">
        <v>16331</v>
      </c>
      <c r="F4472" s="126"/>
      <c r="G4472" s="7">
        <v>0</v>
      </c>
      <c r="H4472" s="7">
        <v>0</v>
      </c>
      <c r="I4472" s="7">
        <v>0</v>
      </c>
      <c r="J4472" s="7">
        <v>0</v>
      </c>
      <c r="K4472" s="3">
        <f t="shared" si="162"/>
        <v>0</v>
      </c>
      <c r="L4472" s="3"/>
      <c r="M4472" s="3">
        <f t="shared" si="163"/>
        <v>0</v>
      </c>
      <c r="O4472" s="5"/>
      <c r="S4472" s="6"/>
    </row>
    <row r="4473" spans="1:22" customFormat="1" x14ac:dyDescent="0.45">
      <c r="A4473">
        <v>804989</v>
      </c>
      <c r="B4473" t="s">
        <v>24668</v>
      </c>
      <c r="C4473" s="2" t="s">
        <v>24669</v>
      </c>
      <c r="D4473">
        <v>2</v>
      </c>
      <c r="F4473" s="126"/>
      <c r="G4473" s="3">
        <v>0</v>
      </c>
      <c r="H4473" s="3">
        <v>0</v>
      </c>
      <c r="I4473" s="3">
        <v>0</v>
      </c>
      <c r="J4473" s="3">
        <v>0</v>
      </c>
      <c r="K4473" s="3">
        <f t="shared" si="162"/>
        <v>0</v>
      </c>
      <c r="L4473" s="3"/>
      <c r="M4473" s="3">
        <f t="shared" si="163"/>
        <v>0</v>
      </c>
      <c r="O4473" s="5"/>
      <c r="S4473" s="6"/>
    </row>
    <row r="4474" spans="1:22" customFormat="1" x14ac:dyDescent="0.45">
      <c r="A4474">
        <v>804990</v>
      </c>
      <c r="B4474" t="s">
        <v>24670</v>
      </c>
      <c r="C4474" t="s">
        <v>16331</v>
      </c>
      <c r="D4474">
        <v>0</v>
      </c>
      <c r="E4474" t="s">
        <v>16331</v>
      </c>
      <c r="F4474" s="126"/>
      <c r="G4474" s="7">
        <v>0</v>
      </c>
      <c r="H4474" s="7">
        <v>0</v>
      </c>
      <c r="I4474" s="7">
        <v>0</v>
      </c>
      <c r="J4474" s="7">
        <v>0</v>
      </c>
      <c r="K4474" s="3">
        <f t="shared" si="162"/>
        <v>0</v>
      </c>
      <c r="L4474" s="3"/>
      <c r="M4474" s="3">
        <f t="shared" si="163"/>
        <v>0</v>
      </c>
      <c r="O4474" s="5"/>
      <c r="S4474" s="6"/>
    </row>
    <row r="4475" spans="1:22" customFormat="1" x14ac:dyDescent="0.45">
      <c r="A4475">
        <v>805089</v>
      </c>
      <c r="B4475" t="s">
        <v>24671</v>
      </c>
      <c r="C4475" t="s">
        <v>16331</v>
      </c>
      <c r="D4475">
        <v>2</v>
      </c>
      <c r="E4475" t="s">
        <v>16331</v>
      </c>
      <c r="F4475" s="126"/>
      <c r="K4475" s="3">
        <f t="shared" si="162"/>
        <v>0</v>
      </c>
      <c r="L4475" s="3"/>
      <c r="M4475" s="3">
        <f t="shared" si="163"/>
        <v>0</v>
      </c>
      <c r="O4475" s="5"/>
      <c r="S4475" s="6"/>
    </row>
    <row r="4476" spans="1:22" x14ac:dyDescent="0.45">
      <c r="A4476" s="124">
        <v>433927</v>
      </c>
      <c r="B4476" s="124" t="s">
        <v>24672</v>
      </c>
      <c r="C4476" s="124" t="s">
        <v>24673</v>
      </c>
      <c r="D4476" s="124">
        <v>37</v>
      </c>
      <c r="E4476" s="124" t="s">
        <v>16334</v>
      </c>
      <c r="F4476" s="126">
        <v>1.6999999999999999E-3</v>
      </c>
      <c r="G4476" s="126">
        <f>(1.495%+4%)/2</f>
        <v>2.7474999999999999E-2</v>
      </c>
      <c r="H4476" s="126">
        <v>0.01</v>
      </c>
      <c r="I4476" s="127"/>
      <c r="J4476" s="127"/>
      <c r="K4476" s="126">
        <f t="shared" si="162"/>
        <v>3.7475000000000001E-2</v>
      </c>
      <c r="L4476" s="3"/>
      <c r="M4476" s="126">
        <f t="shared" si="163"/>
        <v>3.9175000000000001E-2</v>
      </c>
      <c r="O4476" s="125" t="s">
        <v>24674</v>
      </c>
      <c r="P4476" s="128" t="s">
        <v>26918</v>
      </c>
      <c r="Q4476" s="130">
        <v>2823902</v>
      </c>
      <c r="R4476" s="124" t="s">
        <v>16348</v>
      </c>
      <c r="S4476" s="130">
        <v>2172235</v>
      </c>
      <c r="T4476" s="129">
        <f>S4476/Q4476</f>
        <v>0.76923172263060124</v>
      </c>
      <c r="V4476" s="125" t="s">
        <v>24675</v>
      </c>
    </row>
    <row r="4477" spans="1:22" customFormat="1" x14ac:dyDescent="0.45">
      <c r="A4477">
        <v>805570</v>
      </c>
      <c r="B4477" t="s">
        <v>24676</v>
      </c>
      <c r="C4477" t="s">
        <v>24677</v>
      </c>
      <c r="D4477">
        <v>1</v>
      </c>
      <c r="F4477" s="126"/>
      <c r="G4477" s="7">
        <v>0</v>
      </c>
      <c r="H4477" s="7">
        <v>0</v>
      </c>
      <c r="I4477" s="7">
        <v>0</v>
      </c>
      <c r="J4477" s="7">
        <v>0</v>
      </c>
      <c r="K4477" s="3">
        <f t="shared" si="162"/>
        <v>0</v>
      </c>
      <c r="L4477" s="3"/>
      <c r="M4477" s="3">
        <f t="shared" si="163"/>
        <v>0</v>
      </c>
      <c r="O4477" s="5"/>
      <c r="S4477" s="6"/>
    </row>
    <row r="4478" spans="1:22" x14ac:dyDescent="0.45">
      <c r="A4478" s="124">
        <v>805574</v>
      </c>
      <c r="B4478" s="124" t="s">
        <v>24678</v>
      </c>
      <c r="C4478" s="124" t="s">
        <v>16331</v>
      </c>
      <c r="D4478" s="124">
        <v>17</v>
      </c>
      <c r="E4478" s="124" t="s">
        <v>16417</v>
      </c>
      <c r="F4478" s="126">
        <v>1.2500000000000001E-2</v>
      </c>
      <c r="G4478" s="136"/>
      <c r="H4478" s="135">
        <v>0</v>
      </c>
      <c r="I4478" s="136">
        <f>5.75%/2</f>
        <v>2.8750000000000001E-2</v>
      </c>
      <c r="J4478" s="135">
        <v>0</v>
      </c>
      <c r="K4478" s="126">
        <f t="shared" si="162"/>
        <v>2.8750000000000001E-2</v>
      </c>
      <c r="L4478" s="3"/>
      <c r="M4478" s="126">
        <f t="shared" si="163"/>
        <v>4.1250000000000002E-2</v>
      </c>
      <c r="N4478" s="124" t="s">
        <v>16728</v>
      </c>
      <c r="O4478" s="125" t="s">
        <v>16729</v>
      </c>
      <c r="P4478" s="125" t="s">
        <v>16730</v>
      </c>
      <c r="Q4478" s="130">
        <v>684629000</v>
      </c>
      <c r="R4478" s="124" t="s">
        <v>16</v>
      </c>
      <c r="S4478" s="130">
        <v>517960000</v>
      </c>
      <c r="T4478" s="129">
        <f>Table34[[#This Row],[Total Asset]]/Table34[[#This Row],[Net Asset]]</f>
        <v>1.3217796741061085</v>
      </c>
      <c r="V4478" s="125" t="s">
        <v>16731</v>
      </c>
    </row>
    <row r="4479" spans="1:22" customFormat="1" x14ac:dyDescent="0.45">
      <c r="A4479">
        <v>806141</v>
      </c>
      <c r="B4479" t="s">
        <v>24679</v>
      </c>
      <c r="C4479" t="s">
        <v>16331</v>
      </c>
      <c r="D4479">
        <v>1</v>
      </c>
      <c r="E4479" t="s">
        <v>16331</v>
      </c>
      <c r="F4479" s="126"/>
      <c r="G4479" s="7">
        <v>0</v>
      </c>
      <c r="H4479" s="7">
        <v>0</v>
      </c>
      <c r="I4479" s="7">
        <v>0</v>
      </c>
      <c r="J4479" s="7">
        <v>0</v>
      </c>
      <c r="K4479" s="3">
        <f t="shared" si="162"/>
        <v>0</v>
      </c>
      <c r="L4479" s="3"/>
      <c r="M4479" s="3">
        <f t="shared" si="163"/>
        <v>0</v>
      </c>
      <c r="O4479" s="5"/>
      <c r="S4479" s="6"/>
    </row>
    <row r="4480" spans="1:22" customFormat="1" x14ac:dyDescent="0.45">
      <c r="A4480">
        <v>806354</v>
      </c>
      <c r="B4480" t="s">
        <v>24680</v>
      </c>
      <c r="C4480" t="s">
        <v>24681</v>
      </c>
      <c r="D4480">
        <v>5</v>
      </c>
      <c r="F4480" s="126"/>
      <c r="G4480" s="3">
        <v>0</v>
      </c>
      <c r="H4480" s="3">
        <v>0</v>
      </c>
      <c r="I4480" s="3">
        <v>0</v>
      </c>
      <c r="J4480" s="3">
        <v>0</v>
      </c>
      <c r="K4480" s="3">
        <f t="shared" si="162"/>
        <v>0</v>
      </c>
      <c r="L4480" s="3"/>
      <c r="M4480" s="3">
        <f t="shared" si="163"/>
        <v>0</v>
      </c>
      <c r="O4480" s="5"/>
      <c r="S4480" s="6"/>
    </row>
    <row r="4481" spans="1:24" customFormat="1" x14ac:dyDescent="0.45">
      <c r="A4481">
        <v>806366</v>
      </c>
      <c r="B4481" t="s">
        <v>24682</v>
      </c>
      <c r="C4481" t="s">
        <v>24683</v>
      </c>
      <c r="D4481">
        <v>2</v>
      </c>
      <c r="F4481" s="126"/>
      <c r="G4481" s="7">
        <v>0</v>
      </c>
      <c r="H4481" s="7">
        <v>0</v>
      </c>
      <c r="I4481" s="7">
        <v>0</v>
      </c>
      <c r="J4481" s="7">
        <v>0</v>
      </c>
      <c r="K4481" s="3">
        <f t="shared" si="162"/>
        <v>0</v>
      </c>
      <c r="L4481" s="3"/>
      <c r="M4481" s="3">
        <f t="shared" si="163"/>
        <v>0</v>
      </c>
      <c r="O4481" s="5"/>
      <c r="S4481" s="6"/>
    </row>
    <row r="4482" spans="1:24" customFormat="1" x14ac:dyDescent="0.45">
      <c r="A4482">
        <v>806424</v>
      </c>
      <c r="B4482" t="s">
        <v>24684</v>
      </c>
      <c r="C4482" t="s">
        <v>16331</v>
      </c>
      <c r="D4482">
        <v>1</v>
      </c>
      <c r="E4482" t="s">
        <v>16331</v>
      </c>
      <c r="F4482" s="126"/>
      <c r="K4482" s="3">
        <f t="shared" si="162"/>
        <v>0</v>
      </c>
      <c r="L4482" s="3"/>
      <c r="M4482" s="3">
        <f t="shared" si="163"/>
        <v>0</v>
      </c>
      <c r="O4482" s="5"/>
      <c r="S4482" s="6"/>
    </row>
    <row r="4483" spans="1:24" customFormat="1" x14ac:dyDescent="0.45">
      <c r="A4483">
        <v>806587</v>
      </c>
      <c r="B4483" t="s">
        <v>24685</v>
      </c>
      <c r="C4483" t="s">
        <v>24686</v>
      </c>
      <c r="D4483">
        <v>2</v>
      </c>
      <c r="F4483" s="126"/>
      <c r="G4483" s="7">
        <v>0</v>
      </c>
      <c r="H4483" s="7">
        <v>0</v>
      </c>
      <c r="I4483" s="7">
        <v>0</v>
      </c>
      <c r="J4483" s="7">
        <v>0</v>
      </c>
      <c r="K4483" s="3">
        <f t="shared" si="162"/>
        <v>0</v>
      </c>
      <c r="L4483" s="3"/>
      <c r="M4483" s="3">
        <f t="shared" si="163"/>
        <v>0</v>
      </c>
      <c r="O4483" s="5"/>
      <c r="S4483" s="6"/>
    </row>
    <row r="4484" spans="1:24" customFormat="1" x14ac:dyDescent="0.45">
      <c r="A4484">
        <v>806626</v>
      </c>
      <c r="B4484" t="s">
        <v>24687</v>
      </c>
      <c r="C4484" t="s">
        <v>16331</v>
      </c>
      <c r="D4484">
        <v>2</v>
      </c>
      <c r="E4484" t="s">
        <v>16331</v>
      </c>
      <c r="F4484" s="126"/>
      <c r="G4484" s="7">
        <v>0</v>
      </c>
      <c r="H4484" s="7">
        <v>0</v>
      </c>
      <c r="I4484" s="7">
        <v>0</v>
      </c>
      <c r="J4484" s="7">
        <v>0</v>
      </c>
      <c r="K4484" s="3">
        <f t="shared" si="162"/>
        <v>0</v>
      </c>
      <c r="L4484" s="3"/>
      <c r="M4484" s="3">
        <f t="shared" si="163"/>
        <v>0</v>
      </c>
      <c r="O4484" s="5"/>
      <c r="S4484" s="6"/>
    </row>
    <row r="4485" spans="1:24" x14ac:dyDescent="0.45">
      <c r="A4485" s="124">
        <v>662544</v>
      </c>
      <c r="B4485" s="124" t="s">
        <v>24688</v>
      </c>
      <c r="C4485" s="124" t="s">
        <v>24689</v>
      </c>
      <c r="D4485" s="124">
        <v>2</v>
      </c>
      <c r="E4485" s="124" t="s">
        <v>16334</v>
      </c>
      <c r="F4485" s="126">
        <v>1.6999999999999999E-3</v>
      </c>
      <c r="G4485" s="126"/>
      <c r="H4485" s="126">
        <v>7.4999999999999997E-3</v>
      </c>
      <c r="I4485" s="126"/>
      <c r="J4485" s="126"/>
      <c r="K4485" s="127">
        <f t="shared" si="162"/>
        <v>7.4999999999999997E-3</v>
      </c>
      <c r="L4485" s="4"/>
      <c r="M4485" s="126">
        <f t="shared" si="163"/>
        <v>9.1999999999999998E-3</v>
      </c>
      <c r="N4485" s="124" t="s">
        <v>24690</v>
      </c>
      <c r="O4485" s="125" t="s">
        <v>24691</v>
      </c>
      <c r="P4485" s="128" t="s">
        <v>26918</v>
      </c>
      <c r="Q4485" s="132">
        <f>S4485+276521</f>
        <v>563279</v>
      </c>
      <c r="R4485" s="124" t="s">
        <v>16348</v>
      </c>
      <c r="S4485" s="132">
        <v>286758</v>
      </c>
      <c r="T4485" s="129">
        <f>S4485/Q4485</f>
        <v>0.50908697111023138</v>
      </c>
      <c r="V4485" s="125" t="s">
        <v>24692</v>
      </c>
      <c r="X4485" s="124" t="s">
        <v>17089</v>
      </c>
    </row>
    <row r="4486" spans="1:24" customFormat="1" x14ac:dyDescent="0.45">
      <c r="A4486">
        <v>806852</v>
      </c>
      <c r="B4486" t="s">
        <v>24693</v>
      </c>
      <c r="C4486" t="s">
        <v>24694</v>
      </c>
      <c r="D4486">
        <v>0</v>
      </c>
      <c r="E4486" t="s">
        <v>16561</v>
      </c>
      <c r="F4486" s="126"/>
      <c r="G4486" s="7">
        <v>0</v>
      </c>
      <c r="H4486" s="7">
        <v>0</v>
      </c>
      <c r="I4486" s="7">
        <v>0</v>
      </c>
      <c r="J4486" s="7">
        <v>0</v>
      </c>
      <c r="K4486" s="3">
        <f t="shared" si="162"/>
        <v>0</v>
      </c>
      <c r="L4486" s="3"/>
      <c r="M4486" s="3">
        <f t="shared" si="163"/>
        <v>0</v>
      </c>
      <c r="N4486" s="7"/>
      <c r="O4486" s="5"/>
      <c r="S4486" s="6"/>
    </row>
    <row r="4487" spans="1:24" customFormat="1" x14ac:dyDescent="0.45">
      <c r="A4487">
        <v>807084</v>
      </c>
      <c r="B4487" t="s">
        <v>24695</v>
      </c>
      <c r="C4487" t="s">
        <v>16331</v>
      </c>
      <c r="D4487">
        <v>4</v>
      </c>
      <c r="E4487" t="s">
        <v>16331</v>
      </c>
      <c r="F4487" s="126"/>
      <c r="G4487" s="7">
        <v>0</v>
      </c>
      <c r="H4487" s="7">
        <v>0</v>
      </c>
      <c r="I4487" s="7">
        <v>0</v>
      </c>
      <c r="J4487" s="7">
        <v>0</v>
      </c>
      <c r="K4487" s="3">
        <f t="shared" ref="K4487:K4550" si="164">SUM(G4487:J4487)</f>
        <v>0</v>
      </c>
      <c r="L4487" s="3"/>
      <c r="M4487" s="3">
        <f t="shared" ref="M4487:M4550" si="165">K4487+F4487</f>
        <v>0</v>
      </c>
      <c r="O4487" s="5"/>
      <c r="S4487" s="6"/>
    </row>
    <row r="4488" spans="1:24" customFormat="1" x14ac:dyDescent="0.45">
      <c r="A4488">
        <v>807219</v>
      </c>
      <c r="B4488" t="s">
        <v>24696</v>
      </c>
      <c r="C4488" t="s">
        <v>24697</v>
      </c>
      <c r="D4488">
        <v>1</v>
      </c>
      <c r="F4488" s="126"/>
      <c r="G4488" s="7">
        <v>0</v>
      </c>
      <c r="H4488" s="7">
        <v>0</v>
      </c>
      <c r="I4488" s="7">
        <v>0</v>
      </c>
      <c r="J4488" s="7">
        <v>0</v>
      </c>
      <c r="K4488" s="3">
        <f t="shared" si="164"/>
        <v>0</v>
      </c>
      <c r="L4488" s="3"/>
      <c r="M4488" s="3">
        <f t="shared" si="165"/>
        <v>0</v>
      </c>
      <c r="N4488" s="7"/>
      <c r="O4488" s="5"/>
      <c r="S4488" s="6"/>
    </row>
    <row r="4489" spans="1:24" customFormat="1" x14ac:dyDescent="0.45">
      <c r="A4489">
        <v>807261</v>
      </c>
      <c r="B4489" t="s">
        <v>24698</v>
      </c>
      <c r="C4489" t="s">
        <v>24699</v>
      </c>
      <c r="D4489">
        <v>1</v>
      </c>
      <c r="F4489" s="126"/>
      <c r="G4489" s="3">
        <v>0</v>
      </c>
      <c r="H4489" s="3">
        <v>0</v>
      </c>
      <c r="I4489" s="3">
        <v>0</v>
      </c>
      <c r="J4489" s="3">
        <v>0</v>
      </c>
      <c r="K4489" s="3">
        <f t="shared" si="164"/>
        <v>0</v>
      </c>
      <c r="L4489" s="3"/>
      <c r="M4489" s="3">
        <f t="shared" si="165"/>
        <v>0</v>
      </c>
      <c r="O4489" s="5"/>
      <c r="S4489" s="6"/>
    </row>
    <row r="4490" spans="1:24" customFormat="1" x14ac:dyDescent="0.45">
      <c r="A4490">
        <v>807276</v>
      </c>
      <c r="B4490" t="s">
        <v>24700</v>
      </c>
      <c r="C4490" t="s">
        <v>24701</v>
      </c>
      <c r="D4490">
        <v>0</v>
      </c>
      <c r="E4490" t="s">
        <v>16561</v>
      </c>
      <c r="F4490" s="126"/>
      <c r="G4490" s="3">
        <v>0</v>
      </c>
      <c r="H4490" s="3">
        <v>0</v>
      </c>
      <c r="I4490" s="3">
        <v>0</v>
      </c>
      <c r="J4490" s="3">
        <v>0</v>
      </c>
      <c r="K4490" s="3">
        <f t="shared" si="164"/>
        <v>0</v>
      </c>
      <c r="L4490" s="3"/>
      <c r="M4490" s="3">
        <f t="shared" si="165"/>
        <v>0</v>
      </c>
      <c r="O4490" s="5"/>
      <c r="S4490" s="6"/>
    </row>
    <row r="4491" spans="1:24" customFormat="1" x14ac:dyDescent="0.45">
      <c r="A4491">
        <v>807518</v>
      </c>
      <c r="B4491" t="s">
        <v>24702</v>
      </c>
      <c r="C4491" t="s">
        <v>24703</v>
      </c>
      <c r="D4491">
        <v>1</v>
      </c>
      <c r="F4491" s="126"/>
      <c r="G4491" s="3">
        <v>0</v>
      </c>
      <c r="H4491" s="3">
        <v>0</v>
      </c>
      <c r="I4491" s="3">
        <v>0</v>
      </c>
      <c r="J4491" s="3">
        <v>0</v>
      </c>
      <c r="K4491" s="3">
        <f t="shared" si="164"/>
        <v>0</v>
      </c>
      <c r="L4491" s="3"/>
      <c r="M4491" s="3">
        <f t="shared" si="165"/>
        <v>0</v>
      </c>
      <c r="O4491" s="5"/>
      <c r="S4491" s="6"/>
    </row>
    <row r="4492" spans="1:24" customFormat="1" x14ac:dyDescent="0.45">
      <c r="A4492">
        <v>807536</v>
      </c>
      <c r="B4492" t="s">
        <v>24704</v>
      </c>
      <c r="C4492" t="s">
        <v>24705</v>
      </c>
      <c r="D4492">
        <v>2</v>
      </c>
      <c r="F4492" s="126"/>
      <c r="G4492" s="3">
        <v>0</v>
      </c>
      <c r="H4492" s="3">
        <v>0</v>
      </c>
      <c r="I4492" s="3">
        <v>0</v>
      </c>
      <c r="J4492" s="3">
        <v>0</v>
      </c>
      <c r="K4492" s="3">
        <f t="shared" si="164"/>
        <v>0</v>
      </c>
      <c r="L4492" s="3"/>
      <c r="M4492" s="3">
        <f t="shared" si="165"/>
        <v>0</v>
      </c>
      <c r="O4492" s="5"/>
      <c r="S4492" s="6"/>
    </row>
    <row r="4493" spans="1:24" customFormat="1" x14ac:dyDescent="0.45">
      <c r="A4493">
        <v>807598</v>
      </c>
      <c r="B4493" t="s">
        <v>24706</v>
      </c>
      <c r="C4493" t="s">
        <v>16331</v>
      </c>
      <c r="D4493">
        <v>2</v>
      </c>
      <c r="E4493" t="s">
        <v>16331</v>
      </c>
      <c r="F4493" s="126"/>
      <c r="K4493" s="3">
        <f t="shared" si="164"/>
        <v>0</v>
      </c>
      <c r="L4493" s="3"/>
      <c r="M4493" s="3">
        <f t="shared" si="165"/>
        <v>0</v>
      </c>
      <c r="O4493" s="5"/>
      <c r="S4493" s="6"/>
    </row>
    <row r="4494" spans="1:24" customFormat="1" x14ac:dyDescent="0.45">
      <c r="A4494">
        <v>807675</v>
      </c>
      <c r="B4494" t="s">
        <v>24707</v>
      </c>
      <c r="C4494" t="s">
        <v>24708</v>
      </c>
      <c r="D4494">
        <v>2</v>
      </c>
      <c r="F4494" s="126"/>
      <c r="G4494" s="3">
        <v>0</v>
      </c>
      <c r="H4494" s="3">
        <v>0</v>
      </c>
      <c r="I4494" s="3">
        <v>0</v>
      </c>
      <c r="J4494" s="3">
        <v>0</v>
      </c>
      <c r="K4494" s="3">
        <f t="shared" si="164"/>
        <v>0</v>
      </c>
      <c r="L4494" s="3"/>
      <c r="M4494" s="3">
        <f t="shared" si="165"/>
        <v>0</v>
      </c>
      <c r="O4494" s="5"/>
      <c r="S4494" s="6"/>
    </row>
    <row r="4495" spans="1:24" customFormat="1" x14ac:dyDescent="0.45">
      <c r="A4495">
        <v>807865</v>
      </c>
      <c r="B4495" t="s">
        <v>24709</v>
      </c>
      <c r="C4495" t="s">
        <v>16331</v>
      </c>
      <c r="D4495">
        <v>1</v>
      </c>
      <c r="E4495" t="s">
        <v>16331</v>
      </c>
      <c r="F4495" s="126"/>
      <c r="G4495" s="7">
        <v>0</v>
      </c>
      <c r="H4495" s="7">
        <v>0</v>
      </c>
      <c r="I4495" s="7">
        <v>0</v>
      </c>
      <c r="J4495" s="7">
        <v>0</v>
      </c>
      <c r="K4495" s="3">
        <f t="shared" si="164"/>
        <v>0</v>
      </c>
      <c r="L4495" s="3"/>
      <c r="M4495" s="3">
        <f t="shared" si="165"/>
        <v>0</v>
      </c>
      <c r="O4495" s="5"/>
      <c r="S4495" s="6"/>
    </row>
    <row r="4496" spans="1:24" customFormat="1" x14ac:dyDescent="0.45">
      <c r="A4496">
        <v>807947</v>
      </c>
      <c r="B4496" t="s">
        <v>24710</v>
      </c>
      <c r="C4496" t="s">
        <v>24711</v>
      </c>
      <c r="D4496">
        <v>1</v>
      </c>
      <c r="F4496" s="126"/>
      <c r="G4496" s="7">
        <v>0</v>
      </c>
      <c r="H4496" s="7">
        <v>0</v>
      </c>
      <c r="I4496" s="7">
        <v>0</v>
      </c>
      <c r="J4496" s="7">
        <v>0</v>
      </c>
      <c r="K4496" s="3">
        <f t="shared" si="164"/>
        <v>0</v>
      </c>
      <c r="L4496" s="3"/>
      <c r="M4496" s="3">
        <f t="shared" si="165"/>
        <v>0</v>
      </c>
      <c r="O4496" s="5"/>
      <c r="S4496" s="6"/>
    </row>
    <row r="4497" spans="1:19" customFormat="1" x14ac:dyDescent="0.45">
      <c r="A4497">
        <v>808678</v>
      </c>
      <c r="B4497" t="s">
        <v>24712</v>
      </c>
      <c r="C4497" t="s">
        <v>24713</v>
      </c>
      <c r="D4497">
        <v>2</v>
      </c>
      <c r="F4497" s="126"/>
      <c r="G4497" s="7">
        <v>0</v>
      </c>
      <c r="H4497" s="7">
        <v>0</v>
      </c>
      <c r="I4497" s="7">
        <v>0</v>
      </c>
      <c r="J4497" s="7">
        <v>0</v>
      </c>
      <c r="K4497" s="3">
        <f t="shared" si="164"/>
        <v>0</v>
      </c>
      <c r="L4497" s="3"/>
      <c r="M4497" s="3">
        <f t="shared" si="165"/>
        <v>0</v>
      </c>
      <c r="O4497" s="5"/>
      <c r="S4497" s="6"/>
    </row>
    <row r="4498" spans="1:19" customFormat="1" x14ac:dyDescent="0.45">
      <c r="A4498">
        <v>809003</v>
      </c>
      <c r="B4498" t="s">
        <v>24714</v>
      </c>
      <c r="C4498" t="s">
        <v>24715</v>
      </c>
      <c r="D4498">
        <v>1</v>
      </c>
      <c r="F4498" s="126"/>
      <c r="G4498" s="3">
        <v>0</v>
      </c>
      <c r="H4498" s="3">
        <v>0</v>
      </c>
      <c r="I4498" s="3">
        <v>0</v>
      </c>
      <c r="J4498" s="3">
        <v>0</v>
      </c>
      <c r="K4498" s="3">
        <f t="shared" si="164"/>
        <v>0</v>
      </c>
      <c r="L4498" s="3"/>
      <c r="M4498" s="3">
        <f t="shared" si="165"/>
        <v>0</v>
      </c>
      <c r="O4498" s="5"/>
      <c r="S4498" s="6"/>
    </row>
    <row r="4499" spans="1:19" customFormat="1" x14ac:dyDescent="0.45">
      <c r="A4499">
        <v>809017</v>
      </c>
      <c r="B4499" t="s">
        <v>24716</v>
      </c>
      <c r="C4499" t="s">
        <v>24717</v>
      </c>
      <c r="D4499">
        <v>1</v>
      </c>
      <c r="F4499" s="126"/>
      <c r="G4499" s="7">
        <v>0</v>
      </c>
      <c r="H4499" s="7">
        <v>0</v>
      </c>
      <c r="I4499" s="7">
        <v>0</v>
      </c>
      <c r="J4499" s="7">
        <v>0</v>
      </c>
      <c r="K4499" s="3">
        <f t="shared" si="164"/>
        <v>0</v>
      </c>
      <c r="L4499" s="3"/>
      <c r="M4499" s="3">
        <f t="shared" si="165"/>
        <v>0</v>
      </c>
      <c r="O4499" s="5"/>
      <c r="S4499" s="6"/>
    </row>
    <row r="4500" spans="1:19" customFormat="1" x14ac:dyDescent="0.45">
      <c r="A4500">
        <v>809084</v>
      </c>
      <c r="B4500" t="s">
        <v>24718</v>
      </c>
      <c r="C4500" t="s">
        <v>24719</v>
      </c>
      <c r="D4500">
        <v>0</v>
      </c>
      <c r="E4500" t="s">
        <v>16561</v>
      </c>
      <c r="F4500" s="126"/>
      <c r="G4500" s="7">
        <v>0</v>
      </c>
      <c r="H4500" s="7">
        <v>0</v>
      </c>
      <c r="I4500" s="7">
        <v>0</v>
      </c>
      <c r="J4500" s="7">
        <v>0</v>
      </c>
      <c r="K4500" s="3">
        <f t="shared" si="164"/>
        <v>0</v>
      </c>
      <c r="L4500" s="3"/>
      <c r="M4500" s="3">
        <f t="shared" si="165"/>
        <v>0</v>
      </c>
      <c r="N4500" s="7"/>
      <c r="O4500" s="5"/>
      <c r="S4500" s="6"/>
    </row>
    <row r="4501" spans="1:19" customFormat="1" x14ac:dyDescent="0.45">
      <c r="A4501">
        <v>809126</v>
      </c>
      <c r="B4501" t="s">
        <v>24720</v>
      </c>
      <c r="C4501" t="s">
        <v>16331</v>
      </c>
      <c r="D4501">
        <v>1</v>
      </c>
      <c r="E4501" t="s">
        <v>16331</v>
      </c>
      <c r="F4501" s="126"/>
      <c r="K4501" s="3">
        <f t="shared" si="164"/>
        <v>0</v>
      </c>
      <c r="L4501" s="3"/>
      <c r="M4501" s="3">
        <f t="shared" si="165"/>
        <v>0</v>
      </c>
      <c r="O4501" s="5"/>
      <c r="S4501" s="6"/>
    </row>
    <row r="4502" spans="1:19" customFormat="1" x14ac:dyDescent="0.45">
      <c r="A4502">
        <v>809192</v>
      </c>
      <c r="B4502" t="s">
        <v>24721</v>
      </c>
      <c r="C4502" t="s">
        <v>16331</v>
      </c>
      <c r="D4502">
        <v>2</v>
      </c>
      <c r="E4502" t="s">
        <v>16331</v>
      </c>
      <c r="F4502" s="126"/>
      <c r="J4502">
        <v>0</v>
      </c>
      <c r="K4502" s="3">
        <f t="shared" si="164"/>
        <v>0</v>
      </c>
      <c r="L4502" s="3"/>
      <c r="M4502" s="3">
        <f t="shared" si="165"/>
        <v>0</v>
      </c>
      <c r="O4502" s="5"/>
      <c r="S4502" s="6"/>
    </row>
    <row r="4503" spans="1:19" customFormat="1" x14ac:dyDescent="0.45">
      <c r="A4503">
        <v>809204</v>
      </c>
      <c r="B4503" t="s">
        <v>24722</v>
      </c>
      <c r="C4503" t="s">
        <v>16331</v>
      </c>
      <c r="D4503">
        <v>4</v>
      </c>
      <c r="E4503" t="s">
        <v>16331</v>
      </c>
      <c r="F4503" s="126"/>
      <c r="G4503" s="7">
        <v>0</v>
      </c>
      <c r="H4503" s="7">
        <v>0</v>
      </c>
      <c r="I4503" s="7">
        <v>0</v>
      </c>
      <c r="J4503" s="7">
        <v>0</v>
      </c>
      <c r="K4503" s="3">
        <f t="shared" si="164"/>
        <v>0</v>
      </c>
      <c r="L4503" s="3"/>
      <c r="M4503" s="3">
        <f t="shared" si="165"/>
        <v>0</v>
      </c>
      <c r="O4503" s="5"/>
      <c r="S4503" s="6"/>
    </row>
    <row r="4504" spans="1:19" customFormat="1" x14ac:dyDescent="0.45">
      <c r="A4504">
        <v>809231</v>
      </c>
      <c r="B4504" t="s">
        <v>24723</v>
      </c>
      <c r="C4504" t="s">
        <v>24724</v>
      </c>
      <c r="D4504">
        <v>1</v>
      </c>
      <c r="F4504" s="126"/>
      <c r="G4504" s="3">
        <v>0</v>
      </c>
      <c r="H4504" s="3">
        <v>0</v>
      </c>
      <c r="I4504" s="3">
        <v>0</v>
      </c>
      <c r="J4504" s="3">
        <v>0</v>
      </c>
      <c r="K4504" s="3">
        <f t="shared" si="164"/>
        <v>0</v>
      </c>
      <c r="L4504" s="3"/>
      <c r="M4504" s="3">
        <f t="shared" si="165"/>
        <v>0</v>
      </c>
      <c r="O4504" s="5"/>
      <c r="S4504" s="6"/>
    </row>
    <row r="4505" spans="1:19" customFormat="1" x14ac:dyDescent="0.45">
      <c r="A4505">
        <v>809391</v>
      </c>
      <c r="B4505" t="s">
        <v>24725</v>
      </c>
      <c r="C4505" t="s">
        <v>24726</v>
      </c>
      <c r="D4505">
        <v>2</v>
      </c>
      <c r="F4505" s="126"/>
      <c r="G4505" s="3">
        <v>0</v>
      </c>
      <c r="H4505" s="3">
        <v>0</v>
      </c>
      <c r="I4505" s="3">
        <v>0</v>
      </c>
      <c r="J4505" s="3">
        <v>0</v>
      </c>
      <c r="K4505" s="3">
        <f t="shared" si="164"/>
        <v>0</v>
      </c>
      <c r="L4505" s="3"/>
      <c r="M4505" s="3">
        <f t="shared" si="165"/>
        <v>0</v>
      </c>
      <c r="O4505" s="5"/>
      <c r="S4505" s="6"/>
    </row>
    <row r="4506" spans="1:19" customFormat="1" x14ac:dyDescent="0.45">
      <c r="A4506">
        <v>809401</v>
      </c>
      <c r="B4506" t="s">
        <v>24727</v>
      </c>
      <c r="C4506" t="s">
        <v>24728</v>
      </c>
      <c r="D4506">
        <v>1</v>
      </c>
      <c r="F4506" s="126"/>
      <c r="G4506" s="3"/>
      <c r="H4506" s="3"/>
      <c r="I4506" s="3"/>
      <c r="J4506" s="3"/>
      <c r="K4506" s="3">
        <f t="shared" si="164"/>
        <v>0</v>
      </c>
      <c r="L4506" s="3"/>
      <c r="M4506" s="3">
        <f t="shared" si="165"/>
        <v>0</v>
      </c>
      <c r="O4506" s="5"/>
      <c r="S4506" s="6"/>
    </row>
    <row r="4507" spans="1:19" customFormat="1" x14ac:dyDescent="0.45">
      <c r="A4507">
        <v>809690</v>
      </c>
      <c r="B4507" t="s">
        <v>24729</v>
      </c>
      <c r="C4507" t="s">
        <v>16331</v>
      </c>
      <c r="D4507">
        <v>1</v>
      </c>
      <c r="E4507" t="s">
        <v>16331</v>
      </c>
      <c r="F4507" s="126"/>
      <c r="G4507" s="7">
        <v>0</v>
      </c>
      <c r="H4507" s="7">
        <v>0</v>
      </c>
      <c r="I4507" s="7">
        <v>0</v>
      </c>
      <c r="J4507" s="7">
        <v>0</v>
      </c>
      <c r="K4507" s="3">
        <f t="shared" si="164"/>
        <v>0</v>
      </c>
      <c r="L4507" s="3"/>
      <c r="M4507" s="3">
        <f t="shared" si="165"/>
        <v>0</v>
      </c>
      <c r="O4507" s="5"/>
      <c r="S4507" s="6"/>
    </row>
    <row r="4508" spans="1:19" customFormat="1" x14ac:dyDescent="0.45">
      <c r="A4508">
        <v>809874</v>
      </c>
      <c r="B4508" t="s">
        <v>24730</v>
      </c>
      <c r="C4508" t="s">
        <v>24731</v>
      </c>
      <c r="D4508">
        <v>2</v>
      </c>
      <c r="F4508" s="126"/>
      <c r="G4508" s="7">
        <v>0</v>
      </c>
      <c r="H4508" s="7">
        <v>0</v>
      </c>
      <c r="I4508" s="7">
        <v>0</v>
      </c>
      <c r="J4508" s="7">
        <v>0</v>
      </c>
      <c r="K4508" s="3">
        <f t="shared" si="164"/>
        <v>0</v>
      </c>
      <c r="L4508" s="3"/>
      <c r="M4508" s="3">
        <f t="shared" si="165"/>
        <v>0</v>
      </c>
      <c r="N4508" s="7"/>
      <c r="O4508" s="5"/>
      <c r="S4508" s="6"/>
    </row>
    <row r="4509" spans="1:19" customFormat="1" x14ac:dyDescent="0.45">
      <c r="A4509">
        <v>809956</v>
      </c>
      <c r="B4509" t="s">
        <v>24732</v>
      </c>
      <c r="C4509" t="s">
        <v>24733</v>
      </c>
      <c r="D4509">
        <v>2</v>
      </c>
      <c r="F4509" s="126"/>
      <c r="G4509" s="3">
        <v>0</v>
      </c>
      <c r="H4509" s="3">
        <v>0</v>
      </c>
      <c r="I4509" s="3">
        <v>0</v>
      </c>
      <c r="J4509" s="3">
        <v>0</v>
      </c>
      <c r="K4509" s="3">
        <f t="shared" si="164"/>
        <v>0</v>
      </c>
      <c r="L4509" s="3"/>
      <c r="M4509" s="3">
        <f t="shared" si="165"/>
        <v>0</v>
      </c>
      <c r="O4509" s="5"/>
      <c r="S4509" s="6"/>
    </row>
    <row r="4510" spans="1:19" customFormat="1" x14ac:dyDescent="0.45">
      <c r="A4510">
        <v>810027</v>
      </c>
      <c r="B4510" t="s">
        <v>24734</v>
      </c>
      <c r="C4510" t="s">
        <v>24735</v>
      </c>
      <c r="D4510">
        <v>7</v>
      </c>
      <c r="F4510" s="126"/>
      <c r="G4510" s="7">
        <v>0</v>
      </c>
      <c r="H4510" s="7">
        <v>0</v>
      </c>
      <c r="I4510" s="7">
        <v>0</v>
      </c>
      <c r="J4510" s="7">
        <v>0</v>
      </c>
      <c r="K4510" s="3">
        <f t="shared" si="164"/>
        <v>0</v>
      </c>
      <c r="L4510" s="3"/>
      <c r="M4510" s="3">
        <f t="shared" si="165"/>
        <v>0</v>
      </c>
      <c r="O4510" s="5"/>
      <c r="S4510" s="6"/>
    </row>
    <row r="4511" spans="1:19" customFormat="1" x14ac:dyDescent="0.45">
      <c r="A4511">
        <v>810056</v>
      </c>
      <c r="B4511" t="s">
        <v>24736</v>
      </c>
      <c r="C4511" t="s">
        <v>19200</v>
      </c>
      <c r="D4511">
        <v>3</v>
      </c>
      <c r="F4511" s="126"/>
      <c r="G4511" s="3">
        <v>0</v>
      </c>
      <c r="H4511" s="3">
        <v>0</v>
      </c>
      <c r="I4511" s="3">
        <v>0</v>
      </c>
      <c r="J4511" s="3">
        <v>0</v>
      </c>
      <c r="K4511" s="3">
        <f t="shared" si="164"/>
        <v>0</v>
      </c>
      <c r="L4511" s="3"/>
      <c r="M4511" s="3">
        <f t="shared" si="165"/>
        <v>0</v>
      </c>
      <c r="O4511" s="5"/>
      <c r="S4511" s="6"/>
    </row>
    <row r="4512" spans="1:19" customFormat="1" x14ac:dyDescent="0.45">
      <c r="A4512">
        <v>810083</v>
      </c>
      <c r="B4512" t="s">
        <v>24737</v>
      </c>
      <c r="C4512" t="s">
        <v>17013</v>
      </c>
      <c r="D4512">
        <v>8</v>
      </c>
      <c r="F4512" s="126"/>
      <c r="G4512" s="7">
        <v>0</v>
      </c>
      <c r="H4512" s="7">
        <v>0</v>
      </c>
      <c r="I4512" s="7">
        <v>0</v>
      </c>
      <c r="J4512" s="7">
        <v>0</v>
      </c>
      <c r="K4512" s="3">
        <f t="shared" si="164"/>
        <v>0</v>
      </c>
      <c r="L4512" s="3"/>
      <c r="M4512" s="3">
        <f t="shared" si="165"/>
        <v>0</v>
      </c>
      <c r="N4512" s="7"/>
      <c r="O4512" s="5"/>
      <c r="S4512" s="6"/>
    </row>
    <row r="4513" spans="1:19" customFormat="1" x14ac:dyDescent="0.45">
      <c r="A4513">
        <v>810372</v>
      </c>
      <c r="B4513" t="s">
        <v>24738</v>
      </c>
      <c r="C4513" t="s">
        <v>24739</v>
      </c>
      <c r="D4513">
        <v>1</v>
      </c>
      <c r="F4513" s="126"/>
      <c r="G4513" s="3">
        <v>0</v>
      </c>
      <c r="H4513" s="3">
        <v>0</v>
      </c>
      <c r="I4513" s="3">
        <v>0</v>
      </c>
      <c r="J4513" s="3">
        <v>0</v>
      </c>
      <c r="K4513" s="3">
        <f t="shared" si="164"/>
        <v>0</v>
      </c>
      <c r="L4513" s="3"/>
      <c r="M4513" s="3">
        <f t="shared" si="165"/>
        <v>0</v>
      </c>
      <c r="O4513" s="5"/>
      <c r="S4513" s="6"/>
    </row>
    <row r="4514" spans="1:19" customFormat="1" x14ac:dyDescent="0.45">
      <c r="A4514">
        <v>810374</v>
      </c>
      <c r="B4514" t="s">
        <v>24740</v>
      </c>
      <c r="C4514" t="s">
        <v>24741</v>
      </c>
      <c r="D4514">
        <v>2</v>
      </c>
      <c r="F4514" s="126"/>
      <c r="G4514" s="3">
        <v>0</v>
      </c>
      <c r="H4514" s="3">
        <v>0</v>
      </c>
      <c r="I4514" s="3">
        <v>0</v>
      </c>
      <c r="J4514" s="3">
        <v>0</v>
      </c>
      <c r="K4514" s="3">
        <f t="shared" si="164"/>
        <v>0</v>
      </c>
      <c r="L4514" s="3"/>
      <c r="M4514" s="3">
        <f t="shared" si="165"/>
        <v>0</v>
      </c>
      <c r="O4514" s="5"/>
      <c r="S4514" s="6"/>
    </row>
    <row r="4515" spans="1:19" customFormat="1" x14ac:dyDescent="0.45">
      <c r="A4515">
        <v>810623</v>
      </c>
      <c r="B4515" t="s">
        <v>24742</v>
      </c>
      <c r="C4515" t="s">
        <v>16331</v>
      </c>
      <c r="D4515">
        <v>1</v>
      </c>
      <c r="E4515" t="s">
        <v>16331</v>
      </c>
      <c r="F4515" s="126"/>
      <c r="G4515" s="7">
        <v>0</v>
      </c>
      <c r="H4515" s="7">
        <v>0</v>
      </c>
      <c r="I4515" s="7">
        <v>0</v>
      </c>
      <c r="J4515" s="7">
        <v>0</v>
      </c>
      <c r="K4515" s="3">
        <f t="shared" si="164"/>
        <v>0</v>
      </c>
      <c r="L4515" s="3"/>
      <c r="M4515" s="3">
        <f t="shared" si="165"/>
        <v>0</v>
      </c>
      <c r="O4515" s="5"/>
      <c r="S4515" s="6"/>
    </row>
    <row r="4516" spans="1:19" customFormat="1" x14ac:dyDescent="0.45">
      <c r="A4516">
        <v>810649</v>
      </c>
      <c r="B4516" t="s">
        <v>24743</v>
      </c>
      <c r="C4516" t="s">
        <v>16331</v>
      </c>
      <c r="D4516">
        <v>1</v>
      </c>
      <c r="E4516" t="s">
        <v>16331</v>
      </c>
      <c r="F4516" s="126"/>
      <c r="G4516" s="7">
        <v>0</v>
      </c>
      <c r="H4516" s="7">
        <v>0</v>
      </c>
      <c r="I4516" s="7">
        <v>0</v>
      </c>
      <c r="J4516" s="7">
        <v>0</v>
      </c>
      <c r="K4516" s="3">
        <f t="shared" si="164"/>
        <v>0</v>
      </c>
      <c r="L4516" s="3"/>
      <c r="M4516" s="3">
        <f t="shared" si="165"/>
        <v>0</v>
      </c>
      <c r="O4516" s="5"/>
      <c r="S4516" s="6"/>
    </row>
    <row r="4517" spans="1:19" customFormat="1" x14ac:dyDescent="0.45">
      <c r="A4517">
        <v>810652</v>
      </c>
      <c r="B4517" t="s">
        <v>24744</v>
      </c>
      <c r="C4517" t="s">
        <v>24745</v>
      </c>
      <c r="D4517">
        <v>0</v>
      </c>
      <c r="E4517" t="s">
        <v>16334</v>
      </c>
      <c r="F4517" s="126"/>
      <c r="G4517" s="3">
        <v>0</v>
      </c>
      <c r="H4517" s="3">
        <v>0</v>
      </c>
      <c r="I4517" s="3">
        <v>0</v>
      </c>
      <c r="J4517" s="3">
        <v>0</v>
      </c>
      <c r="K4517" s="3">
        <f t="shared" si="164"/>
        <v>0</v>
      </c>
      <c r="L4517" s="3"/>
      <c r="M4517" s="3">
        <f t="shared" si="165"/>
        <v>0</v>
      </c>
      <c r="O4517" s="5"/>
      <c r="S4517" s="6"/>
    </row>
    <row r="4518" spans="1:19" customFormat="1" x14ac:dyDescent="0.45">
      <c r="A4518">
        <v>810836</v>
      </c>
      <c r="B4518" t="s">
        <v>24746</v>
      </c>
      <c r="C4518" t="s">
        <v>24747</v>
      </c>
      <c r="D4518">
        <v>1</v>
      </c>
      <c r="F4518" s="126"/>
      <c r="G4518" s="7">
        <v>0</v>
      </c>
      <c r="H4518" s="7">
        <v>0</v>
      </c>
      <c r="I4518" s="7">
        <v>0</v>
      </c>
      <c r="J4518" s="7">
        <v>0</v>
      </c>
      <c r="K4518" s="3">
        <f t="shared" si="164"/>
        <v>0</v>
      </c>
      <c r="L4518" s="3"/>
      <c r="M4518" s="3">
        <f t="shared" si="165"/>
        <v>0</v>
      </c>
      <c r="O4518" s="5"/>
      <c r="S4518" s="6"/>
    </row>
    <row r="4519" spans="1:19" customFormat="1" x14ac:dyDescent="0.45">
      <c r="A4519">
        <v>810879</v>
      </c>
      <c r="B4519" t="s">
        <v>24748</v>
      </c>
      <c r="C4519" t="s">
        <v>24749</v>
      </c>
      <c r="D4519">
        <v>1</v>
      </c>
      <c r="F4519" s="126"/>
      <c r="G4519" s="3">
        <v>0</v>
      </c>
      <c r="H4519" s="3">
        <v>0</v>
      </c>
      <c r="I4519" s="3">
        <v>0</v>
      </c>
      <c r="J4519" s="3">
        <v>0</v>
      </c>
      <c r="K4519" s="3">
        <f t="shared" si="164"/>
        <v>0</v>
      </c>
      <c r="L4519" s="3"/>
      <c r="M4519" s="3">
        <f t="shared" si="165"/>
        <v>0</v>
      </c>
      <c r="O4519" s="5"/>
      <c r="S4519" s="6"/>
    </row>
    <row r="4520" spans="1:19" customFormat="1" x14ac:dyDescent="0.45">
      <c r="A4520">
        <v>810943</v>
      </c>
      <c r="B4520" t="s">
        <v>24750</v>
      </c>
      <c r="C4520" t="s">
        <v>24751</v>
      </c>
      <c r="D4520">
        <v>1</v>
      </c>
      <c r="F4520" s="126"/>
      <c r="G4520" s="7">
        <v>0</v>
      </c>
      <c r="H4520" s="7">
        <v>0</v>
      </c>
      <c r="I4520" s="7">
        <v>0</v>
      </c>
      <c r="J4520" s="7">
        <v>0</v>
      </c>
      <c r="K4520" s="3">
        <f t="shared" si="164"/>
        <v>0</v>
      </c>
      <c r="L4520" s="3"/>
      <c r="M4520" s="3">
        <f t="shared" si="165"/>
        <v>0</v>
      </c>
      <c r="O4520" s="5"/>
      <c r="S4520" s="6"/>
    </row>
    <row r="4521" spans="1:19" customFormat="1" x14ac:dyDescent="0.45">
      <c r="A4521">
        <v>810955</v>
      </c>
      <c r="B4521" t="s">
        <v>24752</v>
      </c>
      <c r="C4521" t="s">
        <v>24753</v>
      </c>
      <c r="D4521">
        <v>1</v>
      </c>
      <c r="F4521" s="126"/>
      <c r="G4521" s="7">
        <v>0</v>
      </c>
      <c r="H4521" s="7">
        <v>0</v>
      </c>
      <c r="I4521" s="7">
        <v>0</v>
      </c>
      <c r="J4521" s="7">
        <v>0</v>
      </c>
      <c r="K4521" s="3">
        <f t="shared" si="164"/>
        <v>0</v>
      </c>
      <c r="L4521" s="3"/>
      <c r="M4521" s="3">
        <f t="shared" si="165"/>
        <v>0</v>
      </c>
      <c r="O4521" s="5"/>
      <c r="S4521" s="6"/>
    </row>
    <row r="4522" spans="1:19" customFormat="1" x14ac:dyDescent="0.45">
      <c r="A4522">
        <v>811049</v>
      </c>
      <c r="B4522" t="s">
        <v>24754</v>
      </c>
      <c r="C4522" t="s">
        <v>24755</v>
      </c>
      <c r="D4522">
        <v>3</v>
      </c>
      <c r="F4522" s="126"/>
      <c r="G4522" s="7">
        <v>0</v>
      </c>
      <c r="H4522" s="7">
        <v>0</v>
      </c>
      <c r="I4522" s="7">
        <v>0</v>
      </c>
      <c r="J4522" s="7">
        <v>0</v>
      </c>
      <c r="K4522" s="3">
        <f t="shared" si="164"/>
        <v>0</v>
      </c>
      <c r="L4522" s="3"/>
      <c r="M4522" s="3">
        <f t="shared" si="165"/>
        <v>0</v>
      </c>
      <c r="O4522" s="5"/>
      <c r="S4522" s="6"/>
    </row>
    <row r="4523" spans="1:19" customFormat="1" x14ac:dyDescent="0.45">
      <c r="A4523">
        <v>811340</v>
      </c>
      <c r="B4523" t="s">
        <v>24756</v>
      </c>
      <c r="C4523" t="s">
        <v>24757</v>
      </c>
      <c r="D4523">
        <v>4</v>
      </c>
      <c r="F4523" s="126"/>
      <c r="G4523" s="7">
        <v>0</v>
      </c>
      <c r="H4523" s="7">
        <v>0</v>
      </c>
      <c r="I4523" s="7">
        <v>0</v>
      </c>
      <c r="J4523" s="7">
        <v>0</v>
      </c>
      <c r="K4523" s="3">
        <f t="shared" si="164"/>
        <v>0</v>
      </c>
      <c r="L4523" s="3"/>
      <c r="M4523" s="3">
        <f t="shared" si="165"/>
        <v>0</v>
      </c>
      <c r="N4523" s="7"/>
      <c r="O4523" s="5"/>
      <c r="S4523" s="6"/>
    </row>
    <row r="4524" spans="1:19" customFormat="1" x14ac:dyDescent="0.45">
      <c r="A4524">
        <v>811500</v>
      </c>
      <c r="B4524" t="s">
        <v>24758</v>
      </c>
      <c r="C4524" t="s">
        <v>16331</v>
      </c>
      <c r="D4524">
        <v>1</v>
      </c>
      <c r="E4524" t="s">
        <v>16331</v>
      </c>
      <c r="F4524" s="126"/>
      <c r="G4524" s="7">
        <v>0</v>
      </c>
      <c r="H4524" s="7">
        <v>0</v>
      </c>
      <c r="I4524" s="7">
        <v>0</v>
      </c>
      <c r="J4524" s="7">
        <v>0</v>
      </c>
      <c r="K4524" s="3">
        <f t="shared" si="164"/>
        <v>0</v>
      </c>
      <c r="L4524" s="3"/>
      <c r="M4524" s="3">
        <f t="shared" si="165"/>
        <v>0</v>
      </c>
      <c r="O4524" s="5"/>
      <c r="S4524" s="6"/>
    </row>
    <row r="4525" spans="1:19" customFormat="1" x14ac:dyDescent="0.45">
      <c r="A4525">
        <v>811535</v>
      </c>
      <c r="B4525" t="s">
        <v>24759</v>
      </c>
      <c r="C4525" t="s">
        <v>16331</v>
      </c>
      <c r="D4525">
        <v>6</v>
      </c>
      <c r="E4525" t="s">
        <v>16331</v>
      </c>
      <c r="F4525" s="126"/>
      <c r="G4525" s="7">
        <v>0</v>
      </c>
      <c r="H4525" s="7">
        <v>0</v>
      </c>
      <c r="I4525" s="7">
        <v>0</v>
      </c>
      <c r="J4525" s="7">
        <v>0</v>
      </c>
      <c r="K4525" s="3">
        <f t="shared" si="164"/>
        <v>0</v>
      </c>
      <c r="L4525" s="3"/>
      <c r="M4525" s="3">
        <f t="shared" si="165"/>
        <v>0</v>
      </c>
      <c r="O4525" s="5"/>
      <c r="S4525" s="6"/>
    </row>
    <row r="4526" spans="1:19" customFormat="1" x14ac:dyDescent="0.45">
      <c r="A4526">
        <v>811723</v>
      </c>
      <c r="B4526" t="s">
        <v>24760</v>
      </c>
      <c r="C4526" t="s">
        <v>16331</v>
      </c>
      <c r="D4526">
        <v>8</v>
      </c>
      <c r="E4526" t="s">
        <v>16331</v>
      </c>
      <c r="F4526" s="126"/>
      <c r="G4526" s="7">
        <v>0</v>
      </c>
      <c r="H4526" s="7">
        <v>0</v>
      </c>
      <c r="I4526" s="7">
        <v>0</v>
      </c>
      <c r="J4526" s="7">
        <v>0</v>
      </c>
      <c r="K4526" s="3">
        <f t="shared" si="164"/>
        <v>0</v>
      </c>
      <c r="L4526" s="3"/>
      <c r="M4526" s="3">
        <f t="shared" si="165"/>
        <v>0</v>
      </c>
      <c r="O4526" s="5"/>
      <c r="S4526" s="6"/>
    </row>
    <row r="4527" spans="1:19" customFormat="1" x14ac:dyDescent="0.45">
      <c r="A4527">
        <v>811803</v>
      </c>
      <c r="B4527" t="s">
        <v>24761</v>
      </c>
      <c r="C4527" t="s">
        <v>16331</v>
      </c>
      <c r="D4527">
        <v>2</v>
      </c>
      <c r="E4527" t="s">
        <v>16331</v>
      </c>
      <c r="F4527" s="126"/>
      <c r="G4527" s="7">
        <v>0</v>
      </c>
      <c r="H4527" s="7">
        <v>0</v>
      </c>
      <c r="I4527" s="7">
        <v>0</v>
      </c>
      <c r="J4527" s="7">
        <v>0</v>
      </c>
      <c r="K4527" s="3">
        <f t="shared" si="164"/>
        <v>0</v>
      </c>
      <c r="L4527" s="3"/>
      <c r="M4527" s="3">
        <f t="shared" si="165"/>
        <v>0</v>
      </c>
      <c r="O4527" s="5"/>
      <c r="S4527" s="6"/>
    </row>
    <row r="4528" spans="1:19" customFormat="1" x14ac:dyDescent="0.45">
      <c r="A4528">
        <v>811996</v>
      </c>
      <c r="B4528" t="s">
        <v>24762</v>
      </c>
      <c r="C4528" t="s">
        <v>24763</v>
      </c>
      <c r="D4528">
        <v>2</v>
      </c>
      <c r="F4528" s="126"/>
      <c r="G4528" s="3">
        <v>0</v>
      </c>
      <c r="H4528" s="3">
        <v>0</v>
      </c>
      <c r="I4528" s="3">
        <v>0</v>
      </c>
      <c r="J4528" s="3">
        <v>0</v>
      </c>
      <c r="K4528" s="3">
        <f t="shared" si="164"/>
        <v>0</v>
      </c>
      <c r="L4528" s="3"/>
      <c r="M4528" s="3">
        <f t="shared" si="165"/>
        <v>0</v>
      </c>
      <c r="O4528" s="5"/>
      <c r="S4528" s="6"/>
    </row>
    <row r="4529" spans="1:23" customFormat="1" x14ac:dyDescent="0.45">
      <c r="A4529">
        <v>812252</v>
      </c>
      <c r="B4529" t="s">
        <v>24764</v>
      </c>
      <c r="C4529" t="s">
        <v>16331</v>
      </c>
      <c r="D4529">
        <v>3</v>
      </c>
      <c r="E4529" t="s">
        <v>16331</v>
      </c>
      <c r="F4529" s="126"/>
      <c r="G4529" s="7">
        <v>0</v>
      </c>
      <c r="H4529" s="7">
        <v>0</v>
      </c>
      <c r="I4529" s="7">
        <v>0</v>
      </c>
      <c r="J4529" s="7">
        <v>0</v>
      </c>
      <c r="K4529" s="3">
        <f t="shared" si="164"/>
        <v>0</v>
      </c>
      <c r="L4529" s="3"/>
      <c r="M4529" s="3">
        <f t="shared" si="165"/>
        <v>0</v>
      </c>
      <c r="O4529" s="5"/>
      <c r="S4529" s="6"/>
    </row>
    <row r="4530" spans="1:23" customFormat="1" x14ac:dyDescent="0.45">
      <c r="A4530">
        <v>812332</v>
      </c>
      <c r="B4530" t="s">
        <v>24765</v>
      </c>
      <c r="C4530" t="s">
        <v>24766</v>
      </c>
      <c r="D4530">
        <v>1</v>
      </c>
      <c r="F4530" s="126"/>
      <c r="G4530" s="7">
        <v>0</v>
      </c>
      <c r="H4530" s="7">
        <v>0</v>
      </c>
      <c r="I4530" s="7">
        <v>0</v>
      </c>
      <c r="J4530" s="7">
        <v>0</v>
      </c>
      <c r="K4530" s="3">
        <f t="shared" si="164"/>
        <v>0</v>
      </c>
      <c r="L4530" s="3"/>
      <c r="M4530" s="3">
        <f t="shared" si="165"/>
        <v>0</v>
      </c>
      <c r="O4530" s="5"/>
      <c r="S4530" s="6"/>
    </row>
    <row r="4531" spans="1:23" customFormat="1" x14ac:dyDescent="0.45">
      <c r="A4531">
        <v>812732</v>
      </c>
      <c r="B4531" t="s">
        <v>24767</v>
      </c>
      <c r="C4531" t="s">
        <v>24768</v>
      </c>
      <c r="D4531">
        <v>5</v>
      </c>
      <c r="F4531" s="126"/>
      <c r="G4531" s="3"/>
      <c r="H4531" s="3"/>
      <c r="I4531" s="3"/>
      <c r="J4531" s="3"/>
      <c r="K4531" s="3">
        <f t="shared" si="164"/>
        <v>0</v>
      </c>
      <c r="L4531" s="3"/>
      <c r="M4531" s="3">
        <f t="shared" si="165"/>
        <v>0</v>
      </c>
      <c r="O4531" s="5"/>
      <c r="S4531" s="6"/>
    </row>
    <row r="4532" spans="1:23" customFormat="1" x14ac:dyDescent="0.45">
      <c r="A4532">
        <v>812753</v>
      </c>
      <c r="B4532" t="s">
        <v>24769</v>
      </c>
      <c r="C4532" t="s">
        <v>24770</v>
      </c>
      <c r="D4532">
        <v>3</v>
      </c>
      <c r="F4532" s="126"/>
      <c r="G4532" s="7">
        <v>0</v>
      </c>
      <c r="H4532" s="7">
        <v>0</v>
      </c>
      <c r="I4532" s="7">
        <v>0</v>
      </c>
      <c r="J4532" s="7">
        <v>0</v>
      </c>
      <c r="K4532" s="3">
        <f t="shared" si="164"/>
        <v>0</v>
      </c>
      <c r="L4532" s="3"/>
      <c r="M4532" s="3">
        <f t="shared" si="165"/>
        <v>0</v>
      </c>
      <c r="O4532" s="5"/>
      <c r="S4532" s="6"/>
    </row>
    <row r="4533" spans="1:23" x14ac:dyDescent="0.45">
      <c r="A4533" s="124">
        <v>944236</v>
      </c>
      <c r="B4533" s="124" t="s">
        <v>24771</v>
      </c>
      <c r="C4533" s="124" t="s">
        <v>24772</v>
      </c>
      <c r="D4533" s="124">
        <v>1</v>
      </c>
      <c r="E4533" s="124" t="s">
        <v>16334</v>
      </c>
      <c r="F4533" s="126">
        <v>1.6999999999999999E-3</v>
      </c>
      <c r="G4533" s="126">
        <v>4.3999999999999997E-2</v>
      </c>
      <c r="H4533" s="126">
        <v>4.2500000000000003E-2</v>
      </c>
      <c r="I4533" s="127"/>
      <c r="J4533" s="127"/>
      <c r="K4533" s="126">
        <f t="shared" si="164"/>
        <v>8.6499999999999994E-2</v>
      </c>
      <c r="L4533" s="3"/>
      <c r="M4533" s="126">
        <f t="shared" si="165"/>
        <v>8.8199999999999987E-2</v>
      </c>
      <c r="N4533" s="124" t="s">
        <v>24773</v>
      </c>
      <c r="O4533" s="131" t="s">
        <v>24774</v>
      </c>
      <c r="P4533" s="128" t="s">
        <v>26918</v>
      </c>
      <c r="Q4533" s="124">
        <v>43381</v>
      </c>
      <c r="R4533" s="124" t="s">
        <v>16348</v>
      </c>
      <c r="S4533" s="132">
        <v>19384</v>
      </c>
      <c r="T4533" s="129">
        <f>S4533/Q4533</f>
        <v>0.44683156220465181</v>
      </c>
      <c r="V4533" s="125" t="s">
        <v>24775</v>
      </c>
      <c r="W4533" s="124" t="s">
        <v>17021</v>
      </c>
    </row>
    <row r="4534" spans="1:23" customFormat="1" x14ac:dyDescent="0.45">
      <c r="A4534">
        <v>812813</v>
      </c>
      <c r="B4534" t="s">
        <v>24776</v>
      </c>
      <c r="C4534" s="2" t="s">
        <v>24777</v>
      </c>
      <c r="D4534">
        <v>1</v>
      </c>
      <c r="F4534" s="126"/>
      <c r="G4534" s="3">
        <v>0</v>
      </c>
      <c r="H4534" s="3">
        <v>0</v>
      </c>
      <c r="I4534" s="3">
        <v>0</v>
      </c>
      <c r="J4534" s="3">
        <v>0</v>
      </c>
      <c r="K4534" s="3">
        <f t="shared" si="164"/>
        <v>0</v>
      </c>
      <c r="L4534" s="3"/>
      <c r="M4534" s="3">
        <f t="shared" si="165"/>
        <v>0</v>
      </c>
      <c r="O4534" s="5"/>
      <c r="S4534" s="6"/>
    </row>
    <row r="4535" spans="1:23" customFormat="1" x14ac:dyDescent="0.45">
      <c r="A4535">
        <v>812935</v>
      </c>
      <c r="B4535" t="s">
        <v>24778</v>
      </c>
      <c r="C4535" t="s">
        <v>24779</v>
      </c>
      <c r="D4535">
        <v>1</v>
      </c>
      <c r="F4535" s="126"/>
      <c r="G4535" s="3">
        <v>0</v>
      </c>
      <c r="H4535" s="3">
        <v>0</v>
      </c>
      <c r="I4535" s="3">
        <v>0</v>
      </c>
      <c r="J4535" s="3">
        <v>0</v>
      </c>
      <c r="K4535" s="3">
        <f t="shared" si="164"/>
        <v>0</v>
      </c>
      <c r="L4535" s="3"/>
      <c r="M4535" s="3">
        <f t="shared" si="165"/>
        <v>0</v>
      </c>
      <c r="O4535" s="5"/>
      <c r="S4535" s="6"/>
    </row>
    <row r="4536" spans="1:23" customFormat="1" x14ac:dyDescent="0.45">
      <c r="A4536">
        <v>813073</v>
      </c>
      <c r="B4536" t="s">
        <v>24780</v>
      </c>
      <c r="C4536" t="s">
        <v>24781</v>
      </c>
      <c r="D4536">
        <v>2</v>
      </c>
      <c r="F4536" s="126"/>
      <c r="G4536" s="3">
        <v>0</v>
      </c>
      <c r="H4536" s="3">
        <v>0</v>
      </c>
      <c r="I4536" s="3">
        <v>0</v>
      </c>
      <c r="J4536" s="3">
        <v>0</v>
      </c>
      <c r="K4536" s="3">
        <f t="shared" si="164"/>
        <v>0</v>
      </c>
      <c r="L4536" s="3"/>
      <c r="M4536" s="3">
        <f t="shared" si="165"/>
        <v>0</v>
      </c>
      <c r="O4536" s="5"/>
      <c r="S4536" s="6"/>
    </row>
    <row r="4537" spans="1:23" customFormat="1" x14ac:dyDescent="0.45">
      <c r="A4537">
        <v>813341</v>
      </c>
      <c r="B4537" t="s">
        <v>24782</v>
      </c>
      <c r="C4537" t="s">
        <v>24783</v>
      </c>
      <c r="D4537">
        <v>1</v>
      </c>
      <c r="F4537" s="126"/>
      <c r="G4537" s="7">
        <v>0</v>
      </c>
      <c r="H4537" s="7">
        <v>0</v>
      </c>
      <c r="I4537" s="7">
        <v>0</v>
      </c>
      <c r="J4537" s="7">
        <v>0</v>
      </c>
      <c r="K4537" s="3">
        <f t="shared" si="164"/>
        <v>0</v>
      </c>
      <c r="L4537" s="3"/>
      <c r="M4537" s="3">
        <f t="shared" si="165"/>
        <v>0</v>
      </c>
      <c r="N4537" s="7"/>
      <c r="O4537" s="5"/>
      <c r="S4537" s="6"/>
    </row>
    <row r="4538" spans="1:23" customFormat="1" x14ac:dyDescent="0.45">
      <c r="A4538">
        <v>813547</v>
      </c>
      <c r="B4538" t="s">
        <v>24784</v>
      </c>
      <c r="C4538" t="s">
        <v>24785</v>
      </c>
      <c r="D4538">
        <v>2</v>
      </c>
      <c r="F4538" s="126"/>
      <c r="G4538" s="3">
        <v>0</v>
      </c>
      <c r="H4538" s="3">
        <v>0</v>
      </c>
      <c r="I4538" s="3">
        <v>0</v>
      </c>
      <c r="J4538" s="3">
        <v>0</v>
      </c>
      <c r="K4538" s="3">
        <f t="shared" si="164"/>
        <v>0</v>
      </c>
      <c r="L4538" s="3"/>
      <c r="M4538" s="3">
        <f t="shared" si="165"/>
        <v>0</v>
      </c>
      <c r="O4538" s="5"/>
      <c r="S4538" s="6"/>
    </row>
    <row r="4539" spans="1:23" customFormat="1" x14ac:dyDescent="0.45">
      <c r="A4539">
        <v>813553</v>
      </c>
      <c r="B4539" t="s">
        <v>24786</v>
      </c>
      <c r="C4539" t="s">
        <v>24787</v>
      </c>
      <c r="D4539">
        <v>1</v>
      </c>
      <c r="F4539" s="126"/>
      <c r="G4539" s="7">
        <v>0</v>
      </c>
      <c r="H4539" s="7">
        <v>0</v>
      </c>
      <c r="I4539" s="7">
        <v>0</v>
      </c>
      <c r="J4539" s="7">
        <v>0</v>
      </c>
      <c r="K4539" s="3">
        <f t="shared" si="164"/>
        <v>0</v>
      </c>
      <c r="L4539" s="3"/>
      <c r="M4539" s="3">
        <f t="shared" si="165"/>
        <v>0</v>
      </c>
      <c r="O4539" s="5"/>
      <c r="S4539" s="6"/>
    </row>
    <row r="4540" spans="1:23" customFormat="1" x14ac:dyDescent="0.45">
      <c r="A4540">
        <v>813786</v>
      </c>
      <c r="B4540" t="s">
        <v>24788</v>
      </c>
      <c r="C4540" s="2" t="s">
        <v>24789</v>
      </c>
      <c r="D4540">
        <v>1</v>
      </c>
      <c r="F4540" s="126"/>
      <c r="G4540" s="3">
        <v>0</v>
      </c>
      <c r="H4540" s="3">
        <v>0</v>
      </c>
      <c r="I4540" s="3">
        <v>0</v>
      </c>
      <c r="J4540" s="3">
        <v>0</v>
      </c>
      <c r="K4540" s="3">
        <f t="shared" si="164"/>
        <v>0</v>
      </c>
      <c r="L4540" s="3"/>
      <c r="M4540" s="3">
        <f t="shared" si="165"/>
        <v>0</v>
      </c>
      <c r="O4540" s="5"/>
      <c r="S4540" s="6"/>
    </row>
    <row r="4541" spans="1:23" customFormat="1" x14ac:dyDescent="0.45">
      <c r="A4541">
        <v>813845</v>
      </c>
      <c r="B4541" t="s">
        <v>24790</v>
      </c>
      <c r="C4541" t="s">
        <v>24791</v>
      </c>
      <c r="D4541">
        <v>10</v>
      </c>
      <c r="F4541" s="126"/>
      <c r="G4541" s="3">
        <v>0</v>
      </c>
      <c r="H4541" s="3">
        <v>0</v>
      </c>
      <c r="I4541" s="3">
        <v>0</v>
      </c>
      <c r="J4541" s="3">
        <v>0</v>
      </c>
      <c r="K4541" s="3">
        <f t="shared" si="164"/>
        <v>0</v>
      </c>
      <c r="L4541" s="3"/>
      <c r="M4541" s="3">
        <f t="shared" si="165"/>
        <v>0</v>
      </c>
      <c r="O4541" s="5"/>
      <c r="S4541" s="6"/>
    </row>
    <row r="4542" spans="1:23" customFormat="1" x14ac:dyDescent="0.45">
      <c r="A4542">
        <v>813853</v>
      </c>
      <c r="B4542" t="s">
        <v>24792</v>
      </c>
      <c r="C4542" t="s">
        <v>16331</v>
      </c>
      <c r="D4542">
        <v>1</v>
      </c>
      <c r="E4542" t="s">
        <v>16331</v>
      </c>
      <c r="F4542" s="126"/>
      <c r="G4542" s="7">
        <v>0</v>
      </c>
      <c r="H4542" s="7">
        <v>0</v>
      </c>
      <c r="I4542" s="7">
        <v>0</v>
      </c>
      <c r="J4542" s="7">
        <v>0</v>
      </c>
      <c r="K4542" s="3">
        <f t="shared" si="164"/>
        <v>0</v>
      </c>
      <c r="L4542" s="3"/>
      <c r="M4542" s="3">
        <f t="shared" si="165"/>
        <v>0</v>
      </c>
      <c r="O4542" s="5"/>
      <c r="S4542" s="6"/>
    </row>
    <row r="4543" spans="1:23" x14ac:dyDescent="0.45">
      <c r="A4543" s="124">
        <v>581080</v>
      </c>
      <c r="B4543" s="124" t="s">
        <v>24793</v>
      </c>
      <c r="C4543" s="124" t="s">
        <v>24794</v>
      </c>
      <c r="D4543" s="124">
        <v>12</v>
      </c>
      <c r="E4543" s="124" t="s">
        <v>16334</v>
      </c>
      <c r="F4543" s="126">
        <v>1.6999999999999999E-3</v>
      </c>
      <c r="G4543" s="126">
        <v>2.5000000000000001E-2</v>
      </c>
      <c r="H4543" s="126">
        <v>1.2500000000000001E-2</v>
      </c>
      <c r="I4543" s="127"/>
      <c r="J4543" s="127"/>
      <c r="K4543" s="126">
        <f t="shared" si="164"/>
        <v>3.7500000000000006E-2</v>
      </c>
      <c r="L4543" s="3"/>
      <c r="M4543" s="126">
        <f t="shared" si="165"/>
        <v>3.9200000000000006E-2</v>
      </c>
      <c r="O4543" s="131" t="s">
        <v>24795</v>
      </c>
      <c r="P4543" s="128" t="s">
        <v>26918</v>
      </c>
      <c r="Q4543" s="130">
        <f>345531+1981</f>
        <v>347512</v>
      </c>
      <c r="R4543" s="124" t="s">
        <v>16348</v>
      </c>
      <c r="S4543" s="132">
        <v>123184</v>
      </c>
      <c r="T4543" s="129">
        <f>S4543/Q4543</f>
        <v>0.35447409010336334</v>
      </c>
      <c r="V4543" s="125" t="s">
        <v>24796</v>
      </c>
      <c r="W4543" s="124" t="s">
        <v>17021</v>
      </c>
    </row>
    <row r="4544" spans="1:23" customFormat="1" x14ac:dyDescent="0.45">
      <c r="A4544">
        <v>814106</v>
      </c>
      <c r="B4544" t="s">
        <v>24797</v>
      </c>
      <c r="C4544" t="s">
        <v>24798</v>
      </c>
      <c r="D4544">
        <v>11</v>
      </c>
      <c r="F4544" s="126"/>
      <c r="G4544" s="7">
        <v>0</v>
      </c>
      <c r="H4544" s="7">
        <v>0</v>
      </c>
      <c r="I4544" s="7">
        <v>0</v>
      </c>
      <c r="J4544" s="7">
        <v>0</v>
      </c>
      <c r="K4544" s="3">
        <f t="shared" si="164"/>
        <v>0</v>
      </c>
      <c r="L4544" s="3"/>
      <c r="M4544" s="3">
        <f t="shared" si="165"/>
        <v>0</v>
      </c>
      <c r="N4544" s="7"/>
      <c r="O4544" s="5"/>
      <c r="S4544" s="6"/>
    </row>
    <row r="4545" spans="1:19" customFormat="1" x14ac:dyDescent="0.45">
      <c r="A4545">
        <v>814454</v>
      </c>
      <c r="B4545" t="s">
        <v>24799</v>
      </c>
      <c r="C4545" t="s">
        <v>24800</v>
      </c>
      <c r="D4545">
        <v>1</v>
      </c>
      <c r="F4545" s="126"/>
      <c r="G4545" s="3">
        <v>0</v>
      </c>
      <c r="H4545" s="3">
        <v>0</v>
      </c>
      <c r="I4545" s="3">
        <v>0</v>
      </c>
      <c r="J4545" s="3">
        <v>0</v>
      </c>
      <c r="K4545" s="3">
        <f t="shared" si="164"/>
        <v>0</v>
      </c>
      <c r="L4545" s="3"/>
      <c r="M4545" s="3">
        <f t="shared" si="165"/>
        <v>0</v>
      </c>
      <c r="O4545" s="5"/>
      <c r="S4545" s="6"/>
    </row>
    <row r="4546" spans="1:19" customFormat="1" x14ac:dyDescent="0.45">
      <c r="A4546">
        <v>814844</v>
      </c>
      <c r="B4546" t="s">
        <v>24801</v>
      </c>
      <c r="C4546" t="s">
        <v>24802</v>
      </c>
      <c r="D4546">
        <v>4</v>
      </c>
      <c r="F4546" s="126"/>
      <c r="G4546" s="7">
        <v>0</v>
      </c>
      <c r="H4546" s="7">
        <v>0</v>
      </c>
      <c r="I4546" s="7">
        <v>0</v>
      </c>
      <c r="J4546" s="7">
        <v>0</v>
      </c>
      <c r="K4546" s="3">
        <f t="shared" si="164"/>
        <v>0</v>
      </c>
      <c r="L4546" s="3"/>
      <c r="M4546" s="3">
        <f t="shared" si="165"/>
        <v>0</v>
      </c>
      <c r="O4546" s="5"/>
      <c r="S4546" s="6"/>
    </row>
    <row r="4547" spans="1:19" customFormat="1" x14ac:dyDescent="0.45">
      <c r="A4547">
        <v>815221</v>
      </c>
      <c r="B4547" t="s">
        <v>24803</v>
      </c>
      <c r="C4547" t="s">
        <v>24804</v>
      </c>
      <c r="D4547">
        <v>1</v>
      </c>
      <c r="F4547" s="126"/>
      <c r="G4547" s="3">
        <v>0</v>
      </c>
      <c r="H4547" s="3">
        <v>0</v>
      </c>
      <c r="I4547" s="3">
        <v>0</v>
      </c>
      <c r="J4547" s="3">
        <v>0</v>
      </c>
      <c r="K4547" s="3">
        <f t="shared" si="164"/>
        <v>0</v>
      </c>
      <c r="L4547" s="3"/>
      <c r="M4547" s="3">
        <f t="shared" si="165"/>
        <v>0</v>
      </c>
      <c r="O4547" s="5"/>
      <c r="S4547" s="6"/>
    </row>
    <row r="4548" spans="1:19" customFormat="1" x14ac:dyDescent="0.45">
      <c r="A4548">
        <v>815222</v>
      </c>
      <c r="B4548" t="s">
        <v>24805</v>
      </c>
      <c r="C4548" t="s">
        <v>16331</v>
      </c>
      <c r="D4548">
        <v>1</v>
      </c>
      <c r="E4548" t="s">
        <v>16331</v>
      </c>
      <c r="F4548" s="126"/>
      <c r="G4548" s="7">
        <v>0</v>
      </c>
      <c r="H4548" s="7">
        <v>0</v>
      </c>
      <c r="I4548" s="7">
        <v>0</v>
      </c>
      <c r="J4548" s="7">
        <v>0</v>
      </c>
      <c r="K4548" s="3">
        <f t="shared" si="164"/>
        <v>0</v>
      </c>
      <c r="L4548" s="3"/>
      <c r="M4548" s="3">
        <f t="shared" si="165"/>
        <v>0</v>
      </c>
      <c r="O4548" s="5"/>
      <c r="S4548" s="6"/>
    </row>
    <row r="4549" spans="1:19" customFormat="1" x14ac:dyDescent="0.45">
      <c r="A4549">
        <v>815307</v>
      </c>
      <c r="B4549" t="s">
        <v>24806</v>
      </c>
      <c r="C4549" t="s">
        <v>24807</v>
      </c>
      <c r="D4549">
        <v>6</v>
      </c>
      <c r="F4549" s="126"/>
      <c r="G4549" s="3">
        <v>0</v>
      </c>
      <c r="H4549" s="3">
        <v>0</v>
      </c>
      <c r="I4549" s="3">
        <v>0</v>
      </c>
      <c r="J4549" s="3">
        <v>0</v>
      </c>
      <c r="K4549" s="3">
        <f t="shared" si="164"/>
        <v>0</v>
      </c>
      <c r="L4549" s="3"/>
      <c r="M4549" s="3">
        <f t="shared" si="165"/>
        <v>0</v>
      </c>
      <c r="O4549" s="5"/>
      <c r="S4549" s="6"/>
    </row>
    <row r="4550" spans="1:19" customFormat="1" x14ac:dyDescent="0.45">
      <c r="A4550">
        <v>815352</v>
      </c>
      <c r="B4550" t="s">
        <v>24808</v>
      </c>
      <c r="C4550" t="s">
        <v>24809</v>
      </c>
      <c r="D4550">
        <v>1</v>
      </c>
      <c r="F4550" s="126"/>
      <c r="G4550" s="3">
        <v>0</v>
      </c>
      <c r="H4550" s="3">
        <v>0</v>
      </c>
      <c r="I4550" s="3">
        <v>0</v>
      </c>
      <c r="J4550" s="3">
        <v>0</v>
      </c>
      <c r="K4550" s="3">
        <f t="shared" si="164"/>
        <v>0</v>
      </c>
      <c r="L4550" s="3"/>
      <c r="M4550" s="3">
        <f t="shared" si="165"/>
        <v>0</v>
      </c>
      <c r="O4550" s="5"/>
      <c r="S4550" s="6"/>
    </row>
    <row r="4551" spans="1:19" customFormat="1" x14ac:dyDescent="0.45">
      <c r="A4551">
        <v>815599</v>
      </c>
      <c r="B4551" t="s">
        <v>24810</v>
      </c>
      <c r="C4551" t="s">
        <v>24811</v>
      </c>
      <c r="D4551">
        <v>0</v>
      </c>
      <c r="E4551" t="s">
        <v>16334</v>
      </c>
      <c r="F4551" s="126"/>
      <c r="G4551" s="3">
        <v>0</v>
      </c>
      <c r="H4551" s="3">
        <v>0</v>
      </c>
      <c r="I4551" s="3">
        <v>0</v>
      </c>
      <c r="J4551" s="3">
        <v>0</v>
      </c>
      <c r="K4551" s="3">
        <f t="shared" ref="K4551:K4592" si="166">SUM(G4551:J4551)</f>
        <v>0</v>
      </c>
      <c r="L4551" s="3"/>
      <c r="M4551" s="3">
        <f t="shared" ref="M4551:M4592" si="167">K4551+F4551</f>
        <v>0</v>
      </c>
      <c r="O4551" s="5"/>
      <c r="S4551" s="6"/>
    </row>
    <row r="4552" spans="1:19" customFormat="1" x14ac:dyDescent="0.45">
      <c r="A4552">
        <v>815602</v>
      </c>
      <c r="B4552" t="s">
        <v>24812</v>
      </c>
      <c r="C4552" t="s">
        <v>24813</v>
      </c>
      <c r="D4552">
        <v>7</v>
      </c>
      <c r="F4552" s="126"/>
      <c r="G4552" s="7">
        <v>0</v>
      </c>
      <c r="H4552" s="7">
        <v>0</v>
      </c>
      <c r="I4552" s="7">
        <v>0</v>
      </c>
      <c r="J4552" s="7">
        <v>0</v>
      </c>
      <c r="K4552" s="3">
        <f t="shared" si="166"/>
        <v>0</v>
      </c>
      <c r="L4552" s="3"/>
      <c r="M4552" s="3">
        <f t="shared" si="167"/>
        <v>0</v>
      </c>
      <c r="O4552" s="5"/>
      <c r="S4552" s="6"/>
    </row>
    <row r="4553" spans="1:19" customFormat="1" x14ac:dyDescent="0.45">
      <c r="A4553">
        <v>815621</v>
      </c>
      <c r="B4553" t="s">
        <v>24814</v>
      </c>
      <c r="C4553" t="s">
        <v>24815</v>
      </c>
      <c r="D4553">
        <v>5</v>
      </c>
      <c r="F4553" s="126"/>
      <c r="G4553" s="3">
        <v>0</v>
      </c>
      <c r="H4553" s="3">
        <v>0</v>
      </c>
      <c r="I4553" s="3">
        <v>0</v>
      </c>
      <c r="J4553" s="3">
        <v>0</v>
      </c>
      <c r="K4553" s="3">
        <f t="shared" si="166"/>
        <v>0</v>
      </c>
      <c r="L4553" s="3"/>
      <c r="M4553" s="3">
        <f t="shared" si="167"/>
        <v>0</v>
      </c>
      <c r="O4553" s="5"/>
      <c r="S4553" s="6"/>
    </row>
    <row r="4554" spans="1:19" customFormat="1" x14ac:dyDescent="0.45">
      <c r="A4554">
        <v>815638</v>
      </c>
      <c r="B4554" t="s">
        <v>24816</v>
      </c>
      <c r="C4554" t="s">
        <v>24817</v>
      </c>
      <c r="D4554">
        <v>1</v>
      </c>
      <c r="F4554" s="126"/>
      <c r="G4554" s="3">
        <v>0</v>
      </c>
      <c r="H4554" s="3">
        <v>0</v>
      </c>
      <c r="I4554" s="3">
        <v>0</v>
      </c>
      <c r="J4554" s="3">
        <v>0</v>
      </c>
      <c r="K4554" s="3">
        <f t="shared" si="166"/>
        <v>0</v>
      </c>
      <c r="L4554" s="3"/>
      <c r="M4554" s="3">
        <f t="shared" si="167"/>
        <v>0</v>
      </c>
      <c r="O4554" s="5"/>
      <c r="S4554" s="6"/>
    </row>
    <row r="4555" spans="1:19" customFormat="1" x14ac:dyDescent="0.45">
      <c r="A4555">
        <v>815728</v>
      </c>
      <c r="B4555" t="s">
        <v>24818</v>
      </c>
      <c r="C4555" t="s">
        <v>24819</v>
      </c>
      <c r="D4555">
        <v>1</v>
      </c>
      <c r="F4555" s="126"/>
      <c r="G4555" s="7">
        <v>0</v>
      </c>
      <c r="H4555" s="7">
        <v>0</v>
      </c>
      <c r="I4555" s="7">
        <v>0</v>
      </c>
      <c r="J4555" s="7">
        <v>0</v>
      </c>
      <c r="K4555" s="3">
        <f t="shared" si="166"/>
        <v>0</v>
      </c>
      <c r="L4555" s="3"/>
      <c r="M4555" s="3">
        <f t="shared" si="167"/>
        <v>0</v>
      </c>
      <c r="N4555" s="7"/>
      <c r="O4555" s="5"/>
      <c r="S4555" s="6"/>
    </row>
    <row r="4556" spans="1:19" customFormat="1" x14ac:dyDescent="0.45">
      <c r="A4556">
        <v>815777</v>
      </c>
      <c r="B4556" t="s">
        <v>24820</v>
      </c>
      <c r="C4556" t="s">
        <v>16331</v>
      </c>
      <c r="D4556">
        <v>1</v>
      </c>
      <c r="E4556" t="s">
        <v>16331</v>
      </c>
      <c r="F4556" s="126"/>
      <c r="G4556" s="7">
        <v>0</v>
      </c>
      <c r="H4556" s="7">
        <v>0</v>
      </c>
      <c r="I4556" s="7">
        <v>0</v>
      </c>
      <c r="J4556" s="7">
        <v>0</v>
      </c>
      <c r="K4556" s="3">
        <f t="shared" si="166"/>
        <v>0</v>
      </c>
      <c r="L4556" s="3"/>
      <c r="M4556" s="3">
        <f t="shared" si="167"/>
        <v>0</v>
      </c>
      <c r="O4556" s="5"/>
      <c r="S4556" s="6"/>
    </row>
    <row r="4557" spans="1:19" customFormat="1" x14ac:dyDescent="0.45">
      <c r="A4557">
        <v>815891</v>
      </c>
      <c r="B4557" t="s">
        <v>24821</v>
      </c>
      <c r="C4557" t="s">
        <v>24822</v>
      </c>
      <c r="D4557">
        <v>1</v>
      </c>
      <c r="F4557" s="126"/>
      <c r="G4557" s="7">
        <v>0</v>
      </c>
      <c r="H4557" s="7">
        <v>0</v>
      </c>
      <c r="I4557" s="7">
        <v>0</v>
      </c>
      <c r="J4557" s="7">
        <v>0</v>
      </c>
      <c r="K4557" s="3">
        <f t="shared" si="166"/>
        <v>0</v>
      </c>
      <c r="L4557" s="3"/>
      <c r="M4557" s="3">
        <f t="shared" si="167"/>
        <v>0</v>
      </c>
      <c r="O4557" s="5"/>
      <c r="S4557" s="6"/>
    </row>
    <row r="4558" spans="1:19" customFormat="1" x14ac:dyDescent="0.45">
      <c r="A4558">
        <v>816029</v>
      </c>
      <c r="B4558" t="s">
        <v>24823</v>
      </c>
      <c r="C4558" t="s">
        <v>24824</v>
      </c>
      <c r="D4558">
        <v>6</v>
      </c>
      <c r="F4558" s="126"/>
      <c r="G4558" s="7">
        <v>0</v>
      </c>
      <c r="H4558" s="7">
        <v>0</v>
      </c>
      <c r="I4558" s="7">
        <v>0</v>
      </c>
      <c r="J4558" s="7">
        <v>0</v>
      </c>
      <c r="K4558" s="3">
        <f t="shared" si="166"/>
        <v>0</v>
      </c>
      <c r="L4558" s="3"/>
      <c r="M4558" s="3">
        <f t="shared" si="167"/>
        <v>0</v>
      </c>
      <c r="O4558" s="5"/>
      <c r="S4558" s="6"/>
    </row>
    <row r="4559" spans="1:19" customFormat="1" x14ac:dyDescent="0.45">
      <c r="A4559">
        <v>816033</v>
      </c>
      <c r="B4559" t="s">
        <v>24825</v>
      </c>
      <c r="C4559" t="s">
        <v>24826</v>
      </c>
      <c r="D4559">
        <v>1</v>
      </c>
      <c r="F4559" s="126"/>
      <c r="G4559" s="7">
        <v>0</v>
      </c>
      <c r="H4559" s="7">
        <v>0</v>
      </c>
      <c r="I4559" s="7">
        <v>0</v>
      </c>
      <c r="J4559" s="7">
        <v>0</v>
      </c>
      <c r="K4559" s="3">
        <f t="shared" si="166"/>
        <v>0</v>
      </c>
      <c r="L4559" s="3"/>
      <c r="M4559" s="3">
        <f t="shared" si="167"/>
        <v>0</v>
      </c>
      <c r="O4559" s="5"/>
      <c r="S4559" s="6"/>
    </row>
    <row r="4560" spans="1:19" customFormat="1" x14ac:dyDescent="0.45">
      <c r="A4560">
        <v>816265</v>
      </c>
      <c r="B4560" t="s">
        <v>24827</v>
      </c>
      <c r="C4560" t="s">
        <v>24828</v>
      </c>
      <c r="D4560">
        <v>4</v>
      </c>
      <c r="F4560" s="126"/>
      <c r="G4560" s="7">
        <v>0</v>
      </c>
      <c r="H4560" s="7">
        <v>0</v>
      </c>
      <c r="I4560" s="7">
        <v>0</v>
      </c>
      <c r="J4560" s="7">
        <v>0</v>
      </c>
      <c r="K4560" s="3">
        <f t="shared" si="166"/>
        <v>0</v>
      </c>
      <c r="L4560" s="3"/>
      <c r="M4560" s="3">
        <f t="shared" si="167"/>
        <v>0</v>
      </c>
      <c r="N4560" s="7"/>
      <c r="O4560" s="5"/>
      <c r="S4560" s="6"/>
    </row>
    <row r="4561" spans="1:22" customFormat="1" x14ac:dyDescent="0.45">
      <c r="A4561">
        <v>816564</v>
      </c>
      <c r="B4561" t="s">
        <v>24829</v>
      </c>
      <c r="C4561" t="s">
        <v>16331</v>
      </c>
      <c r="D4561">
        <v>1</v>
      </c>
      <c r="E4561" t="s">
        <v>16331</v>
      </c>
      <c r="F4561" s="126"/>
      <c r="G4561" s="7">
        <v>0</v>
      </c>
      <c r="H4561" s="7">
        <v>0</v>
      </c>
      <c r="I4561" s="7">
        <v>0</v>
      </c>
      <c r="J4561" s="7">
        <v>0</v>
      </c>
      <c r="K4561" s="3">
        <f t="shared" si="166"/>
        <v>0</v>
      </c>
      <c r="L4561" s="3"/>
      <c r="M4561" s="3">
        <f t="shared" si="167"/>
        <v>0</v>
      </c>
      <c r="O4561" s="5"/>
      <c r="S4561" s="6"/>
    </row>
    <row r="4562" spans="1:22" customFormat="1" x14ac:dyDescent="0.45">
      <c r="A4562">
        <v>816718</v>
      </c>
      <c r="B4562" t="s">
        <v>24830</v>
      </c>
      <c r="C4562" t="s">
        <v>24831</v>
      </c>
      <c r="D4562">
        <v>1</v>
      </c>
      <c r="F4562" s="126"/>
      <c r="G4562" s="3">
        <v>0</v>
      </c>
      <c r="H4562" s="3">
        <v>0</v>
      </c>
      <c r="I4562" s="3">
        <v>0</v>
      </c>
      <c r="J4562" s="3">
        <v>0</v>
      </c>
      <c r="K4562" s="3">
        <f t="shared" si="166"/>
        <v>0</v>
      </c>
      <c r="L4562" s="3"/>
      <c r="M4562" s="3">
        <f t="shared" si="167"/>
        <v>0</v>
      </c>
      <c r="O4562" s="5"/>
      <c r="S4562" s="6"/>
    </row>
    <row r="4563" spans="1:22" x14ac:dyDescent="0.45">
      <c r="A4563" s="124">
        <v>677777</v>
      </c>
      <c r="B4563" s="124" t="s">
        <v>24832</v>
      </c>
      <c r="C4563" s="125" t="s">
        <v>24833</v>
      </c>
      <c r="D4563" s="124">
        <v>1</v>
      </c>
      <c r="E4563" s="124" t="s">
        <v>16334</v>
      </c>
      <c r="F4563" s="126">
        <v>1.6999999999999999E-3</v>
      </c>
      <c r="G4563" s="126">
        <v>2.2499999999999999E-2</v>
      </c>
      <c r="H4563" s="126">
        <v>8.0000000000000002E-3</v>
      </c>
      <c r="I4563" s="127"/>
      <c r="J4563" s="127"/>
      <c r="K4563" s="126">
        <f t="shared" si="166"/>
        <v>3.0499999999999999E-2</v>
      </c>
      <c r="L4563" s="3"/>
      <c r="M4563" s="126">
        <f t="shared" si="167"/>
        <v>3.2199999999999999E-2</v>
      </c>
      <c r="O4563" s="131" t="s">
        <v>24834</v>
      </c>
      <c r="P4563" s="128" t="s">
        <v>26918</v>
      </c>
      <c r="Q4563" s="124">
        <f>342907+142689</f>
        <v>485596</v>
      </c>
      <c r="R4563" s="124" t="s">
        <v>16348</v>
      </c>
      <c r="S4563" s="132">
        <v>339082</v>
      </c>
      <c r="T4563" s="129">
        <f>S4563/Q4563</f>
        <v>0.69828005173024488</v>
      </c>
      <c r="V4563" s="125" t="s">
        <v>24835</v>
      </c>
    </row>
    <row r="4564" spans="1:22" customFormat="1" x14ac:dyDescent="0.45">
      <c r="A4564">
        <v>816962</v>
      </c>
      <c r="B4564" t="s">
        <v>24836</v>
      </c>
      <c r="C4564" t="s">
        <v>24837</v>
      </c>
      <c r="D4564">
        <v>0</v>
      </c>
      <c r="E4564" t="s">
        <v>16561</v>
      </c>
      <c r="F4564" s="126"/>
      <c r="G4564" s="3"/>
      <c r="H4564" s="3"/>
      <c r="I4564" s="3"/>
      <c r="J4564" s="3"/>
      <c r="K4564" s="3">
        <f t="shared" si="166"/>
        <v>0</v>
      </c>
      <c r="L4564" s="3"/>
      <c r="M4564" s="3">
        <f t="shared" si="167"/>
        <v>0</v>
      </c>
      <c r="O4564" s="5"/>
      <c r="S4564" s="6"/>
    </row>
    <row r="4565" spans="1:22" customFormat="1" x14ac:dyDescent="0.45">
      <c r="A4565">
        <v>817090</v>
      </c>
      <c r="B4565" t="s">
        <v>24838</v>
      </c>
      <c r="C4565" t="s">
        <v>24839</v>
      </c>
      <c r="D4565">
        <v>5</v>
      </c>
      <c r="F4565" s="126"/>
      <c r="G4565" s="7">
        <v>0</v>
      </c>
      <c r="H4565" s="7">
        <v>0</v>
      </c>
      <c r="I4565" s="7">
        <v>0</v>
      </c>
      <c r="J4565" s="7">
        <v>0</v>
      </c>
      <c r="K4565" s="3">
        <f t="shared" si="166"/>
        <v>0</v>
      </c>
      <c r="L4565" s="3"/>
      <c r="M4565" s="3">
        <f t="shared" si="167"/>
        <v>0</v>
      </c>
      <c r="O4565" s="5"/>
      <c r="S4565" s="6"/>
    </row>
    <row r="4566" spans="1:22" customFormat="1" x14ac:dyDescent="0.45">
      <c r="A4566">
        <v>817188</v>
      </c>
      <c r="B4566" t="s">
        <v>24840</v>
      </c>
      <c r="C4566" s="2" t="s">
        <v>24841</v>
      </c>
      <c r="D4566">
        <v>5</v>
      </c>
      <c r="F4566" s="126"/>
      <c r="G4566" s="7">
        <v>0</v>
      </c>
      <c r="H4566" s="7">
        <v>0</v>
      </c>
      <c r="I4566" s="7">
        <v>0</v>
      </c>
      <c r="J4566" s="7">
        <v>0</v>
      </c>
      <c r="K4566" s="3">
        <f t="shared" si="166"/>
        <v>0</v>
      </c>
      <c r="L4566" s="3"/>
      <c r="M4566" s="3">
        <f t="shared" si="167"/>
        <v>0</v>
      </c>
      <c r="O4566" s="5"/>
      <c r="S4566" s="6"/>
    </row>
    <row r="4567" spans="1:22" customFormat="1" x14ac:dyDescent="0.45">
      <c r="A4567">
        <v>817231</v>
      </c>
      <c r="B4567" t="s">
        <v>24842</v>
      </c>
      <c r="C4567" t="s">
        <v>24843</v>
      </c>
      <c r="D4567">
        <v>0</v>
      </c>
      <c r="E4567" t="s">
        <v>16561</v>
      </c>
      <c r="F4567" s="126"/>
      <c r="G4567" s="7">
        <v>0</v>
      </c>
      <c r="H4567" s="7">
        <v>0</v>
      </c>
      <c r="I4567" s="7">
        <v>0</v>
      </c>
      <c r="J4567" s="7">
        <v>0</v>
      </c>
      <c r="K4567" s="3">
        <f t="shared" si="166"/>
        <v>0</v>
      </c>
      <c r="L4567" s="3"/>
      <c r="M4567" s="3">
        <f t="shared" si="167"/>
        <v>0</v>
      </c>
      <c r="N4567" s="7"/>
      <c r="O4567" s="5"/>
      <c r="S4567" s="6"/>
    </row>
    <row r="4568" spans="1:22" customFormat="1" x14ac:dyDescent="0.45">
      <c r="A4568">
        <v>819330</v>
      </c>
      <c r="B4568" t="s">
        <v>24844</v>
      </c>
      <c r="C4568" t="s">
        <v>24845</v>
      </c>
      <c r="D4568">
        <v>4</v>
      </c>
      <c r="F4568" s="126"/>
      <c r="G4568" s="3">
        <v>0</v>
      </c>
      <c r="H4568" s="3">
        <v>0</v>
      </c>
      <c r="I4568" s="3">
        <v>0</v>
      </c>
      <c r="J4568" s="3">
        <v>0</v>
      </c>
      <c r="K4568" s="3">
        <f t="shared" si="166"/>
        <v>0</v>
      </c>
      <c r="L4568" s="3"/>
      <c r="M4568" s="3">
        <f t="shared" si="167"/>
        <v>0</v>
      </c>
      <c r="O4568" s="5"/>
      <c r="S4568" s="6"/>
    </row>
    <row r="4569" spans="1:22" customFormat="1" x14ac:dyDescent="0.45">
      <c r="A4569">
        <v>820107</v>
      </c>
      <c r="B4569" t="s">
        <v>24846</v>
      </c>
      <c r="C4569" s="2" t="s">
        <v>24847</v>
      </c>
      <c r="D4569">
        <v>1</v>
      </c>
      <c r="F4569" s="126"/>
      <c r="G4569" s="3">
        <v>0</v>
      </c>
      <c r="H4569" s="3">
        <v>0</v>
      </c>
      <c r="I4569" s="3">
        <v>0</v>
      </c>
      <c r="J4569" s="3">
        <v>0</v>
      </c>
      <c r="K4569" s="3">
        <f t="shared" si="166"/>
        <v>0</v>
      </c>
      <c r="L4569" s="3"/>
      <c r="M4569" s="3">
        <f t="shared" si="167"/>
        <v>0</v>
      </c>
      <c r="O4569" s="5"/>
      <c r="S4569" s="6"/>
    </row>
    <row r="4570" spans="1:22" customFormat="1" x14ac:dyDescent="0.45">
      <c r="A4570">
        <v>820175</v>
      </c>
      <c r="B4570" t="s">
        <v>24848</v>
      </c>
      <c r="C4570" t="s">
        <v>16331</v>
      </c>
      <c r="D4570">
        <v>1</v>
      </c>
      <c r="E4570" t="s">
        <v>16331</v>
      </c>
      <c r="F4570" s="126"/>
      <c r="G4570" s="7">
        <v>0</v>
      </c>
      <c r="H4570" s="7">
        <v>0</v>
      </c>
      <c r="I4570" s="7">
        <v>0</v>
      </c>
      <c r="J4570" s="7">
        <v>0</v>
      </c>
      <c r="K4570" s="3">
        <f t="shared" si="166"/>
        <v>0</v>
      </c>
      <c r="L4570" s="3"/>
      <c r="M4570" s="3">
        <f t="shared" si="167"/>
        <v>0</v>
      </c>
      <c r="O4570" s="5"/>
      <c r="S4570" s="6"/>
    </row>
    <row r="4571" spans="1:22" customFormat="1" x14ac:dyDescent="0.45">
      <c r="A4571">
        <v>820272</v>
      </c>
      <c r="B4571" t="s">
        <v>24849</v>
      </c>
      <c r="C4571" t="s">
        <v>24850</v>
      </c>
      <c r="D4571">
        <v>3</v>
      </c>
      <c r="F4571" s="126"/>
      <c r="G4571" s="7">
        <v>0</v>
      </c>
      <c r="H4571" s="7">
        <v>0</v>
      </c>
      <c r="I4571" s="7">
        <v>0</v>
      </c>
      <c r="J4571" s="7">
        <v>0</v>
      </c>
      <c r="K4571" s="3">
        <f t="shared" si="166"/>
        <v>0</v>
      </c>
      <c r="L4571" s="3"/>
      <c r="M4571" s="3">
        <f t="shared" si="167"/>
        <v>0</v>
      </c>
      <c r="O4571" s="5"/>
      <c r="S4571" s="6"/>
    </row>
    <row r="4572" spans="1:22" customFormat="1" x14ac:dyDescent="0.45">
      <c r="A4572">
        <v>820474</v>
      </c>
      <c r="B4572" t="s">
        <v>24851</v>
      </c>
      <c r="C4572" t="s">
        <v>16331</v>
      </c>
      <c r="D4572">
        <v>0</v>
      </c>
      <c r="E4572" t="s">
        <v>16331</v>
      </c>
      <c r="F4572" s="126"/>
      <c r="G4572" s="7">
        <v>0</v>
      </c>
      <c r="H4572" s="7">
        <v>0</v>
      </c>
      <c r="I4572" s="7">
        <v>0</v>
      </c>
      <c r="J4572" s="7">
        <v>0</v>
      </c>
      <c r="K4572" s="3">
        <f t="shared" si="166"/>
        <v>0</v>
      </c>
      <c r="L4572" s="3"/>
      <c r="M4572" s="3">
        <f t="shared" si="167"/>
        <v>0</v>
      </c>
      <c r="O4572" s="5"/>
      <c r="S4572" s="6"/>
    </row>
    <row r="4573" spans="1:22" customFormat="1" x14ac:dyDescent="0.45">
      <c r="A4573">
        <v>820516</v>
      </c>
      <c r="B4573" t="s">
        <v>24852</v>
      </c>
      <c r="C4573" t="s">
        <v>16331</v>
      </c>
      <c r="D4573">
        <v>0</v>
      </c>
      <c r="E4573" t="s">
        <v>16331</v>
      </c>
      <c r="F4573" s="126"/>
      <c r="G4573" s="7">
        <v>0</v>
      </c>
      <c r="H4573" s="7">
        <v>0</v>
      </c>
      <c r="I4573" s="7">
        <v>0</v>
      </c>
      <c r="J4573" s="7">
        <v>0</v>
      </c>
      <c r="K4573" s="3">
        <f t="shared" si="166"/>
        <v>0</v>
      </c>
      <c r="L4573" s="3"/>
      <c r="M4573" s="3">
        <f t="shared" si="167"/>
        <v>0</v>
      </c>
      <c r="O4573" s="5"/>
      <c r="S4573" s="6"/>
    </row>
    <row r="4574" spans="1:22" x14ac:dyDescent="0.45">
      <c r="A4574" s="124">
        <v>452299</v>
      </c>
      <c r="B4574" s="124" t="s">
        <v>24853</v>
      </c>
      <c r="C4574" s="124" t="s">
        <v>24854</v>
      </c>
      <c r="D4574" s="124">
        <v>4</v>
      </c>
      <c r="E4574" s="124" t="s">
        <v>16334</v>
      </c>
      <c r="F4574" s="126">
        <v>1.6999999999999999E-3</v>
      </c>
      <c r="G4574" s="137">
        <v>2.5000000000000001E-2</v>
      </c>
      <c r="H4574" s="126">
        <v>2.5000000000000001E-3</v>
      </c>
      <c r="I4574" s="127"/>
      <c r="J4574" s="127"/>
      <c r="K4574" s="126">
        <f t="shared" si="166"/>
        <v>2.75E-2</v>
      </c>
      <c r="L4574" s="3"/>
      <c r="M4574" s="126">
        <f t="shared" si="167"/>
        <v>2.92E-2</v>
      </c>
      <c r="O4574" s="131" t="s">
        <v>24855</v>
      </c>
      <c r="P4574" s="128" t="s">
        <v>26918</v>
      </c>
      <c r="Q4574" s="124">
        <f>178540+130587</f>
        <v>309127</v>
      </c>
      <c r="R4574" s="124" t="s">
        <v>16348</v>
      </c>
      <c r="S4574" s="132">
        <v>127032</v>
      </c>
      <c r="T4574" s="129">
        <f>S4574/Q4574</f>
        <v>0.41093789930999236</v>
      </c>
      <c r="V4574" s="125" t="s">
        <v>24856</v>
      </c>
    </row>
    <row r="4575" spans="1:22" customFormat="1" x14ac:dyDescent="0.45">
      <c r="A4575">
        <v>820598</v>
      </c>
      <c r="B4575" t="s">
        <v>24857</v>
      </c>
      <c r="C4575" t="s">
        <v>16331</v>
      </c>
      <c r="D4575">
        <v>1</v>
      </c>
      <c r="E4575" t="s">
        <v>16331</v>
      </c>
      <c r="F4575" s="126"/>
      <c r="K4575" s="3">
        <f t="shared" si="166"/>
        <v>0</v>
      </c>
      <c r="L4575" s="3"/>
      <c r="M4575" s="3">
        <f t="shared" si="167"/>
        <v>0</v>
      </c>
      <c r="O4575" s="5"/>
      <c r="S4575" s="6"/>
    </row>
    <row r="4576" spans="1:22" customFormat="1" x14ac:dyDescent="0.45">
      <c r="A4576">
        <v>820721</v>
      </c>
      <c r="B4576" t="s">
        <v>24858</v>
      </c>
      <c r="C4576" t="s">
        <v>16331</v>
      </c>
      <c r="D4576">
        <v>1</v>
      </c>
      <c r="E4576" t="s">
        <v>16331</v>
      </c>
      <c r="F4576" s="126"/>
      <c r="K4576" s="3">
        <f t="shared" si="166"/>
        <v>0</v>
      </c>
      <c r="L4576" s="3"/>
      <c r="M4576" s="3">
        <f t="shared" si="167"/>
        <v>0</v>
      </c>
      <c r="O4576" s="5"/>
      <c r="S4576" s="6"/>
    </row>
    <row r="4577" spans="1:22" x14ac:dyDescent="0.45">
      <c r="A4577" s="124">
        <v>945057</v>
      </c>
      <c r="B4577" s="124" t="s">
        <v>24859</v>
      </c>
      <c r="C4577" s="124" t="s">
        <v>24860</v>
      </c>
      <c r="D4577" s="124">
        <v>2</v>
      </c>
      <c r="E4577" s="124" t="s">
        <v>16334</v>
      </c>
      <c r="F4577" s="126">
        <v>1.6999999999999999E-3</v>
      </c>
      <c r="G4577" s="126">
        <v>1.6E-2</v>
      </c>
      <c r="H4577" s="126">
        <v>0.01</v>
      </c>
      <c r="I4577" s="127"/>
      <c r="J4577" s="127"/>
      <c r="K4577" s="126">
        <f t="shared" si="166"/>
        <v>2.6000000000000002E-2</v>
      </c>
      <c r="L4577" s="3"/>
      <c r="M4577" s="126">
        <f t="shared" si="167"/>
        <v>2.7700000000000002E-2</v>
      </c>
      <c r="O4577" s="131" t="s">
        <v>24861</v>
      </c>
      <c r="P4577" s="128" t="s">
        <v>26918</v>
      </c>
      <c r="Q4577" s="124">
        <f>125671+57848</f>
        <v>183519</v>
      </c>
      <c r="R4577" s="124" t="s">
        <v>16348</v>
      </c>
      <c r="S4577" s="132">
        <v>125671</v>
      </c>
      <c r="T4577" s="129">
        <f>S4577/Q4577</f>
        <v>0.68478468169508333</v>
      </c>
      <c r="V4577" s="125" t="s">
        <v>24862</v>
      </c>
    </row>
    <row r="4578" spans="1:22" x14ac:dyDescent="0.45">
      <c r="A4578" s="124">
        <v>915247</v>
      </c>
      <c r="B4578" s="124" t="s">
        <v>24863</v>
      </c>
      <c r="C4578" s="124" t="s">
        <v>24864</v>
      </c>
      <c r="D4578" s="124">
        <v>1</v>
      </c>
      <c r="E4578" s="124" t="s">
        <v>16334</v>
      </c>
      <c r="F4578" s="126">
        <v>1.6999999999999999E-3</v>
      </c>
      <c r="G4578" s="126">
        <v>7.4999999999999997E-3</v>
      </c>
      <c r="H4578" s="126">
        <v>1.6E-2</v>
      </c>
      <c r="I4578" s="127">
        <v>0</v>
      </c>
      <c r="J4578" s="127"/>
      <c r="K4578" s="126">
        <f t="shared" si="166"/>
        <v>2.35E-2</v>
      </c>
      <c r="L4578" s="3"/>
      <c r="M4578" s="126">
        <f t="shared" si="167"/>
        <v>2.52E-2</v>
      </c>
      <c r="O4578" s="131" t="s">
        <v>24865</v>
      </c>
      <c r="P4578" s="128" t="s">
        <v>26918</v>
      </c>
      <c r="Q4578" s="124">
        <f>71900+59137</f>
        <v>131037</v>
      </c>
      <c r="R4578" s="124" t="s">
        <v>16348</v>
      </c>
      <c r="S4578" s="132">
        <v>56641</v>
      </c>
      <c r="T4578" s="129">
        <f>S4578/Q4578</f>
        <v>0.43225195937025418</v>
      </c>
      <c r="V4578" s="125" t="s">
        <v>24866</v>
      </c>
    </row>
    <row r="4579" spans="1:22" customFormat="1" x14ac:dyDescent="0.45">
      <c r="A4579">
        <v>821691</v>
      </c>
      <c r="B4579" t="s">
        <v>24867</v>
      </c>
      <c r="C4579" t="s">
        <v>24868</v>
      </c>
      <c r="D4579">
        <v>1</v>
      </c>
      <c r="F4579" s="126"/>
      <c r="G4579" s="7">
        <v>0</v>
      </c>
      <c r="H4579" s="7">
        <v>0</v>
      </c>
      <c r="I4579" s="7">
        <v>0</v>
      </c>
      <c r="J4579" s="7">
        <v>0</v>
      </c>
      <c r="K4579" s="3">
        <f t="shared" si="166"/>
        <v>0</v>
      </c>
      <c r="L4579" s="3"/>
      <c r="M4579" s="3">
        <f t="shared" si="167"/>
        <v>0</v>
      </c>
      <c r="O4579" s="5"/>
      <c r="S4579" s="6"/>
    </row>
    <row r="4580" spans="1:22" customFormat="1" x14ac:dyDescent="0.45">
      <c r="A4580">
        <v>821876</v>
      </c>
      <c r="B4580" t="s">
        <v>24869</v>
      </c>
      <c r="C4580" t="s">
        <v>16331</v>
      </c>
      <c r="D4580">
        <v>3</v>
      </c>
      <c r="E4580" t="s">
        <v>16331</v>
      </c>
      <c r="F4580" s="126"/>
      <c r="K4580" s="3">
        <f t="shared" si="166"/>
        <v>0</v>
      </c>
      <c r="L4580" s="3"/>
      <c r="M4580" s="3">
        <f t="shared" si="167"/>
        <v>0</v>
      </c>
      <c r="O4580" s="5"/>
      <c r="S4580" s="6"/>
    </row>
    <row r="4581" spans="1:22" customFormat="1" x14ac:dyDescent="0.45">
      <c r="A4581">
        <v>822396</v>
      </c>
      <c r="B4581" t="s">
        <v>24870</v>
      </c>
      <c r="C4581" t="s">
        <v>24871</v>
      </c>
      <c r="D4581">
        <v>3</v>
      </c>
      <c r="F4581" s="126"/>
      <c r="G4581" s="7">
        <v>0</v>
      </c>
      <c r="H4581" s="7">
        <v>0</v>
      </c>
      <c r="I4581" s="7">
        <v>0</v>
      </c>
      <c r="J4581" s="7">
        <v>0</v>
      </c>
      <c r="K4581" s="3">
        <f t="shared" si="166"/>
        <v>0</v>
      </c>
      <c r="L4581" s="3"/>
      <c r="M4581" s="3">
        <f t="shared" si="167"/>
        <v>0</v>
      </c>
      <c r="O4581" s="5"/>
      <c r="S4581" s="6"/>
    </row>
    <row r="4582" spans="1:22" customFormat="1" x14ac:dyDescent="0.45">
      <c r="A4582">
        <v>822509</v>
      </c>
      <c r="B4582" t="s">
        <v>24872</v>
      </c>
      <c r="C4582" t="s">
        <v>24873</v>
      </c>
      <c r="D4582">
        <v>0</v>
      </c>
      <c r="E4582" t="s">
        <v>16561</v>
      </c>
      <c r="F4582" s="126"/>
      <c r="G4582" s="7">
        <v>0</v>
      </c>
      <c r="H4582" s="7">
        <v>0</v>
      </c>
      <c r="I4582" s="7">
        <v>0</v>
      </c>
      <c r="J4582" s="7">
        <v>0</v>
      </c>
      <c r="K4582" s="3">
        <f t="shared" si="166"/>
        <v>0</v>
      </c>
      <c r="L4582" s="3"/>
      <c r="M4582" s="3">
        <f t="shared" si="167"/>
        <v>0</v>
      </c>
      <c r="N4582" s="7"/>
      <c r="O4582" s="5"/>
      <c r="S4582" s="6"/>
    </row>
    <row r="4583" spans="1:22" customFormat="1" x14ac:dyDescent="0.45">
      <c r="A4583">
        <v>822862</v>
      </c>
      <c r="B4583" t="s">
        <v>24874</v>
      </c>
      <c r="C4583" t="s">
        <v>24875</v>
      </c>
      <c r="D4583">
        <v>2</v>
      </c>
      <c r="F4583" s="126"/>
      <c r="G4583" s="3">
        <v>0</v>
      </c>
      <c r="H4583" s="3">
        <v>0</v>
      </c>
      <c r="I4583" s="3">
        <v>0</v>
      </c>
      <c r="J4583" s="3">
        <v>0</v>
      </c>
      <c r="K4583" s="3">
        <f t="shared" si="166"/>
        <v>0</v>
      </c>
      <c r="L4583" s="3"/>
      <c r="M4583" s="3">
        <f t="shared" si="167"/>
        <v>0</v>
      </c>
      <c r="O4583" s="5"/>
      <c r="S4583" s="6"/>
    </row>
    <row r="4584" spans="1:22" customFormat="1" x14ac:dyDescent="0.45">
      <c r="A4584">
        <v>823017</v>
      </c>
      <c r="B4584" t="s">
        <v>24876</v>
      </c>
      <c r="C4584" t="s">
        <v>24877</v>
      </c>
      <c r="D4584">
        <v>1</v>
      </c>
      <c r="F4584" s="126"/>
      <c r="K4584" s="3">
        <f t="shared" si="166"/>
        <v>0</v>
      </c>
      <c r="L4584" s="3"/>
      <c r="M4584" s="3">
        <f t="shared" si="167"/>
        <v>0</v>
      </c>
      <c r="O4584" s="5"/>
      <c r="S4584" s="6"/>
    </row>
    <row r="4585" spans="1:22" customFormat="1" x14ac:dyDescent="0.45">
      <c r="A4585">
        <v>823315</v>
      </c>
      <c r="B4585" t="s">
        <v>24878</v>
      </c>
      <c r="C4585" t="s">
        <v>24879</v>
      </c>
      <c r="D4585">
        <v>0</v>
      </c>
      <c r="E4585" t="s">
        <v>16334</v>
      </c>
      <c r="F4585" s="126"/>
      <c r="G4585" s="7">
        <v>0</v>
      </c>
      <c r="H4585" s="7">
        <v>0</v>
      </c>
      <c r="I4585" s="7">
        <v>0</v>
      </c>
      <c r="J4585" s="7">
        <v>0</v>
      </c>
      <c r="K4585" s="3">
        <f t="shared" si="166"/>
        <v>0</v>
      </c>
      <c r="L4585" s="3"/>
      <c r="M4585" s="3">
        <f t="shared" si="167"/>
        <v>0</v>
      </c>
      <c r="N4585" s="7"/>
      <c r="O4585" s="5"/>
      <c r="S4585" s="6"/>
    </row>
    <row r="4586" spans="1:22" customFormat="1" x14ac:dyDescent="0.45">
      <c r="A4586">
        <v>823699</v>
      </c>
      <c r="B4586" t="s">
        <v>24880</v>
      </c>
      <c r="C4586" t="s">
        <v>16331</v>
      </c>
      <c r="D4586">
        <v>8</v>
      </c>
      <c r="E4586" t="s">
        <v>16331</v>
      </c>
      <c r="F4586" s="126"/>
      <c r="G4586" s="7">
        <v>0</v>
      </c>
      <c r="H4586" s="7">
        <v>0</v>
      </c>
      <c r="I4586" s="7">
        <v>0</v>
      </c>
      <c r="J4586" s="7">
        <v>0</v>
      </c>
      <c r="K4586" s="3">
        <f t="shared" si="166"/>
        <v>0</v>
      </c>
      <c r="L4586" s="3"/>
      <c r="M4586" s="3">
        <f t="shared" si="167"/>
        <v>0</v>
      </c>
      <c r="N4586" s="7"/>
      <c r="O4586" s="5"/>
      <c r="S4586" s="6"/>
    </row>
    <row r="4587" spans="1:22" x14ac:dyDescent="0.45">
      <c r="A4587" s="124">
        <v>631117</v>
      </c>
      <c r="B4587" s="124" t="s">
        <v>24881</v>
      </c>
      <c r="C4587" s="125" t="s">
        <v>24882</v>
      </c>
      <c r="D4587" s="124">
        <v>22</v>
      </c>
      <c r="E4587" s="124" t="s">
        <v>16417</v>
      </c>
      <c r="F4587" s="126">
        <f>(0.99%+0.66%)/2</f>
        <v>8.2500000000000004E-3</v>
      </c>
      <c r="G4587" s="126">
        <v>0.02</v>
      </c>
      <c r="H4587" s="126">
        <v>7.4999999999999997E-3</v>
      </c>
      <c r="I4587" s="127">
        <v>0</v>
      </c>
      <c r="J4587" s="127">
        <v>0</v>
      </c>
      <c r="K4587" s="126">
        <f t="shared" si="166"/>
        <v>2.75E-2</v>
      </c>
      <c r="L4587" s="9"/>
      <c r="M4587" s="126">
        <f t="shared" si="167"/>
        <v>3.5750000000000004E-2</v>
      </c>
      <c r="N4587" s="124" t="s">
        <v>24883</v>
      </c>
      <c r="O4587" s="131" t="s">
        <v>24884</v>
      </c>
      <c r="Q4587" s="130">
        <f>21895536+2387310</f>
        <v>24282846</v>
      </c>
      <c r="R4587" s="124" t="s">
        <v>16348</v>
      </c>
      <c r="S4587" s="130">
        <v>21891619</v>
      </c>
      <c r="T4587" s="129">
        <f>S4587/Q4587</f>
        <v>0.90152608141566271</v>
      </c>
      <c r="V4587" s="125" t="s">
        <v>24885</v>
      </c>
    </row>
    <row r="4588" spans="1:22" customFormat="1" x14ac:dyDescent="0.45">
      <c r="A4588">
        <v>823705</v>
      </c>
      <c r="B4588" t="s">
        <v>24886</v>
      </c>
      <c r="C4588" t="s">
        <v>24887</v>
      </c>
      <c r="D4588">
        <v>1</v>
      </c>
      <c r="F4588" s="126"/>
      <c r="G4588" s="3">
        <v>0</v>
      </c>
      <c r="H4588" s="3">
        <v>0</v>
      </c>
      <c r="I4588" s="3">
        <v>0</v>
      </c>
      <c r="J4588" s="3">
        <v>0</v>
      </c>
      <c r="K4588" s="3">
        <f t="shared" si="166"/>
        <v>0</v>
      </c>
      <c r="L4588" s="3"/>
      <c r="M4588" s="3">
        <f t="shared" si="167"/>
        <v>0</v>
      </c>
      <c r="O4588" s="5"/>
      <c r="S4588" s="6"/>
    </row>
    <row r="4589" spans="1:22" customFormat="1" x14ac:dyDescent="0.45">
      <c r="A4589">
        <v>823706</v>
      </c>
      <c r="B4589" t="s">
        <v>24888</v>
      </c>
      <c r="C4589" t="s">
        <v>24889</v>
      </c>
      <c r="D4589">
        <v>3</v>
      </c>
      <c r="F4589" s="126"/>
      <c r="K4589" s="3">
        <f t="shared" si="166"/>
        <v>0</v>
      </c>
      <c r="L4589" s="3"/>
      <c r="M4589" s="3">
        <f t="shared" si="167"/>
        <v>0</v>
      </c>
      <c r="O4589" s="5"/>
      <c r="S4589" s="6"/>
    </row>
    <row r="4590" spans="1:22" customFormat="1" x14ac:dyDescent="0.45">
      <c r="A4590">
        <v>823733</v>
      </c>
      <c r="B4590" t="s">
        <v>24890</v>
      </c>
      <c r="C4590" t="s">
        <v>24891</v>
      </c>
      <c r="D4590">
        <v>2</v>
      </c>
      <c r="F4590" s="126"/>
      <c r="G4590" s="3">
        <v>0</v>
      </c>
      <c r="H4590" s="3">
        <v>0</v>
      </c>
      <c r="I4590" s="3">
        <v>0</v>
      </c>
      <c r="J4590" s="3">
        <v>0</v>
      </c>
      <c r="K4590" s="3">
        <f t="shared" si="166"/>
        <v>0</v>
      </c>
      <c r="L4590" s="3"/>
      <c r="M4590" s="3">
        <f t="shared" si="167"/>
        <v>0</v>
      </c>
      <c r="O4590" s="5"/>
      <c r="S4590" s="6"/>
    </row>
    <row r="4591" spans="1:22" customFormat="1" x14ac:dyDescent="0.45">
      <c r="A4591">
        <v>823801</v>
      </c>
      <c r="B4591" t="s">
        <v>24892</v>
      </c>
      <c r="C4591" t="s">
        <v>24893</v>
      </c>
      <c r="D4591">
        <v>1</v>
      </c>
      <c r="F4591" s="126"/>
      <c r="G4591" s="3">
        <v>0</v>
      </c>
      <c r="H4591" s="3">
        <v>0</v>
      </c>
      <c r="I4591" s="3">
        <v>0</v>
      </c>
      <c r="J4591" s="3">
        <v>0</v>
      </c>
      <c r="K4591" s="3">
        <f t="shared" si="166"/>
        <v>0</v>
      </c>
      <c r="L4591" s="3"/>
      <c r="M4591" s="3">
        <f t="shared" si="167"/>
        <v>0</v>
      </c>
      <c r="O4591" s="5"/>
      <c r="S4591" s="6"/>
    </row>
    <row r="4592" spans="1:22" customFormat="1" x14ac:dyDescent="0.45">
      <c r="A4592">
        <v>823869</v>
      </c>
      <c r="B4592" t="s">
        <v>24894</v>
      </c>
      <c r="C4592" t="s">
        <v>24895</v>
      </c>
      <c r="D4592">
        <v>1</v>
      </c>
      <c r="F4592" s="126"/>
      <c r="G4592" s="7">
        <v>0</v>
      </c>
      <c r="H4592" s="7">
        <v>0</v>
      </c>
      <c r="I4592" s="7">
        <v>0</v>
      </c>
      <c r="J4592" s="7">
        <v>0</v>
      </c>
      <c r="K4592" s="3">
        <f t="shared" si="166"/>
        <v>0</v>
      </c>
      <c r="L4592" s="3"/>
      <c r="M4592" s="3">
        <f t="shared" si="167"/>
        <v>0</v>
      </c>
      <c r="O4592" s="5"/>
      <c r="S4592" s="6"/>
    </row>
    <row r="4593" spans="1:23" x14ac:dyDescent="0.45">
      <c r="A4593" s="124">
        <v>985418</v>
      </c>
      <c r="B4593" s="124" t="s">
        <v>24896</v>
      </c>
      <c r="C4593" s="124" t="s">
        <v>24897</v>
      </c>
      <c r="D4593" s="124">
        <v>2</v>
      </c>
      <c r="E4593" s="124" t="s">
        <v>16334</v>
      </c>
      <c r="F4593" s="126">
        <v>1.6999999999999999E-3</v>
      </c>
      <c r="G4593" s="126">
        <v>4.4999999999999998E-2</v>
      </c>
      <c r="H4593" s="126">
        <f>(10200/100000)/2</f>
        <v>5.0999999999999997E-2</v>
      </c>
      <c r="I4593" s="127">
        <v>0</v>
      </c>
      <c r="J4593" s="127"/>
      <c r="K4593" s="126">
        <f ca="1">SUM(G4593:K4593)</f>
        <v>6.5000000000000002E-2</v>
      </c>
      <c r="L4593" s="3"/>
      <c r="M4593" s="126">
        <f>SUM(F4593:I4593)</f>
        <v>9.7699999999999995E-2</v>
      </c>
      <c r="N4593" s="124" t="s">
        <v>24898</v>
      </c>
      <c r="O4593" s="131" t="s">
        <v>24899</v>
      </c>
      <c r="P4593" s="128" t="s">
        <v>26918</v>
      </c>
      <c r="Q4593" s="132">
        <v>36528</v>
      </c>
      <c r="R4593" s="124" t="s">
        <v>16348</v>
      </c>
      <c r="S4593" s="132">
        <v>11295</v>
      </c>
      <c r="T4593" s="129">
        <f>S4593/Q4593</f>
        <v>0.30921484888304862</v>
      </c>
      <c r="V4593" s="125" t="s">
        <v>24900</v>
      </c>
      <c r="W4593" s="124" t="s">
        <v>17021</v>
      </c>
    </row>
    <row r="4594" spans="1:23" x14ac:dyDescent="0.45">
      <c r="A4594" s="124">
        <v>477571</v>
      </c>
      <c r="B4594" s="124" t="s">
        <v>24901</v>
      </c>
      <c r="C4594" s="124" t="s">
        <v>24902</v>
      </c>
      <c r="D4594" s="124">
        <v>4</v>
      </c>
      <c r="E4594" s="124" t="s">
        <v>16334</v>
      </c>
      <c r="F4594" s="126">
        <v>1.6999999999999999E-3</v>
      </c>
      <c r="G4594" s="126">
        <v>1.2E-2</v>
      </c>
      <c r="H4594" s="126">
        <v>5.0000000000000001E-3</v>
      </c>
      <c r="I4594" s="127">
        <v>0</v>
      </c>
      <c r="J4594" s="127">
        <v>0</v>
      </c>
      <c r="K4594" s="126">
        <f t="shared" ref="K4594:K4657" si="168">SUM(G4594:J4594)</f>
        <v>1.7000000000000001E-2</v>
      </c>
      <c r="L4594" s="3"/>
      <c r="M4594" s="126">
        <f t="shared" ref="M4594:M4657" si="169">K4594+F4594</f>
        <v>1.8700000000000001E-2</v>
      </c>
      <c r="O4594" s="131" t="s">
        <v>24903</v>
      </c>
      <c r="P4594" s="128" t="s">
        <v>26918</v>
      </c>
      <c r="Q4594" s="130">
        <f>350278+224882</f>
        <v>575160</v>
      </c>
      <c r="R4594" s="124" t="s">
        <v>16348</v>
      </c>
      <c r="S4594" s="132">
        <v>342605</v>
      </c>
      <c r="T4594" s="129">
        <f>S4594/Q4594</f>
        <v>0.5956690312260936</v>
      </c>
      <c r="V4594" s="125" t="s">
        <v>24904</v>
      </c>
    </row>
    <row r="4595" spans="1:23" customFormat="1" x14ac:dyDescent="0.45">
      <c r="A4595">
        <v>823964</v>
      </c>
      <c r="B4595" t="s">
        <v>24905</v>
      </c>
      <c r="C4595" t="s">
        <v>16331</v>
      </c>
      <c r="D4595">
        <v>1</v>
      </c>
      <c r="E4595" t="s">
        <v>16331</v>
      </c>
      <c r="F4595" s="126"/>
      <c r="G4595" s="7">
        <v>0</v>
      </c>
      <c r="H4595" s="7">
        <v>0</v>
      </c>
      <c r="I4595" s="7">
        <v>0</v>
      </c>
      <c r="J4595" s="7">
        <v>0</v>
      </c>
      <c r="K4595" s="3">
        <f t="shared" si="168"/>
        <v>0</v>
      </c>
      <c r="L4595" s="3"/>
      <c r="M4595" s="3">
        <f t="shared" si="169"/>
        <v>0</v>
      </c>
      <c r="O4595" s="5"/>
      <c r="S4595" s="6"/>
    </row>
    <row r="4596" spans="1:23" customFormat="1" x14ac:dyDescent="0.45">
      <c r="A4596">
        <v>824132</v>
      </c>
      <c r="B4596" t="s">
        <v>24906</v>
      </c>
      <c r="C4596" t="s">
        <v>24907</v>
      </c>
      <c r="D4596">
        <v>4</v>
      </c>
      <c r="F4596" s="126"/>
      <c r="G4596" s="7">
        <v>0</v>
      </c>
      <c r="H4596" s="7">
        <v>0</v>
      </c>
      <c r="I4596" s="7">
        <v>0</v>
      </c>
      <c r="J4596" s="7">
        <v>0</v>
      </c>
      <c r="K4596" s="3">
        <f t="shared" si="168"/>
        <v>0</v>
      </c>
      <c r="L4596" s="3"/>
      <c r="M4596" s="3">
        <f t="shared" si="169"/>
        <v>0</v>
      </c>
      <c r="N4596" s="7"/>
      <c r="O4596" s="5"/>
      <c r="S4596" s="6"/>
    </row>
    <row r="4597" spans="1:23" customFormat="1" x14ac:dyDescent="0.45">
      <c r="A4597">
        <v>824411</v>
      </c>
      <c r="B4597" t="s">
        <v>24908</v>
      </c>
      <c r="C4597" t="s">
        <v>24909</v>
      </c>
      <c r="D4597">
        <v>2</v>
      </c>
      <c r="F4597" s="126"/>
      <c r="G4597" s="3">
        <v>0</v>
      </c>
      <c r="H4597" s="3">
        <v>0</v>
      </c>
      <c r="I4597" s="3">
        <v>0</v>
      </c>
      <c r="J4597" s="3">
        <v>0</v>
      </c>
      <c r="K4597" s="3">
        <f t="shared" si="168"/>
        <v>0</v>
      </c>
      <c r="L4597" s="3"/>
      <c r="M4597" s="3">
        <f t="shared" si="169"/>
        <v>0</v>
      </c>
      <c r="O4597" s="5"/>
      <c r="S4597" s="6"/>
    </row>
    <row r="4598" spans="1:23" customFormat="1" x14ac:dyDescent="0.45">
      <c r="A4598">
        <v>825023</v>
      </c>
      <c r="B4598" t="s">
        <v>24910</v>
      </c>
      <c r="C4598" t="s">
        <v>24911</v>
      </c>
      <c r="D4598">
        <v>1</v>
      </c>
      <c r="F4598" s="126"/>
      <c r="G4598" s="3">
        <v>0</v>
      </c>
      <c r="H4598" s="3">
        <v>0</v>
      </c>
      <c r="I4598" s="3">
        <v>0</v>
      </c>
      <c r="J4598" s="3">
        <v>0</v>
      </c>
      <c r="K4598" s="3">
        <f t="shared" si="168"/>
        <v>0</v>
      </c>
      <c r="L4598" s="3"/>
      <c r="M4598" s="3">
        <f t="shared" si="169"/>
        <v>0</v>
      </c>
      <c r="O4598" s="5"/>
      <c r="S4598" s="6"/>
    </row>
    <row r="4599" spans="1:23" customFormat="1" x14ac:dyDescent="0.45">
      <c r="A4599">
        <v>825467</v>
      </c>
      <c r="B4599" t="s">
        <v>24912</v>
      </c>
      <c r="C4599" t="s">
        <v>24913</v>
      </c>
      <c r="D4599">
        <v>1</v>
      </c>
      <c r="F4599" s="126"/>
      <c r="G4599" s="7">
        <v>0</v>
      </c>
      <c r="H4599" s="7">
        <v>0</v>
      </c>
      <c r="I4599" s="7">
        <v>0</v>
      </c>
      <c r="J4599" s="7">
        <v>0</v>
      </c>
      <c r="K4599" s="3">
        <f t="shared" si="168"/>
        <v>0</v>
      </c>
      <c r="L4599" s="3"/>
      <c r="M4599" s="3">
        <f t="shared" si="169"/>
        <v>0</v>
      </c>
      <c r="O4599" s="5"/>
      <c r="S4599" s="6"/>
    </row>
    <row r="4600" spans="1:23" customFormat="1" x14ac:dyDescent="0.45">
      <c r="A4600">
        <v>825734</v>
      </c>
      <c r="B4600" t="s">
        <v>24914</v>
      </c>
      <c r="C4600" t="s">
        <v>24915</v>
      </c>
      <c r="D4600">
        <v>1</v>
      </c>
      <c r="F4600" s="126"/>
      <c r="G4600" s="7">
        <v>0</v>
      </c>
      <c r="H4600" s="7">
        <v>0</v>
      </c>
      <c r="I4600" s="7">
        <v>0</v>
      </c>
      <c r="J4600" s="7">
        <v>0</v>
      </c>
      <c r="K4600" s="3">
        <f t="shared" si="168"/>
        <v>0</v>
      </c>
      <c r="L4600" s="3"/>
      <c r="M4600" s="3">
        <f t="shared" si="169"/>
        <v>0</v>
      </c>
      <c r="O4600" s="5"/>
      <c r="S4600" s="6"/>
    </row>
    <row r="4601" spans="1:23" customFormat="1" x14ac:dyDescent="0.45">
      <c r="A4601">
        <v>825768</v>
      </c>
      <c r="B4601" t="s">
        <v>24916</v>
      </c>
      <c r="C4601" t="s">
        <v>16331</v>
      </c>
      <c r="D4601">
        <v>2</v>
      </c>
      <c r="E4601" t="s">
        <v>16331</v>
      </c>
      <c r="F4601" s="126"/>
      <c r="G4601" s="7">
        <v>0</v>
      </c>
      <c r="H4601" s="7">
        <v>0</v>
      </c>
      <c r="I4601" s="7">
        <v>0</v>
      </c>
      <c r="J4601" s="7">
        <v>0</v>
      </c>
      <c r="K4601" s="3">
        <f t="shared" si="168"/>
        <v>0</v>
      </c>
      <c r="L4601" s="3"/>
      <c r="M4601" s="3">
        <f t="shared" si="169"/>
        <v>0</v>
      </c>
      <c r="O4601" s="5"/>
      <c r="S4601" s="6"/>
    </row>
    <row r="4602" spans="1:23" customFormat="1" x14ac:dyDescent="0.45">
      <c r="A4602">
        <v>825843</v>
      </c>
      <c r="B4602" t="s">
        <v>24917</v>
      </c>
      <c r="C4602" t="s">
        <v>24918</v>
      </c>
      <c r="D4602">
        <v>2</v>
      </c>
      <c r="F4602" s="126"/>
      <c r="G4602" s="3">
        <v>0</v>
      </c>
      <c r="H4602" s="3">
        <v>0</v>
      </c>
      <c r="I4602" s="3">
        <v>0</v>
      </c>
      <c r="J4602" s="3">
        <v>0</v>
      </c>
      <c r="K4602" s="3">
        <f t="shared" si="168"/>
        <v>0</v>
      </c>
      <c r="L4602" s="3"/>
      <c r="M4602" s="3">
        <f t="shared" si="169"/>
        <v>0</v>
      </c>
      <c r="O4602" s="5"/>
      <c r="S4602" s="6"/>
    </row>
    <row r="4603" spans="1:23" customFormat="1" x14ac:dyDescent="0.45">
      <c r="A4603">
        <v>826117</v>
      </c>
      <c r="B4603" t="s">
        <v>24919</v>
      </c>
      <c r="C4603" t="s">
        <v>16331</v>
      </c>
      <c r="D4603">
        <v>1</v>
      </c>
      <c r="E4603" t="s">
        <v>16331</v>
      </c>
      <c r="F4603" s="126"/>
      <c r="G4603" s="7">
        <v>0</v>
      </c>
      <c r="H4603" s="7">
        <v>0</v>
      </c>
      <c r="I4603" s="7">
        <v>0</v>
      </c>
      <c r="J4603" s="7">
        <v>0</v>
      </c>
      <c r="K4603" s="3">
        <f t="shared" si="168"/>
        <v>0</v>
      </c>
      <c r="L4603" s="3"/>
      <c r="M4603" s="3">
        <f t="shared" si="169"/>
        <v>0</v>
      </c>
      <c r="O4603" s="5"/>
      <c r="S4603" s="6"/>
    </row>
    <row r="4604" spans="1:23" customFormat="1" x14ac:dyDescent="0.45">
      <c r="A4604">
        <v>826120</v>
      </c>
      <c r="B4604" t="s">
        <v>24920</v>
      </c>
      <c r="C4604" t="s">
        <v>24921</v>
      </c>
      <c r="D4604">
        <v>1</v>
      </c>
      <c r="F4604" s="126"/>
      <c r="H4604" s="19" t="s">
        <v>24922</v>
      </c>
      <c r="I4604" s="19"/>
      <c r="J4604" s="19"/>
      <c r="K4604" s="3">
        <f t="shared" si="168"/>
        <v>0</v>
      </c>
      <c r="L4604" s="3"/>
      <c r="M4604" s="3">
        <f t="shared" si="169"/>
        <v>0</v>
      </c>
      <c r="O4604" s="5"/>
      <c r="S4604" s="6"/>
    </row>
    <row r="4605" spans="1:23" customFormat="1" x14ac:dyDescent="0.45">
      <c r="A4605">
        <v>826126</v>
      </c>
      <c r="B4605" t="s">
        <v>24923</v>
      </c>
      <c r="C4605" t="s">
        <v>24924</v>
      </c>
      <c r="D4605">
        <v>2</v>
      </c>
      <c r="F4605" s="126"/>
      <c r="G4605" s="7">
        <v>0</v>
      </c>
      <c r="H4605" s="7">
        <v>0</v>
      </c>
      <c r="I4605" s="7">
        <v>0</v>
      </c>
      <c r="J4605" s="7">
        <v>0</v>
      </c>
      <c r="K4605" s="3">
        <f t="shared" si="168"/>
        <v>0</v>
      </c>
      <c r="L4605" s="3"/>
      <c r="M4605" s="3">
        <f t="shared" si="169"/>
        <v>0</v>
      </c>
      <c r="N4605" s="7"/>
      <c r="O4605" s="5"/>
      <c r="S4605" s="6"/>
    </row>
    <row r="4606" spans="1:23" customFormat="1" x14ac:dyDescent="0.45">
      <c r="A4606">
        <v>826357</v>
      </c>
      <c r="B4606" t="s">
        <v>24925</v>
      </c>
      <c r="C4606" t="s">
        <v>24926</v>
      </c>
      <c r="D4606">
        <v>5</v>
      </c>
      <c r="F4606" s="126"/>
      <c r="G4606" s="3">
        <v>0</v>
      </c>
      <c r="H4606" s="3">
        <v>0</v>
      </c>
      <c r="I4606" s="3">
        <v>0</v>
      </c>
      <c r="J4606" s="3">
        <v>0</v>
      </c>
      <c r="K4606" s="3">
        <f t="shared" si="168"/>
        <v>0</v>
      </c>
      <c r="L4606" s="3"/>
      <c r="M4606" s="3">
        <f t="shared" si="169"/>
        <v>0</v>
      </c>
      <c r="O4606" s="5"/>
      <c r="S4606" s="6"/>
    </row>
    <row r="4607" spans="1:23" x14ac:dyDescent="0.45">
      <c r="A4607" s="124">
        <v>823702</v>
      </c>
      <c r="B4607" s="124" t="s">
        <v>24927</v>
      </c>
      <c r="C4607" s="124" t="s">
        <v>24928</v>
      </c>
      <c r="D4607" s="124">
        <v>4</v>
      </c>
      <c r="E4607" s="124" t="s">
        <v>16334</v>
      </c>
      <c r="F4607" s="126">
        <v>1.6999999999999999E-3</v>
      </c>
      <c r="G4607" s="126">
        <v>2.5000000000000001E-2</v>
      </c>
      <c r="H4607" s="126">
        <v>7.4999999999999997E-3</v>
      </c>
      <c r="I4607" s="127">
        <v>0</v>
      </c>
      <c r="J4607" s="127">
        <v>0</v>
      </c>
      <c r="K4607" s="126">
        <f t="shared" si="168"/>
        <v>3.2500000000000001E-2</v>
      </c>
      <c r="L4607" s="3"/>
      <c r="M4607" s="126">
        <f t="shared" si="169"/>
        <v>3.4200000000000001E-2</v>
      </c>
      <c r="O4607" s="131" t="s">
        <v>24929</v>
      </c>
      <c r="P4607" s="128" t="s">
        <v>26918</v>
      </c>
      <c r="Q4607" s="130">
        <f>202397+35104</f>
        <v>237501</v>
      </c>
      <c r="R4607" s="124" t="s">
        <v>16348</v>
      </c>
      <c r="S4607" s="132">
        <v>201711</v>
      </c>
      <c r="T4607" s="129">
        <f>S4607/Q4607</f>
        <v>0.84930589765937825</v>
      </c>
      <c r="V4607" s="125" t="s">
        <v>24930</v>
      </c>
    </row>
    <row r="4608" spans="1:23" customFormat="1" x14ac:dyDescent="0.45">
      <c r="A4608">
        <v>826467</v>
      </c>
      <c r="B4608" t="s">
        <v>24931</v>
      </c>
      <c r="C4608" t="s">
        <v>24932</v>
      </c>
      <c r="D4608">
        <v>3</v>
      </c>
      <c r="F4608" s="126"/>
      <c r="G4608" s="7">
        <v>0</v>
      </c>
      <c r="H4608" s="7">
        <v>0</v>
      </c>
      <c r="I4608" s="7">
        <v>0</v>
      </c>
      <c r="J4608" s="7">
        <v>0</v>
      </c>
      <c r="K4608" s="3">
        <f t="shared" si="168"/>
        <v>0</v>
      </c>
      <c r="L4608" s="3"/>
      <c r="M4608" s="3">
        <f t="shared" si="169"/>
        <v>0</v>
      </c>
      <c r="N4608" s="7"/>
      <c r="O4608" s="5"/>
      <c r="S4608" s="6"/>
    </row>
    <row r="4609" spans="1:24" customFormat="1" x14ac:dyDescent="0.45">
      <c r="A4609">
        <v>826786</v>
      </c>
      <c r="B4609" t="s">
        <v>24933</v>
      </c>
      <c r="C4609" t="s">
        <v>16331</v>
      </c>
      <c r="D4609">
        <v>1</v>
      </c>
      <c r="E4609" t="s">
        <v>16331</v>
      </c>
      <c r="F4609" s="126"/>
      <c r="K4609" s="3">
        <f t="shared" si="168"/>
        <v>0</v>
      </c>
      <c r="L4609" s="3"/>
      <c r="M4609" s="3">
        <f t="shared" si="169"/>
        <v>0</v>
      </c>
      <c r="O4609" s="5"/>
      <c r="S4609" s="6"/>
    </row>
    <row r="4610" spans="1:24" customFormat="1" x14ac:dyDescent="0.45">
      <c r="A4610">
        <v>826793</v>
      </c>
      <c r="B4610" t="s">
        <v>24934</v>
      </c>
      <c r="C4610" t="s">
        <v>24935</v>
      </c>
      <c r="D4610">
        <v>24</v>
      </c>
      <c r="E4610" t="s">
        <v>19374</v>
      </c>
      <c r="F4610" s="126"/>
      <c r="G4610" s="3">
        <v>0</v>
      </c>
      <c r="H4610" s="3">
        <v>0</v>
      </c>
      <c r="I4610" s="3">
        <v>0</v>
      </c>
      <c r="J4610" s="3">
        <v>0</v>
      </c>
      <c r="K4610" s="3">
        <f t="shared" si="168"/>
        <v>0</v>
      </c>
      <c r="L4610" s="3"/>
      <c r="M4610" s="3">
        <f t="shared" si="169"/>
        <v>0</v>
      </c>
      <c r="O4610" s="5"/>
      <c r="S4610" s="6"/>
    </row>
    <row r="4611" spans="1:24" customFormat="1" x14ac:dyDescent="0.45">
      <c r="A4611">
        <v>826849</v>
      </c>
      <c r="B4611" t="s">
        <v>24936</v>
      </c>
      <c r="C4611" t="s">
        <v>24937</v>
      </c>
      <c r="D4611">
        <v>2</v>
      </c>
      <c r="F4611" s="126"/>
      <c r="K4611" s="3">
        <f t="shared" si="168"/>
        <v>0</v>
      </c>
      <c r="L4611" s="3"/>
      <c r="M4611" s="3">
        <f t="shared" si="169"/>
        <v>0</v>
      </c>
      <c r="O4611" s="5"/>
      <c r="S4611" s="6"/>
    </row>
    <row r="4612" spans="1:24" customFormat="1" x14ac:dyDescent="0.45">
      <c r="A4612">
        <v>827035</v>
      </c>
      <c r="B4612" t="s">
        <v>24938</v>
      </c>
      <c r="C4612" t="s">
        <v>24939</v>
      </c>
      <c r="D4612">
        <v>2</v>
      </c>
      <c r="F4612" s="126"/>
      <c r="G4612" s="3">
        <v>0</v>
      </c>
      <c r="H4612" s="3">
        <v>0</v>
      </c>
      <c r="I4612" s="3">
        <v>0</v>
      </c>
      <c r="J4612" s="3">
        <v>0</v>
      </c>
      <c r="K4612" s="3">
        <f t="shared" si="168"/>
        <v>0</v>
      </c>
      <c r="L4612" s="3"/>
      <c r="M4612" s="3">
        <f t="shared" si="169"/>
        <v>0</v>
      </c>
      <c r="O4612" s="5"/>
      <c r="S4612" s="6"/>
    </row>
    <row r="4613" spans="1:24" customFormat="1" x14ac:dyDescent="0.45">
      <c r="A4613">
        <v>827056</v>
      </c>
      <c r="B4613" t="s">
        <v>24940</v>
      </c>
      <c r="C4613" t="s">
        <v>24941</v>
      </c>
      <c r="D4613">
        <v>4</v>
      </c>
      <c r="F4613" s="126"/>
      <c r="G4613" s="3">
        <v>0</v>
      </c>
      <c r="H4613" s="3">
        <v>0</v>
      </c>
      <c r="I4613" s="3">
        <v>0</v>
      </c>
      <c r="J4613" s="3">
        <v>0</v>
      </c>
      <c r="K4613" s="3">
        <f t="shared" si="168"/>
        <v>0</v>
      </c>
      <c r="L4613" s="3"/>
      <c r="M4613" s="3">
        <f t="shared" si="169"/>
        <v>0</v>
      </c>
      <c r="O4613" s="5"/>
      <c r="S4613" s="6"/>
    </row>
    <row r="4614" spans="1:24" customFormat="1" x14ac:dyDescent="0.45">
      <c r="A4614">
        <v>827075</v>
      </c>
      <c r="B4614" t="s">
        <v>24942</v>
      </c>
      <c r="C4614" t="s">
        <v>24943</v>
      </c>
      <c r="D4614">
        <v>1</v>
      </c>
      <c r="F4614" s="126"/>
      <c r="G4614" s="3"/>
      <c r="H4614" s="3"/>
      <c r="I4614" s="3"/>
      <c r="J4614" s="3"/>
      <c r="K4614" s="3">
        <f t="shared" si="168"/>
        <v>0</v>
      </c>
      <c r="L4614" s="3"/>
      <c r="M4614" s="3">
        <f t="shared" si="169"/>
        <v>0</v>
      </c>
      <c r="O4614" s="5"/>
      <c r="S4614" s="6"/>
    </row>
    <row r="4615" spans="1:24" customFormat="1" x14ac:dyDescent="0.45">
      <c r="A4615">
        <v>827170</v>
      </c>
      <c r="B4615" t="s">
        <v>24944</v>
      </c>
      <c r="C4615" t="s">
        <v>24945</v>
      </c>
      <c r="D4615">
        <v>12</v>
      </c>
      <c r="F4615" s="126"/>
      <c r="G4615" s="7">
        <v>0</v>
      </c>
      <c r="H4615" s="7">
        <v>0</v>
      </c>
      <c r="I4615" s="7">
        <v>0</v>
      </c>
      <c r="J4615" s="7">
        <v>0</v>
      </c>
      <c r="K4615" s="3">
        <f t="shared" si="168"/>
        <v>0</v>
      </c>
      <c r="L4615" s="3"/>
      <c r="M4615" s="3">
        <f t="shared" si="169"/>
        <v>0</v>
      </c>
      <c r="N4615" s="7"/>
      <c r="O4615" s="5"/>
      <c r="S4615" s="6"/>
    </row>
    <row r="4616" spans="1:24" customFormat="1" x14ac:dyDescent="0.45">
      <c r="A4616">
        <v>827270</v>
      </c>
      <c r="B4616" t="s">
        <v>24946</v>
      </c>
      <c r="C4616" t="s">
        <v>24947</v>
      </c>
      <c r="D4616">
        <v>6</v>
      </c>
      <c r="F4616" s="126"/>
      <c r="G4616" s="3">
        <v>0</v>
      </c>
      <c r="H4616" s="3">
        <v>0</v>
      </c>
      <c r="I4616" s="3">
        <v>0</v>
      </c>
      <c r="J4616" s="3">
        <v>0</v>
      </c>
      <c r="K4616" s="3">
        <f t="shared" si="168"/>
        <v>0</v>
      </c>
      <c r="L4616" s="3"/>
      <c r="M4616" s="3">
        <f t="shared" si="169"/>
        <v>0</v>
      </c>
      <c r="O4616" s="5"/>
      <c r="S4616" s="6"/>
    </row>
    <row r="4617" spans="1:24" x14ac:dyDescent="0.45">
      <c r="A4617" s="124">
        <v>629539</v>
      </c>
      <c r="B4617" s="124" t="s">
        <v>24948</v>
      </c>
      <c r="C4617" s="124" t="s">
        <v>24949</v>
      </c>
      <c r="D4617" s="124">
        <v>4</v>
      </c>
      <c r="E4617" s="124" t="s">
        <v>16417</v>
      </c>
      <c r="F4617" s="126">
        <v>2.0999999999999999E-3</v>
      </c>
      <c r="G4617" s="126"/>
      <c r="H4617" s="126">
        <v>5.7999999999999996E-3</v>
      </c>
      <c r="I4617" s="127"/>
      <c r="J4617" s="127"/>
      <c r="K4617" s="126">
        <f t="shared" si="168"/>
        <v>5.7999999999999996E-3</v>
      </c>
      <c r="L4617" s="3"/>
      <c r="M4617" s="126">
        <f t="shared" si="169"/>
        <v>7.899999999999999E-3</v>
      </c>
      <c r="N4617" s="124" t="s">
        <v>24950</v>
      </c>
      <c r="O4617" s="125" t="s">
        <v>24951</v>
      </c>
      <c r="Q4617" s="130">
        <v>63772000</v>
      </c>
      <c r="R4617" s="130" t="s">
        <v>16348</v>
      </c>
      <c r="S4617" s="130">
        <v>17296000</v>
      </c>
      <c r="T4617" s="129">
        <f>S4617/Q4617</f>
        <v>0.27121620774007399</v>
      </c>
      <c r="V4617" s="125" t="s">
        <v>24952</v>
      </c>
      <c r="X4617" s="124" t="s">
        <v>16763</v>
      </c>
    </row>
    <row r="4618" spans="1:24" customFormat="1" x14ac:dyDescent="0.45">
      <c r="A4618">
        <v>827693</v>
      </c>
      <c r="B4618" t="s">
        <v>24953</v>
      </c>
      <c r="C4618" t="s">
        <v>24954</v>
      </c>
      <c r="D4618">
        <v>1</v>
      </c>
      <c r="F4618" s="126"/>
      <c r="G4618" s="3">
        <v>0</v>
      </c>
      <c r="H4618" s="3">
        <v>0</v>
      </c>
      <c r="I4618" s="3">
        <v>0</v>
      </c>
      <c r="J4618" s="3">
        <v>0</v>
      </c>
      <c r="K4618" s="3">
        <f t="shared" si="168"/>
        <v>0</v>
      </c>
      <c r="L4618" s="3"/>
      <c r="M4618" s="3">
        <f t="shared" si="169"/>
        <v>0</v>
      </c>
      <c r="O4618" s="5"/>
      <c r="S4618" s="6"/>
    </row>
    <row r="4619" spans="1:24" customFormat="1" x14ac:dyDescent="0.45">
      <c r="A4619">
        <v>827778</v>
      </c>
      <c r="B4619" t="s">
        <v>24955</v>
      </c>
      <c r="C4619" t="s">
        <v>16331</v>
      </c>
      <c r="D4619">
        <v>1</v>
      </c>
      <c r="E4619" t="s">
        <v>16331</v>
      </c>
      <c r="F4619" s="126"/>
      <c r="G4619" s="7">
        <v>0</v>
      </c>
      <c r="H4619" s="7">
        <v>0</v>
      </c>
      <c r="I4619" s="7">
        <v>0</v>
      </c>
      <c r="J4619" s="7">
        <v>0</v>
      </c>
      <c r="K4619" s="3">
        <f t="shared" si="168"/>
        <v>0</v>
      </c>
      <c r="L4619" s="3"/>
      <c r="M4619" s="3">
        <f t="shared" si="169"/>
        <v>0</v>
      </c>
      <c r="O4619" s="5"/>
      <c r="S4619" s="6"/>
    </row>
    <row r="4620" spans="1:24" customFormat="1" x14ac:dyDescent="0.45">
      <c r="A4620">
        <v>827982</v>
      </c>
      <c r="B4620" t="s">
        <v>24956</v>
      </c>
      <c r="C4620" t="s">
        <v>24957</v>
      </c>
      <c r="D4620">
        <v>8</v>
      </c>
      <c r="F4620" s="126"/>
      <c r="G4620" s="3">
        <v>0</v>
      </c>
      <c r="H4620" s="3">
        <v>0</v>
      </c>
      <c r="I4620" s="3">
        <v>0</v>
      </c>
      <c r="J4620" s="3">
        <v>0</v>
      </c>
      <c r="K4620" s="3">
        <f t="shared" si="168"/>
        <v>0</v>
      </c>
      <c r="L4620" s="3"/>
      <c r="M4620" s="3">
        <f t="shared" si="169"/>
        <v>0</v>
      </c>
      <c r="O4620" s="5"/>
      <c r="S4620" s="6"/>
    </row>
    <row r="4621" spans="1:24" customFormat="1" x14ac:dyDescent="0.45">
      <c r="A4621">
        <v>827991</v>
      </c>
      <c r="B4621" t="s">
        <v>24958</v>
      </c>
      <c r="C4621" t="s">
        <v>16331</v>
      </c>
      <c r="D4621">
        <v>4</v>
      </c>
      <c r="E4621" t="s">
        <v>16331</v>
      </c>
      <c r="F4621" s="126"/>
      <c r="G4621" s="7">
        <v>0</v>
      </c>
      <c r="H4621" s="7">
        <v>0</v>
      </c>
      <c r="I4621" s="7">
        <v>0</v>
      </c>
      <c r="J4621" s="7">
        <v>0</v>
      </c>
      <c r="K4621" s="3">
        <f t="shared" si="168"/>
        <v>0</v>
      </c>
      <c r="L4621" s="3"/>
      <c r="M4621" s="3">
        <f t="shared" si="169"/>
        <v>0</v>
      </c>
      <c r="O4621" s="5"/>
      <c r="S4621" s="6"/>
    </row>
    <row r="4622" spans="1:24" customFormat="1" x14ac:dyDescent="0.45">
      <c r="A4622">
        <v>828050</v>
      </c>
      <c r="B4622" t="s">
        <v>24959</v>
      </c>
      <c r="C4622" t="s">
        <v>24960</v>
      </c>
      <c r="D4622">
        <v>1</v>
      </c>
      <c r="F4622" s="126"/>
      <c r="G4622" s="7">
        <v>0</v>
      </c>
      <c r="H4622" s="7">
        <v>0</v>
      </c>
      <c r="I4622" s="7">
        <v>0</v>
      </c>
      <c r="J4622" s="7">
        <v>0</v>
      </c>
      <c r="K4622" s="3">
        <f t="shared" si="168"/>
        <v>0</v>
      </c>
      <c r="L4622" s="3"/>
      <c r="M4622" s="3">
        <f t="shared" si="169"/>
        <v>0</v>
      </c>
      <c r="O4622" s="5"/>
      <c r="S4622" s="6"/>
    </row>
    <row r="4623" spans="1:24" customFormat="1" x14ac:dyDescent="0.45">
      <c r="A4623">
        <v>828162</v>
      </c>
      <c r="B4623" t="s">
        <v>24961</v>
      </c>
      <c r="C4623" t="s">
        <v>24962</v>
      </c>
      <c r="D4623">
        <v>3</v>
      </c>
      <c r="F4623" s="126"/>
      <c r="G4623" s="7">
        <v>0</v>
      </c>
      <c r="H4623" s="7">
        <v>0</v>
      </c>
      <c r="I4623" s="7">
        <v>0</v>
      </c>
      <c r="J4623" s="7">
        <v>0</v>
      </c>
      <c r="K4623" s="3">
        <f t="shared" si="168"/>
        <v>0</v>
      </c>
      <c r="L4623" s="3"/>
      <c r="M4623" s="3">
        <f t="shared" si="169"/>
        <v>0</v>
      </c>
      <c r="O4623" s="5"/>
      <c r="S4623" s="6"/>
    </row>
    <row r="4624" spans="1:24" customFormat="1" x14ac:dyDescent="0.45">
      <c r="A4624">
        <v>828198</v>
      </c>
      <c r="B4624" t="s">
        <v>24963</v>
      </c>
      <c r="C4624" t="s">
        <v>24964</v>
      </c>
      <c r="D4624">
        <v>2</v>
      </c>
      <c r="F4624" s="126"/>
      <c r="G4624" s="3">
        <v>0</v>
      </c>
      <c r="H4624" s="3">
        <v>0</v>
      </c>
      <c r="I4624" s="3">
        <v>0</v>
      </c>
      <c r="J4624" s="3">
        <v>0</v>
      </c>
      <c r="K4624" s="3">
        <f t="shared" si="168"/>
        <v>0</v>
      </c>
      <c r="L4624" s="3"/>
      <c r="M4624" s="3">
        <f t="shared" si="169"/>
        <v>0</v>
      </c>
      <c r="O4624" s="5"/>
      <c r="S4624" s="6"/>
    </row>
    <row r="4625" spans="1:22" customFormat="1" x14ac:dyDescent="0.45">
      <c r="A4625">
        <v>828270</v>
      </c>
      <c r="B4625" t="s">
        <v>24965</v>
      </c>
      <c r="C4625" t="s">
        <v>24966</v>
      </c>
      <c r="D4625">
        <v>3</v>
      </c>
      <c r="F4625" s="126"/>
      <c r="G4625" s="3">
        <v>0</v>
      </c>
      <c r="H4625" s="3">
        <v>0</v>
      </c>
      <c r="I4625" s="3">
        <v>0</v>
      </c>
      <c r="J4625" s="3">
        <v>0</v>
      </c>
      <c r="K4625" s="3">
        <f t="shared" si="168"/>
        <v>0</v>
      </c>
      <c r="L4625" s="3"/>
      <c r="M4625" s="3">
        <f t="shared" si="169"/>
        <v>0</v>
      </c>
      <c r="O4625" s="5"/>
      <c r="S4625" s="6"/>
    </row>
    <row r="4626" spans="1:22" customFormat="1" x14ac:dyDescent="0.45">
      <c r="A4626">
        <v>828424</v>
      </c>
      <c r="B4626" t="s">
        <v>24967</v>
      </c>
      <c r="C4626" t="s">
        <v>16331</v>
      </c>
      <c r="D4626">
        <v>1</v>
      </c>
      <c r="E4626" t="s">
        <v>16331</v>
      </c>
      <c r="F4626" s="126"/>
      <c r="G4626" s="7">
        <v>0</v>
      </c>
      <c r="H4626" s="7">
        <v>0</v>
      </c>
      <c r="I4626" s="7">
        <v>0</v>
      </c>
      <c r="J4626" s="7">
        <v>0</v>
      </c>
      <c r="K4626" s="3">
        <f t="shared" si="168"/>
        <v>0</v>
      </c>
      <c r="L4626" s="3"/>
      <c r="M4626" s="3">
        <f t="shared" si="169"/>
        <v>0</v>
      </c>
      <c r="O4626" s="5"/>
      <c r="S4626" s="6"/>
    </row>
    <row r="4627" spans="1:22" customFormat="1" x14ac:dyDescent="0.45">
      <c r="A4627">
        <v>828483</v>
      </c>
      <c r="B4627" t="s">
        <v>24968</v>
      </c>
      <c r="C4627" t="s">
        <v>16331</v>
      </c>
      <c r="D4627">
        <v>3</v>
      </c>
      <c r="E4627" t="s">
        <v>16331</v>
      </c>
      <c r="F4627" s="126"/>
      <c r="G4627" s="7">
        <v>0</v>
      </c>
      <c r="H4627" s="7">
        <v>0</v>
      </c>
      <c r="I4627" s="7">
        <v>0</v>
      </c>
      <c r="J4627" s="7">
        <v>0</v>
      </c>
      <c r="K4627" s="3">
        <f t="shared" si="168"/>
        <v>0</v>
      </c>
      <c r="L4627" s="3"/>
      <c r="M4627" s="3">
        <f t="shared" si="169"/>
        <v>0</v>
      </c>
      <c r="O4627" s="5"/>
      <c r="S4627" s="6"/>
    </row>
    <row r="4628" spans="1:22" customFormat="1" x14ac:dyDescent="0.45">
      <c r="A4628">
        <v>828533</v>
      </c>
      <c r="B4628" t="s">
        <v>24969</v>
      </c>
      <c r="C4628" t="s">
        <v>24970</v>
      </c>
      <c r="D4628">
        <v>5</v>
      </c>
      <c r="F4628" s="126"/>
      <c r="G4628" s="3"/>
      <c r="H4628" s="3"/>
      <c r="I4628" s="3"/>
      <c r="J4628" s="3"/>
      <c r="K4628" s="3">
        <f t="shared" si="168"/>
        <v>0</v>
      </c>
      <c r="L4628" s="3"/>
      <c r="M4628" s="3">
        <f t="shared" si="169"/>
        <v>0</v>
      </c>
      <c r="O4628" s="5"/>
      <c r="S4628" s="6"/>
    </row>
    <row r="4629" spans="1:22" customFormat="1" x14ac:dyDescent="0.45">
      <c r="A4629">
        <v>828799</v>
      </c>
      <c r="B4629" t="s">
        <v>24971</v>
      </c>
      <c r="C4629" t="s">
        <v>24972</v>
      </c>
      <c r="D4629">
        <v>1</v>
      </c>
      <c r="F4629" s="126"/>
      <c r="G4629" s="7">
        <v>0</v>
      </c>
      <c r="H4629" s="7">
        <v>0</v>
      </c>
      <c r="I4629" s="7">
        <v>0</v>
      </c>
      <c r="J4629" s="7">
        <v>0</v>
      </c>
      <c r="K4629" s="3">
        <f t="shared" si="168"/>
        <v>0</v>
      </c>
      <c r="L4629" s="3"/>
      <c r="M4629" s="3">
        <f t="shared" si="169"/>
        <v>0</v>
      </c>
      <c r="N4629" s="7"/>
      <c r="O4629" s="5"/>
      <c r="S4629" s="6"/>
    </row>
    <row r="4630" spans="1:22" customFormat="1" x14ac:dyDescent="0.45">
      <c r="A4630">
        <v>828966</v>
      </c>
      <c r="B4630" t="s">
        <v>24973</v>
      </c>
      <c r="C4630" t="s">
        <v>24974</v>
      </c>
      <c r="D4630">
        <v>5</v>
      </c>
      <c r="F4630" s="126"/>
      <c r="G4630" s="7">
        <v>0</v>
      </c>
      <c r="H4630" s="7">
        <v>0</v>
      </c>
      <c r="I4630" s="7">
        <v>0</v>
      </c>
      <c r="J4630" s="7">
        <v>0</v>
      </c>
      <c r="K4630" s="3">
        <f t="shared" si="168"/>
        <v>0</v>
      </c>
      <c r="L4630" s="3"/>
      <c r="M4630" s="3">
        <f t="shared" si="169"/>
        <v>0</v>
      </c>
      <c r="O4630" s="5"/>
      <c r="S4630" s="6"/>
    </row>
    <row r="4631" spans="1:22" customFormat="1" x14ac:dyDescent="0.45">
      <c r="A4631">
        <v>829204</v>
      </c>
      <c r="B4631" t="s">
        <v>24975</v>
      </c>
      <c r="C4631" t="s">
        <v>16607</v>
      </c>
      <c r="D4631">
        <v>3</v>
      </c>
      <c r="F4631" s="126"/>
      <c r="G4631" s="3">
        <v>0</v>
      </c>
      <c r="H4631" s="3">
        <v>0</v>
      </c>
      <c r="I4631" s="3">
        <v>0</v>
      </c>
      <c r="J4631" s="3">
        <v>0</v>
      </c>
      <c r="K4631" s="3">
        <f t="shared" si="168"/>
        <v>0</v>
      </c>
      <c r="L4631" s="3"/>
      <c r="M4631" s="3">
        <f t="shared" si="169"/>
        <v>0</v>
      </c>
      <c r="O4631" s="5"/>
      <c r="S4631" s="6"/>
    </row>
    <row r="4632" spans="1:22" customFormat="1" x14ac:dyDescent="0.45">
      <c r="A4632">
        <v>829694</v>
      </c>
      <c r="B4632" t="s">
        <v>24976</v>
      </c>
      <c r="C4632" t="s">
        <v>24977</v>
      </c>
      <c r="D4632">
        <v>2</v>
      </c>
      <c r="F4632" s="126"/>
      <c r="G4632" s="7">
        <v>0</v>
      </c>
      <c r="H4632" s="7">
        <v>0</v>
      </c>
      <c r="I4632" s="7">
        <v>0</v>
      </c>
      <c r="J4632" s="7">
        <v>0</v>
      </c>
      <c r="K4632" s="3">
        <f t="shared" si="168"/>
        <v>0</v>
      </c>
      <c r="L4632" s="3"/>
      <c r="M4632" s="3">
        <f t="shared" si="169"/>
        <v>0</v>
      </c>
      <c r="O4632" s="5"/>
      <c r="S4632" s="6"/>
    </row>
    <row r="4633" spans="1:22" customFormat="1" x14ac:dyDescent="0.45">
      <c r="A4633">
        <v>829695</v>
      </c>
      <c r="B4633" t="s">
        <v>24978</v>
      </c>
      <c r="C4633" t="s">
        <v>24979</v>
      </c>
      <c r="D4633">
        <v>1</v>
      </c>
      <c r="F4633" s="126"/>
      <c r="G4633" s="3"/>
      <c r="H4633" s="3"/>
      <c r="I4633" s="3"/>
      <c r="J4633" s="3"/>
      <c r="K4633" s="3">
        <f t="shared" si="168"/>
        <v>0</v>
      </c>
      <c r="L4633" s="3"/>
      <c r="M4633" s="3">
        <f t="shared" si="169"/>
        <v>0</v>
      </c>
      <c r="O4633" s="5"/>
      <c r="S4633" s="6"/>
    </row>
    <row r="4634" spans="1:22" customFormat="1" x14ac:dyDescent="0.45">
      <c r="A4634">
        <v>829727</v>
      </c>
      <c r="B4634" t="s">
        <v>24980</v>
      </c>
      <c r="C4634" t="s">
        <v>16331</v>
      </c>
      <c r="D4634">
        <v>1</v>
      </c>
      <c r="E4634" t="s">
        <v>16331</v>
      </c>
      <c r="F4634" s="126"/>
      <c r="K4634" s="3">
        <f t="shared" si="168"/>
        <v>0</v>
      </c>
      <c r="L4634" s="3"/>
      <c r="M4634" s="3">
        <f t="shared" si="169"/>
        <v>0</v>
      </c>
      <c r="O4634" s="5"/>
      <c r="S4634" s="6"/>
    </row>
    <row r="4635" spans="1:22" customFormat="1" x14ac:dyDescent="0.45">
      <c r="A4635">
        <v>829788</v>
      </c>
      <c r="B4635" t="s">
        <v>24981</v>
      </c>
      <c r="C4635" t="s">
        <v>24982</v>
      </c>
      <c r="D4635">
        <v>4</v>
      </c>
      <c r="F4635" s="126"/>
      <c r="G4635" s="7">
        <v>0</v>
      </c>
      <c r="H4635" s="7">
        <v>0</v>
      </c>
      <c r="I4635" s="7">
        <v>0</v>
      </c>
      <c r="J4635" s="7">
        <v>0</v>
      </c>
      <c r="K4635" s="3">
        <f t="shared" si="168"/>
        <v>0</v>
      </c>
      <c r="L4635" s="3"/>
      <c r="M4635" s="3">
        <f t="shared" si="169"/>
        <v>0</v>
      </c>
      <c r="N4635" s="7"/>
      <c r="O4635" s="5"/>
      <c r="S4635" s="6"/>
    </row>
    <row r="4636" spans="1:22" customFormat="1" x14ac:dyDescent="0.45">
      <c r="A4636">
        <v>829941</v>
      </c>
      <c r="B4636" t="s">
        <v>24983</v>
      </c>
      <c r="C4636" t="s">
        <v>24984</v>
      </c>
      <c r="D4636">
        <v>1</v>
      </c>
      <c r="F4636" s="126"/>
      <c r="G4636" s="3">
        <v>0</v>
      </c>
      <c r="H4636" s="3">
        <v>0</v>
      </c>
      <c r="I4636" s="3">
        <v>0</v>
      </c>
      <c r="J4636" s="3">
        <v>0</v>
      </c>
      <c r="K4636" s="3">
        <f t="shared" si="168"/>
        <v>0</v>
      </c>
      <c r="L4636" s="3"/>
      <c r="M4636" s="3">
        <f t="shared" si="169"/>
        <v>0</v>
      </c>
      <c r="O4636" s="5"/>
      <c r="S4636" s="6"/>
    </row>
    <row r="4637" spans="1:22" x14ac:dyDescent="0.45">
      <c r="A4637" s="124">
        <v>440828</v>
      </c>
      <c r="B4637" s="124" t="s">
        <v>24985</v>
      </c>
      <c r="C4637" s="125" t="s">
        <v>24986</v>
      </c>
      <c r="D4637" s="124">
        <v>2</v>
      </c>
      <c r="E4637" s="124" t="s">
        <v>16334</v>
      </c>
      <c r="F4637" s="126">
        <v>1.6999999999999999E-3</v>
      </c>
      <c r="G4637" s="126">
        <v>0</v>
      </c>
      <c r="H4637" s="126">
        <f>3000/100000</f>
        <v>0.03</v>
      </c>
      <c r="I4637" s="127">
        <v>0</v>
      </c>
      <c r="J4637" s="127">
        <v>0</v>
      </c>
      <c r="K4637" s="126">
        <f t="shared" si="168"/>
        <v>0.03</v>
      </c>
      <c r="L4637" s="3"/>
      <c r="M4637" s="126">
        <f t="shared" si="169"/>
        <v>3.1699999999999999E-2</v>
      </c>
      <c r="N4637" s="124" t="s">
        <v>24987</v>
      </c>
      <c r="O4637" s="131" t="s">
        <v>24988</v>
      </c>
      <c r="P4637" s="128" t="s">
        <v>26918</v>
      </c>
      <c r="Q4637" s="130">
        <f>1979733+123955</f>
        <v>2103688</v>
      </c>
      <c r="R4637" s="124" t="s">
        <v>16348</v>
      </c>
      <c r="S4637" s="132">
        <v>1979733</v>
      </c>
      <c r="T4637" s="129">
        <f>S4637/Q4637</f>
        <v>0.94107728902765053</v>
      </c>
      <c r="V4637" s="125" t="s">
        <v>24989</v>
      </c>
    </row>
    <row r="4638" spans="1:22" customFormat="1" x14ac:dyDescent="0.45">
      <c r="A4638">
        <v>830065</v>
      </c>
      <c r="B4638" t="s">
        <v>24990</v>
      </c>
      <c r="C4638" t="s">
        <v>16331</v>
      </c>
      <c r="D4638">
        <v>4</v>
      </c>
      <c r="E4638" t="s">
        <v>16331</v>
      </c>
      <c r="F4638" s="126"/>
      <c r="G4638" s="7">
        <v>0</v>
      </c>
      <c r="H4638" s="7">
        <v>0</v>
      </c>
      <c r="I4638" s="7">
        <v>0</v>
      </c>
      <c r="J4638" s="7">
        <v>0</v>
      </c>
      <c r="K4638" s="3">
        <f t="shared" si="168"/>
        <v>0</v>
      </c>
      <c r="L4638" s="3"/>
      <c r="M4638" s="3">
        <f t="shared" si="169"/>
        <v>0</v>
      </c>
      <c r="O4638" s="5"/>
      <c r="S4638" s="11"/>
    </row>
    <row r="4639" spans="1:22" customFormat="1" x14ac:dyDescent="0.45">
      <c r="A4639">
        <v>830075</v>
      </c>
      <c r="B4639" t="s">
        <v>24991</v>
      </c>
      <c r="C4639" t="s">
        <v>24992</v>
      </c>
      <c r="D4639">
        <v>3</v>
      </c>
      <c r="F4639" s="126"/>
      <c r="G4639" s="3"/>
      <c r="H4639" s="3"/>
      <c r="I4639" s="3"/>
      <c r="J4639" s="3"/>
      <c r="K4639" s="3">
        <f t="shared" si="168"/>
        <v>0</v>
      </c>
      <c r="L4639" s="3"/>
      <c r="M4639" s="3">
        <f t="shared" si="169"/>
        <v>0</v>
      </c>
      <c r="O4639" s="5"/>
      <c r="S4639" s="11"/>
    </row>
    <row r="4640" spans="1:22" customFormat="1" x14ac:dyDescent="0.45">
      <c r="A4640">
        <v>830101</v>
      </c>
      <c r="B4640" t="s">
        <v>24993</v>
      </c>
      <c r="C4640" t="s">
        <v>24994</v>
      </c>
      <c r="D4640">
        <v>1</v>
      </c>
      <c r="F4640" s="126"/>
      <c r="G4640" s="3">
        <v>0</v>
      </c>
      <c r="H4640" s="3">
        <v>0</v>
      </c>
      <c r="I4640" s="3">
        <v>0</v>
      </c>
      <c r="J4640" s="3">
        <v>0</v>
      </c>
      <c r="K4640" s="3">
        <f t="shared" si="168"/>
        <v>0</v>
      </c>
      <c r="L4640" s="3"/>
      <c r="M4640" s="3">
        <f t="shared" si="169"/>
        <v>0</v>
      </c>
      <c r="O4640" s="5"/>
      <c r="S4640" s="11"/>
    </row>
    <row r="4641" spans="1:19" customFormat="1" x14ac:dyDescent="0.45">
      <c r="A4641">
        <v>830134</v>
      </c>
      <c r="B4641" t="s">
        <v>24995</v>
      </c>
      <c r="C4641" t="s">
        <v>24996</v>
      </c>
      <c r="D4641">
        <v>5</v>
      </c>
      <c r="F4641" s="126"/>
      <c r="G4641" s="7">
        <v>0</v>
      </c>
      <c r="H4641" s="7">
        <v>0</v>
      </c>
      <c r="I4641" s="7">
        <v>0</v>
      </c>
      <c r="J4641" s="7">
        <v>0</v>
      </c>
      <c r="K4641" s="3">
        <f t="shared" si="168"/>
        <v>0</v>
      </c>
      <c r="L4641" s="3"/>
      <c r="M4641" s="3">
        <f t="shared" si="169"/>
        <v>0</v>
      </c>
      <c r="O4641" s="5"/>
      <c r="S4641" s="11"/>
    </row>
    <row r="4642" spans="1:19" customFormat="1" x14ac:dyDescent="0.45">
      <c r="A4642">
        <v>830162</v>
      </c>
      <c r="B4642" t="s">
        <v>24997</v>
      </c>
      <c r="C4642" s="2" t="s">
        <v>24998</v>
      </c>
      <c r="D4642">
        <v>21</v>
      </c>
      <c r="F4642" s="126"/>
      <c r="G4642" s="3">
        <v>0</v>
      </c>
      <c r="H4642" s="3">
        <v>0</v>
      </c>
      <c r="I4642" s="3">
        <v>0</v>
      </c>
      <c r="J4642" s="3">
        <v>0</v>
      </c>
      <c r="K4642" s="3">
        <f t="shared" si="168"/>
        <v>0</v>
      </c>
      <c r="L4642" s="3"/>
      <c r="M4642" s="3">
        <f t="shared" si="169"/>
        <v>0</v>
      </c>
      <c r="N4642" t="s">
        <v>24999</v>
      </c>
      <c r="O4642" s="5"/>
      <c r="S4642" s="11"/>
    </row>
    <row r="4643" spans="1:19" customFormat="1" x14ac:dyDescent="0.45">
      <c r="A4643">
        <v>830330</v>
      </c>
      <c r="B4643" t="s">
        <v>25000</v>
      </c>
      <c r="C4643" t="s">
        <v>16331</v>
      </c>
      <c r="D4643">
        <v>1</v>
      </c>
      <c r="E4643" t="s">
        <v>16331</v>
      </c>
      <c r="F4643" s="126"/>
      <c r="G4643" s="7">
        <v>0</v>
      </c>
      <c r="H4643" s="7">
        <v>0</v>
      </c>
      <c r="I4643" s="7">
        <v>0</v>
      </c>
      <c r="J4643" s="7">
        <v>0</v>
      </c>
      <c r="K4643" s="3">
        <f t="shared" si="168"/>
        <v>0</v>
      </c>
      <c r="L4643" s="3"/>
      <c r="M4643" s="3">
        <f t="shared" si="169"/>
        <v>0</v>
      </c>
      <c r="N4643" s="7"/>
      <c r="O4643" s="5"/>
      <c r="S4643" s="11"/>
    </row>
    <row r="4644" spans="1:19" customFormat="1" x14ac:dyDescent="0.45">
      <c r="A4644">
        <v>830372</v>
      </c>
      <c r="B4644" t="s">
        <v>25001</v>
      </c>
      <c r="C4644" t="s">
        <v>16331</v>
      </c>
      <c r="D4644">
        <v>1</v>
      </c>
      <c r="E4644" t="s">
        <v>16331</v>
      </c>
      <c r="F4644" s="126"/>
      <c r="G4644" s="7">
        <v>0</v>
      </c>
      <c r="H4644" s="7">
        <v>0</v>
      </c>
      <c r="I4644" s="7">
        <v>0</v>
      </c>
      <c r="J4644" s="7">
        <v>0</v>
      </c>
      <c r="K4644" s="3">
        <f t="shared" si="168"/>
        <v>0</v>
      </c>
      <c r="L4644" s="3"/>
      <c r="M4644" s="3">
        <f t="shared" si="169"/>
        <v>0</v>
      </c>
      <c r="O4644" s="5"/>
      <c r="S4644" s="11"/>
    </row>
    <row r="4645" spans="1:19" customFormat="1" x14ac:dyDescent="0.45">
      <c r="A4645">
        <v>830471</v>
      </c>
      <c r="B4645" t="s">
        <v>25002</v>
      </c>
      <c r="C4645" t="s">
        <v>25003</v>
      </c>
      <c r="D4645">
        <v>3</v>
      </c>
      <c r="F4645" s="126"/>
      <c r="G4645" s="3">
        <v>0</v>
      </c>
      <c r="H4645" s="3">
        <v>0</v>
      </c>
      <c r="I4645" s="3">
        <v>0</v>
      </c>
      <c r="J4645" s="3">
        <v>0</v>
      </c>
      <c r="K4645" s="3">
        <f t="shared" si="168"/>
        <v>0</v>
      </c>
      <c r="L4645" s="3"/>
      <c r="M4645" s="3">
        <f t="shared" si="169"/>
        <v>0</v>
      </c>
      <c r="O4645" s="5"/>
      <c r="S4645" s="11"/>
    </row>
    <row r="4646" spans="1:19" customFormat="1" x14ac:dyDescent="0.45">
      <c r="A4646">
        <v>830759</v>
      </c>
      <c r="B4646" t="s">
        <v>25004</v>
      </c>
      <c r="C4646" t="s">
        <v>25005</v>
      </c>
      <c r="D4646">
        <v>1</v>
      </c>
      <c r="F4646" s="126"/>
      <c r="G4646" s="7">
        <v>0</v>
      </c>
      <c r="H4646" s="7">
        <v>0</v>
      </c>
      <c r="I4646" s="7">
        <v>0</v>
      </c>
      <c r="J4646" s="7">
        <v>0</v>
      </c>
      <c r="K4646" s="3">
        <f t="shared" si="168"/>
        <v>0</v>
      </c>
      <c r="L4646" s="3"/>
      <c r="M4646" s="3">
        <f t="shared" si="169"/>
        <v>0</v>
      </c>
      <c r="O4646" s="5"/>
      <c r="S4646" s="11"/>
    </row>
    <row r="4647" spans="1:19" customFormat="1" x14ac:dyDescent="0.45">
      <c r="A4647">
        <v>830853</v>
      </c>
      <c r="B4647" t="s">
        <v>25006</v>
      </c>
      <c r="C4647" t="s">
        <v>25007</v>
      </c>
      <c r="D4647">
        <v>3</v>
      </c>
      <c r="F4647" s="126"/>
      <c r="G4647" s="7">
        <v>0</v>
      </c>
      <c r="H4647" s="7">
        <v>0</v>
      </c>
      <c r="I4647" s="7">
        <v>0</v>
      </c>
      <c r="J4647" s="7">
        <v>0</v>
      </c>
      <c r="K4647" s="3">
        <f t="shared" si="168"/>
        <v>0</v>
      </c>
      <c r="L4647" s="3"/>
      <c r="M4647" s="3">
        <f t="shared" si="169"/>
        <v>0</v>
      </c>
      <c r="O4647" s="5"/>
      <c r="S4647" s="11"/>
    </row>
    <row r="4648" spans="1:19" customFormat="1" x14ac:dyDescent="0.45">
      <c r="A4648">
        <v>831039</v>
      </c>
      <c r="B4648" t="s">
        <v>25008</v>
      </c>
      <c r="C4648" t="s">
        <v>16331</v>
      </c>
      <c r="D4648">
        <v>1</v>
      </c>
      <c r="E4648" t="s">
        <v>16331</v>
      </c>
      <c r="F4648" s="126"/>
      <c r="G4648" s="7">
        <v>0</v>
      </c>
      <c r="H4648" s="7">
        <v>0</v>
      </c>
      <c r="I4648" s="7">
        <v>0</v>
      </c>
      <c r="J4648" s="7">
        <v>0</v>
      </c>
      <c r="K4648" s="3">
        <f t="shared" si="168"/>
        <v>0</v>
      </c>
      <c r="L4648" s="3"/>
      <c r="M4648" s="3">
        <f t="shared" si="169"/>
        <v>0</v>
      </c>
      <c r="O4648" s="5"/>
      <c r="S4648" s="11"/>
    </row>
    <row r="4649" spans="1:19" customFormat="1" x14ac:dyDescent="0.45">
      <c r="A4649">
        <v>831148</v>
      </c>
      <c r="B4649" t="s">
        <v>25009</v>
      </c>
      <c r="C4649" t="s">
        <v>25010</v>
      </c>
      <c r="D4649">
        <v>1</v>
      </c>
      <c r="F4649" s="126"/>
      <c r="G4649" s="3">
        <v>0</v>
      </c>
      <c r="H4649" s="3">
        <v>0</v>
      </c>
      <c r="I4649" s="3">
        <v>0</v>
      </c>
      <c r="J4649" s="3">
        <v>0</v>
      </c>
      <c r="K4649" s="3">
        <f t="shared" si="168"/>
        <v>0</v>
      </c>
      <c r="L4649" s="3"/>
      <c r="M4649" s="3">
        <f t="shared" si="169"/>
        <v>0</v>
      </c>
      <c r="O4649" s="5"/>
      <c r="S4649" s="11"/>
    </row>
    <row r="4650" spans="1:19" customFormat="1" x14ac:dyDescent="0.45">
      <c r="A4650">
        <v>831172</v>
      </c>
      <c r="B4650" t="s">
        <v>25011</v>
      </c>
      <c r="C4650" t="s">
        <v>25012</v>
      </c>
      <c r="D4650">
        <v>2</v>
      </c>
      <c r="F4650" s="126"/>
      <c r="G4650" s="3">
        <v>0</v>
      </c>
      <c r="H4650" s="3">
        <v>0</v>
      </c>
      <c r="I4650" s="3">
        <v>0</v>
      </c>
      <c r="J4650" s="3">
        <v>0</v>
      </c>
      <c r="K4650" s="3">
        <f t="shared" si="168"/>
        <v>0</v>
      </c>
      <c r="L4650" s="3"/>
      <c r="M4650" s="3">
        <f t="shared" si="169"/>
        <v>0</v>
      </c>
      <c r="O4650" s="5"/>
      <c r="S4650" s="11"/>
    </row>
    <row r="4651" spans="1:19" customFormat="1" x14ac:dyDescent="0.45">
      <c r="A4651">
        <v>831380</v>
      </c>
      <c r="B4651" t="s">
        <v>25013</v>
      </c>
      <c r="C4651" t="s">
        <v>16331</v>
      </c>
      <c r="D4651">
        <v>3</v>
      </c>
      <c r="E4651" t="s">
        <v>16331</v>
      </c>
      <c r="F4651" s="126"/>
      <c r="G4651" s="7">
        <v>0</v>
      </c>
      <c r="H4651" s="7">
        <v>0</v>
      </c>
      <c r="I4651" s="7">
        <v>0</v>
      </c>
      <c r="J4651" s="7">
        <v>0</v>
      </c>
      <c r="K4651" s="3">
        <f t="shared" si="168"/>
        <v>0</v>
      </c>
      <c r="L4651" s="3"/>
      <c r="M4651" s="3">
        <f t="shared" si="169"/>
        <v>0</v>
      </c>
      <c r="O4651" s="5"/>
      <c r="S4651" s="11"/>
    </row>
    <row r="4652" spans="1:19" customFormat="1" x14ac:dyDescent="0.45">
      <c r="A4652">
        <v>831388</v>
      </c>
      <c r="B4652" t="s">
        <v>25014</v>
      </c>
      <c r="C4652" t="s">
        <v>25015</v>
      </c>
      <c r="D4652">
        <v>1</v>
      </c>
      <c r="F4652" s="126"/>
      <c r="G4652" s="3">
        <v>0</v>
      </c>
      <c r="H4652" s="3">
        <v>0</v>
      </c>
      <c r="I4652" s="3">
        <v>0</v>
      </c>
      <c r="J4652" s="3">
        <v>0</v>
      </c>
      <c r="K4652" s="3">
        <f t="shared" si="168"/>
        <v>0</v>
      </c>
      <c r="L4652" s="3"/>
      <c r="M4652" s="3">
        <f t="shared" si="169"/>
        <v>0</v>
      </c>
      <c r="O4652" s="5"/>
      <c r="S4652" s="11"/>
    </row>
    <row r="4653" spans="1:19" customFormat="1" x14ac:dyDescent="0.45">
      <c r="A4653">
        <v>831581</v>
      </c>
      <c r="B4653" t="s">
        <v>25016</v>
      </c>
      <c r="C4653" t="s">
        <v>25017</v>
      </c>
      <c r="D4653">
        <v>1</v>
      </c>
      <c r="F4653" s="126"/>
      <c r="G4653" s="7">
        <v>0</v>
      </c>
      <c r="H4653" s="7">
        <v>0</v>
      </c>
      <c r="I4653" s="7">
        <v>0</v>
      </c>
      <c r="J4653" s="7">
        <v>0</v>
      </c>
      <c r="K4653" s="3">
        <f t="shared" si="168"/>
        <v>0</v>
      </c>
      <c r="L4653" s="3"/>
      <c r="M4653" s="3">
        <f t="shared" si="169"/>
        <v>0</v>
      </c>
      <c r="O4653" s="5"/>
      <c r="S4653" s="11"/>
    </row>
    <row r="4654" spans="1:19" customFormat="1" x14ac:dyDescent="0.45">
      <c r="A4654">
        <v>831668</v>
      </c>
      <c r="B4654" t="s">
        <v>25018</v>
      </c>
      <c r="C4654" t="s">
        <v>16331</v>
      </c>
      <c r="D4654">
        <v>1</v>
      </c>
      <c r="E4654" t="s">
        <v>16331</v>
      </c>
      <c r="F4654" s="126"/>
      <c r="G4654" s="7">
        <v>0</v>
      </c>
      <c r="H4654" s="7">
        <v>0</v>
      </c>
      <c r="I4654" s="7">
        <v>0</v>
      </c>
      <c r="J4654" s="7">
        <v>0</v>
      </c>
      <c r="K4654" s="3">
        <f t="shared" si="168"/>
        <v>0</v>
      </c>
      <c r="L4654" s="3"/>
      <c r="M4654" s="3">
        <f t="shared" si="169"/>
        <v>0</v>
      </c>
      <c r="O4654" s="5"/>
      <c r="S4654" s="11"/>
    </row>
    <row r="4655" spans="1:19" customFormat="1" x14ac:dyDescent="0.45">
      <c r="A4655">
        <v>832055</v>
      </c>
      <c r="B4655" t="s">
        <v>25019</v>
      </c>
      <c r="C4655" t="s">
        <v>25020</v>
      </c>
      <c r="D4655">
        <v>2</v>
      </c>
      <c r="F4655" s="126"/>
      <c r="G4655" s="3">
        <v>0</v>
      </c>
      <c r="H4655" s="3">
        <v>0</v>
      </c>
      <c r="I4655" s="3">
        <v>0</v>
      </c>
      <c r="J4655" s="3">
        <v>0</v>
      </c>
      <c r="K4655" s="3">
        <f t="shared" si="168"/>
        <v>0</v>
      </c>
      <c r="L4655" s="3"/>
      <c r="M4655" s="3">
        <f t="shared" si="169"/>
        <v>0</v>
      </c>
      <c r="O4655" s="5"/>
      <c r="S4655" s="11"/>
    </row>
    <row r="4656" spans="1:19" customFormat="1" x14ac:dyDescent="0.45">
      <c r="A4656">
        <v>832264</v>
      </c>
      <c r="B4656" t="s">
        <v>25021</v>
      </c>
      <c r="C4656" t="s">
        <v>16331</v>
      </c>
      <c r="D4656">
        <v>0</v>
      </c>
      <c r="E4656" t="s">
        <v>16331</v>
      </c>
      <c r="F4656" s="126"/>
      <c r="G4656" s="7">
        <v>0</v>
      </c>
      <c r="H4656" s="7">
        <v>0</v>
      </c>
      <c r="I4656" s="7">
        <v>0</v>
      </c>
      <c r="J4656" s="7">
        <v>0</v>
      </c>
      <c r="K4656" s="3">
        <f t="shared" si="168"/>
        <v>0</v>
      </c>
      <c r="L4656" s="3"/>
      <c r="M4656" s="3">
        <f t="shared" si="169"/>
        <v>0</v>
      </c>
      <c r="N4656" s="7"/>
      <c r="O4656" s="5"/>
      <c r="S4656" s="11"/>
    </row>
    <row r="4657" spans="1:19" customFormat="1" x14ac:dyDescent="0.45">
      <c r="A4657">
        <v>832417</v>
      </c>
      <c r="B4657" t="s">
        <v>25022</v>
      </c>
      <c r="C4657" t="s">
        <v>25023</v>
      </c>
      <c r="D4657">
        <v>6</v>
      </c>
      <c r="F4657" s="126"/>
      <c r="G4657" s="3">
        <v>0</v>
      </c>
      <c r="H4657" s="3">
        <v>0</v>
      </c>
      <c r="I4657" s="3">
        <v>0</v>
      </c>
      <c r="J4657" s="3">
        <v>0</v>
      </c>
      <c r="K4657" s="3">
        <f t="shared" si="168"/>
        <v>0</v>
      </c>
      <c r="L4657" s="3"/>
      <c r="M4657" s="3">
        <f t="shared" si="169"/>
        <v>0</v>
      </c>
      <c r="O4657" s="5"/>
      <c r="S4657" s="11"/>
    </row>
    <row r="4658" spans="1:19" customFormat="1" x14ac:dyDescent="0.45">
      <c r="A4658">
        <v>832613</v>
      </c>
      <c r="B4658" t="s">
        <v>25024</v>
      </c>
      <c r="C4658" t="s">
        <v>16331</v>
      </c>
      <c r="D4658">
        <v>1</v>
      </c>
      <c r="E4658" t="s">
        <v>16331</v>
      </c>
      <c r="F4658" s="126"/>
      <c r="G4658" s="7">
        <v>0</v>
      </c>
      <c r="H4658" s="7">
        <v>0</v>
      </c>
      <c r="I4658" s="7">
        <v>0</v>
      </c>
      <c r="J4658" s="7">
        <v>0</v>
      </c>
      <c r="K4658" s="3">
        <f t="shared" ref="K4658:K4721" si="170">SUM(G4658:J4658)</f>
        <v>0</v>
      </c>
      <c r="L4658" s="3"/>
      <c r="M4658" s="3">
        <f t="shared" ref="M4658:M4721" si="171">K4658+F4658</f>
        <v>0</v>
      </c>
      <c r="O4658" s="5"/>
      <c r="S4658" s="11"/>
    </row>
    <row r="4659" spans="1:19" customFormat="1" x14ac:dyDescent="0.45">
      <c r="A4659">
        <v>832767</v>
      </c>
      <c r="B4659" t="s">
        <v>25025</v>
      </c>
      <c r="C4659" t="s">
        <v>25026</v>
      </c>
      <c r="D4659">
        <v>2</v>
      </c>
      <c r="F4659" s="126"/>
      <c r="G4659" s="7">
        <v>0</v>
      </c>
      <c r="H4659" s="7">
        <v>0</v>
      </c>
      <c r="I4659" s="7">
        <v>0</v>
      </c>
      <c r="J4659" s="7">
        <v>0</v>
      </c>
      <c r="K4659" s="3">
        <f t="shared" si="170"/>
        <v>0</v>
      </c>
      <c r="L4659" s="3"/>
      <c r="M4659" s="3">
        <f t="shared" si="171"/>
        <v>0</v>
      </c>
      <c r="O4659" s="5"/>
      <c r="S4659" s="11"/>
    </row>
    <row r="4660" spans="1:19" customFormat="1" x14ac:dyDescent="0.45">
      <c r="A4660">
        <v>832988</v>
      </c>
      <c r="B4660" t="s">
        <v>25027</v>
      </c>
      <c r="C4660" t="s">
        <v>16331</v>
      </c>
      <c r="D4660">
        <v>2</v>
      </c>
      <c r="E4660" t="s">
        <v>16331</v>
      </c>
      <c r="F4660" s="126"/>
      <c r="G4660" s="7">
        <v>0</v>
      </c>
      <c r="H4660" s="7">
        <v>0</v>
      </c>
      <c r="I4660" s="7">
        <v>0</v>
      </c>
      <c r="J4660" s="7">
        <v>0</v>
      </c>
      <c r="K4660" s="3">
        <f t="shared" si="170"/>
        <v>0</v>
      </c>
      <c r="L4660" s="3"/>
      <c r="M4660" s="3">
        <f t="shared" si="171"/>
        <v>0</v>
      </c>
      <c r="O4660" s="5"/>
      <c r="S4660" s="11"/>
    </row>
    <row r="4661" spans="1:19" customFormat="1" x14ac:dyDescent="0.45">
      <c r="A4661">
        <v>833119</v>
      </c>
      <c r="B4661" t="s">
        <v>25028</v>
      </c>
      <c r="C4661" t="s">
        <v>25029</v>
      </c>
      <c r="D4661">
        <v>1</v>
      </c>
      <c r="F4661" s="126"/>
      <c r="G4661" s="3">
        <v>0</v>
      </c>
      <c r="H4661" s="3">
        <v>0</v>
      </c>
      <c r="I4661" s="3">
        <v>0</v>
      </c>
      <c r="J4661" s="3">
        <v>0</v>
      </c>
      <c r="K4661" s="3">
        <f t="shared" si="170"/>
        <v>0</v>
      </c>
      <c r="L4661" s="3"/>
      <c r="M4661" s="3">
        <f t="shared" si="171"/>
        <v>0</v>
      </c>
      <c r="O4661" s="5"/>
      <c r="S4661" s="11"/>
    </row>
    <row r="4662" spans="1:19" customFormat="1" x14ac:dyDescent="0.45">
      <c r="A4662">
        <v>833211</v>
      </c>
      <c r="B4662" t="s">
        <v>25030</v>
      </c>
      <c r="C4662" t="s">
        <v>25031</v>
      </c>
      <c r="D4662">
        <v>1</v>
      </c>
      <c r="F4662" s="126"/>
      <c r="G4662" s="3">
        <v>0</v>
      </c>
      <c r="H4662" s="3">
        <v>0</v>
      </c>
      <c r="I4662" s="3">
        <v>0</v>
      </c>
      <c r="J4662" s="3">
        <v>0</v>
      </c>
      <c r="K4662" s="3">
        <f t="shared" si="170"/>
        <v>0</v>
      </c>
      <c r="L4662" s="3"/>
      <c r="M4662" s="3">
        <f t="shared" si="171"/>
        <v>0</v>
      </c>
      <c r="O4662" s="5"/>
      <c r="S4662" s="11"/>
    </row>
    <row r="4663" spans="1:19" customFormat="1" x14ac:dyDescent="0.45">
      <c r="A4663">
        <v>833492</v>
      </c>
      <c r="B4663" t="s">
        <v>25032</v>
      </c>
      <c r="C4663" t="s">
        <v>25033</v>
      </c>
      <c r="D4663">
        <v>6</v>
      </c>
      <c r="F4663" s="126"/>
      <c r="G4663" s="3">
        <v>0</v>
      </c>
      <c r="H4663" s="3">
        <v>0</v>
      </c>
      <c r="I4663" s="3">
        <v>0</v>
      </c>
      <c r="J4663" s="3">
        <v>0</v>
      </c>
      <c r="K4663" s="3">
        <f t="shared" si="170"/>
        <v>0</v>
      </c>
      <c r="L4663" s="3"/>
      <c r="M4663" s="3">
        <f t="shared" si="171"/>
        <v>0</v>
      </c>
      <c r="O4663" s="5"/>
      <c r="S4663" s="11"/>
    </row>
    <row r="4664" spans="1:19" customFormat="1" x14ac:dyDescent="0.45">
      <c r="A4664">
        <v>833813</v>
      </c>
      <c r="B4664" t="s">
        <v>25034</v>
      </c>
      <c r="C4664" t="s">
        <v>25035</v>
      </c>
      <c r="D4664">
        <v>3</v>
      </c>
      <c r="F4664" s="126"/>
      <c r="G4664" s="7">
        <v>0</v>
      </c>
      <c r="H4664" s="7">
        <v>0</v>
      </c>
      <c r="I4664" s="7">
        <v>0</v>
      </c>
      <c r="J4664" s="7">
        <v>0</v>
      </c>
      <c r="K4664" s="3">
        <f t="shared" si="170"/>
        <v>0</v>
      </c>
      <c r="L4664" s="3"/>
      <c r="M4664" s="3">
        <f t="shared" si="171"/>
        <v>0</v>
      </c>
      <c r="O4664" s="5"/>
      <c r="S4664" s="11"/>
    </row>
    <row r="4665" spans="1:19" customFormat="1" x14ac:dyDescent="0.45">
      <c r="A4665">
        <v>833851</v>
      </c>
      <c r="B4665" t="s">
        <v>25036</v>
      </c>
      <c r="C4665" t="s">
        <v>16331</v>
      </c>
      <c r="D4665">
        <v>1</v>
      </c>
      <c r="E4665" t="s">
        <v>16331</v>
      </c>
      <c r="F4665" s="126"/>
      <c r="G4665" s="7">
        <v>0</v>
      </c>
      <c r="H4665" s="7">
        <v>0</v>
      </c>
      <c r="I4665" s="7">
        <v>0</v>
      </c>
      <c r="J4665" s="7">
        <v>0</v>
      </c>
      <c r="K4665" s="3">
        <f t="shared" si="170"/>
        <v>0</v>
      </c>
      <c r="L4665" s="3"/>
      <c r="M4665" s="3">
        <f t="shared" si="171"/>
        <v>0</v>
      </c>
      <c r="O4665" s="5"/>
      <c r="S4665" s="11"/>
    </row>
    <row r="4666" spans="1:19" customFormat="1" x14ac:dyDescent="0.45">
      <c r="A4666">
        <v>834207</v>
      </c>
      <c r="B4666" t="s">
        <v>25037</v>
      </c>
      <c r="C4666" t="s">
        <v>16331</v>
      </c>
      <c r="D4666">
        <v>2</v>
      </c>
      <c r="E4666" t="s">
        <v>16331</v>
      </c>
      <c r="F4666" s="126"/>
      <c r="G4666" s="7">
        <v>0</v>
      </c>
      <c r="H4666" s="7">
        <v>0</v>
      </c>
      <c r="I4666" s="7">
        <v>0</v>
      </c>
      <c r="J4666" s="7">
        <v>0</v>
      </c>
      <c r="K4666" s="3">
        <f t="shared" si="170"/>
        <v>0</v>
      </c>
      <c r="L4666" s="3"/>
      <c r="M4666" s="3">
        <f t="shared" si="171"/>
        <v>0</v>
      </c>
      <c r="O4666" s="5"/>
      <c r="S4666" s="11"/>
    </row>
    <row r="4667" spans="1:19" customFormat="1" x14ac:dyDescent="0.45">
      <c r="A4667">
        <v>834451</v>
      </c>
      <c r="B4667" t="s">
        <v>25038</v>
      </c>
      <c r="C4667" t="s">
        <v>25039</v>
      </c>
      <c r="D4667">
        <v>2</v>
      </c>
      <c r="F4667" s="126"/>
      <c r="G4667" s="3">
        <v>0</v>
      </c>
      <c r="H4667" s="3">
        <v>0</v>
      </c>
      <c r="I4667" s="3">
        <v>0</v>
      </c>
      <c r="J4667" s="3">
        <v>0</v>
      </c>
      <c r="K4667" s="3">
        <f t="shared" si="170"/>
        <v>0</v>
      </c>
      <c r="L4667" s="3"/>
      <c r="M4667" s="3">
        <f t="shared" si="171"/>
        <v>0</v>
      </c>
      <c r="O4667" s="5"/>
      <c r="S4667" s="11"/>
    </row>
    <row r="4668" spans="1:19" customFormat="1" x14ac:dyDescent="0.45">
      <c r="A4668">
        <v>834557</v>
      </c>
      <c r="B4668" t="s">
        <v>25040</v>
      </c>
      <c r="C4668" t="s">
        <v>25041</v>
      </c>
      <c r="D4668">
        <v>1</v>
      </c>
      <c r="F4668" s="126"/>
      <c r="G4668" s="3">
        <v>0</v>
      </c>
      <c r="H4668" s="3">
        <v>0</v>
      </c>
      <c r="I4668" s="3">
        <v>0</v>
      </c>
      <c r="J4668" s="3">
        <v>0</v>
      </c>
      <c r="K4668" s="3">
        <f t="shared" si="170"/>
        <v>0</v>
      </c>
      <c r="L4668" s="3"/>
      <c r="M4668" s="3">
        <f t="shared" si="171"/>
        <v>0</v>
      </c>
      <c r="O4668" s="5"/>
      <c r="S4668" s="11"/>
    </row>
    <row r="4669" spans="1:19" customFormat="1" x14ac:dyDescent="0.45">
      <c r="A4669">
        <v>834602</v>
      </c>
      <c r="B4669" t="s">
        <v>25042</v>
      </c>
      <c r="C4669" t="s">
        <v>25043</v>
      </c>
      <c r="D4669">
        <v>3</v>
      </c>
      <c r="F4669" s="126"/>
      <c r="G4669" s="3"/>
      <c r="H4669" s="3"/>
      <c r="I4669" s="3"/>
      <c r="J4669" s="3"/>
      <c r="K4669" s="3">
        <f t="shared" si="170"/>
        <v>0</v>
      </c>
      <c r="L4669" s="3"/>
      <c r="M4669" s="3">
        <f t="shared" si="171"/>
        <v>0</v>
      </c>
      <c r="O4669" s="5"/>
      <c r="S4669" s="11"/>
    </row>
    <row r="4670" spans="1:19" customFormat="1" x14ac:dyDescent="0.45">
      <c r="A4670">
        <v>834661</v>
      </c>
      <c r="B4670" t="s">
        <v>25044</v>
      </c>
      <c r="C4670" t="s">
        <v>16331</v>
      </c>
      <c r="D4670">
        <v>1</v>
      </c>
      <c r="E4670" t="s">
        <v>16331</v>
      </c>
      <c r="F4670" s="126"/>
      <c r="K4670" s="3">
        <f t="shared" si="170"/>
        <v>0</v>
      </c>
      <c r="L4670" s="3"/>
      <c r="M4670" s="3">
        <f t="shared" si="171"/>
        <v>0</v>
      </c>
      <c r="O4670" s="5"/>
      <c r="S4670" s="11"/>
    </row>
    <row r="4671" spans="1:19" customFormat="1" x14ac:dyDescent="0.45">
      <c r="A4671">
        <v>835577</v>
      </c>
      <c r="B4671" t="s">
        <v>25045</v>
      </c>
      <c r="C4671" t="s">
        <v>16331</v>
      </c>
      <c r="D4671">
        <v>5</v>
      </c>
      <c r="E4671" t="s">
        <v>16331</v>
      </c>
      <c r="F4671" s="126"/>
      <c r="G4671" s="7">
        <v>0</v>
      </c>
      <c r="H4671" s="7">
        <v>0</v>
      </c>
      <c r="I4671" s="7">
        <v>0</v>
      </c>
      <c r="J4671" s="7">
        <v>0</v>
      </c>
      <c r="K4671" s="3">
        <f t="shared" si="170"/>
        <v>0</v>
      </c>
      <c r="L4671" s="3"/>
      <c r="M4671" s="3">
        <f t="shared" si="171"/>
        <v>0</v>
      </c>
      <c r="O4671" s="5"/>
      <c r="S4671" s="11"/>
    </row>
    <row r="4672" spans="1:19" customFormat="1" x14ac:dyDescent="0.45">
      <c r="A4672">
        <v>836096</v>
      </c>
      <c r="B4672" t="s">
        <v>25046</v>
      </c>
      <c r="C4672" t="s">
        <v>25047</v>
      </c>
      <c r="D4672">
        <v>1</v>
      </c>
      <c r="F4672" s="126"/>
      <c r="K4672" s="3">
        <f t="shared" si="170"/>
        <v>0</v>
      </c>
      <c r="L4672" s="3"/>
      <c r="M4672" s="3">
        <f t="shared" si="171"/>
        <v>0</v>
      </c>
      <c r="O4672" s="5"/>
      <c r="S4672" s="11"/>
    </row>
    <row r="4673" spans="1:22" customFormat="1" x14ac:dyDescent="0.45">
      <c r="A4673">
        <v>836163</v>
      </c>
      <c r="B4673" t="s">
        <v>25048</v>
      </c>
      <c r="C4673" t="s">
        <v>25049</v>
      </c>
      <c r="D4673">
        <v>4</v>
      </c>
      <c r="F4673" s="126"/>
      <c r="K4673" s="3">
        <f t="shared" si="170"/>
        <v>0</v>
      </c>
      <c r="L4673" s="3"/>
      <c r="M4673" s="3">
        <f t="shared" si="171"/>
        <v>0</v>
      </c>
      <c r="O4673" s="5"/>
      <c r="S4673" s="11"/>
    </row>
    <row r="4674" spans="1:22" customFormat="1" x14ac:dyDescent="0.45">
      <c r="A4674">
        <v>836465</v>
      </c>
      <c r="B4674" t="s">
        <v>25050</v>
      </c>
      <c r="C4674" s="2" t="s">
        <v>25051</v>
      </c>
      <c r="D4674">
        <v>7</v>
      </c>
      <c r="F4674" s="126"/>
      <c r="G4674" s="3">
        <v>0</v>
      </c>
      <c r="H4674" s="3">
        <v>0</v>
      </c>
      <c r="I4674" s="3">
        <v>0</v>
      </c>
      <c r="J4674" s="3">
        <v>0</v>
      </c>
      <c r="K4674" s="3">
        <f t="shared" si="170"/>
        <v>0</v>
      </c>
      <c r="L4674" s="3"/>
      <c r="M4674" s="3">
        <f t="shared" si="171"/>
        <v>0</v>
      </c>
      <c r="O4674" s="5"/>
      <c r="S4674" s="11"/>
    </row>
    <row r="4675" spans="1:22" customFormat="1" x14ac:dyDescent="0.45">
      <c r="A4675">
        <v>836962</v>
      </c>
      <c r="B4675" t="s">
        <v>25052</v>
      </c>
      <c r="C4675" s="2" t="s">
        <v>25053</v>
      </c>
      <c r="D4675">
        <v>2</v>
      </c>
      <c r="F4675" s="126"/>
      <c r="G4675" s="3">
        <v>0</v>
      </c>
      <c r="H4675" s="3">
        <v>0</v>
      </c>
      <c r="I4675" s="3">
        <v>0</v>
      </c>
      <c r="J4675" s="3">
        <v>0</v>
      </c>
      <c r="K4675" s="3">
        <f t="shared" si="170"/>
        <v>0</v>
      </c>
      <c r="L4675" s="3"/>
      <c r="M4675" s="3">
        <f t="shared" si="171"/>
        <v>0</v>
      </c>
      <c r="O4675" s="5"/>
      <c r="S4675" s="11"/>
    </row>
    <row r="4676" spans="1:22" customFormat="1" x14ac:dyDescent="0.45">
      <c r="A4676">
        <v>837211</v>
      </c>
      <c r="B4676" t="s">
        <v>25054</v>
      </c>
      <c r="C4676" t="s">
        <v>25055</v>
      </c>
      <c r="D4676">
        <v>3</v>
      </c>
      <c r="F4676" s="126"/>
      <c r="G4676" s="3">
        <v>0</v>
      </c>
      <c r="H4676" s="3">
        <v>0</v>
      </c>
      <c r="I4676" s="3">
        <v>0</v>
      </c>
      <c r="J4676" s="3">
        <v>0</v>
      </c>
      <c r="K4676" s="3">
        <f t="shared" si="170"/>
        <v>0</v>
      </c>
      <c r="L4676" s="3"/>
      <c r="M4676" s="3">
        <f t="shared" si="171"/>
        <v>0</v>
      </c>
      <c r="O4676" s="5"/>
      <c r="S4676" s="11"/>
    </row>
    <row r="4677" spans="1:22" customFormat="1" x14ac:dyDescent="0.45">
      <c r="A4677">
        <v>837552</v>
      </c>
      <c r="B4677" t="s">
        <v>25056</v>
      </c>
      <c r="C4677" t="s">
        <v>25057</v>
      </c>
      <c r="D4677">
        <v>1</v>
      </c>
      <c r="F4677" s="126"/>
      <c r="K4677" s="3">
        <f t="shared" si="170"/>
        <v>0</v>
      </c>
      <c r="L4677" s="3"/>
      <c r="M4677" s="3">
        <f t="shared" si="171"/>
        <v>0</v>
      </c>
      <c r="O4677" s="5"/>
      <c r="S4677" s="11"/>
    </row>
    <row r="4678" spans="1:22" customFormat="1" x14ac:dyDescent="0.45">
      <c r="A4678">
        <v>837818</v>
      </c>
      <c r="B4678" t="s">
        <v>25058</v>
      </c>
      <c r="C4678" t="s">
        <v>16331</v>
      </c>
      <c r="D4678">
        <v>1</v>
      </c>
      <c r="E4678" t="s">
        <v>16331</v>
      </c>
      <c r="F4678" s="126"/>
      <c r="G4678" s="7">
        <v>0</v>
      </c>
      <c r="H4678" s="7">
        <v>0</v>
      </c>
      <c r="I4678" s="7">
        <v>0</v>
      </c>
      <c r="J4678" s="7">
        <v>0</v>
      </c>
      <c r="K4678" s="3">
        <f t="shared" si="170"/>
        <v>0</v>
      </c>
      <c r="L4678" s="3"/>
      <c r="M4678" s="3">
        <f t="shared" si="171"/>
        <v>0</v>
      </c>
      <c r="O4678" s="5"/>
      <c r="S4678" s="11"/>
    </row>
    <row r="4679" spans="1:22" customFormat="1" x14ac:dyDescent="0.45">
      <c r="A4679">
        <v>838186</v>
      </c>
      <c r="B4679" t="s">
        <v>25059</v>
      </c>
      <c r="C4679" t="s">
        <v>25060</v>
      </c>
      <c r="D4679">
        <v>19</v>
      </c>
      <c r="F4679" s="126"/>
      <c r="G4679" s="3"/>
      <c r="H4679" s="3"/>
      <c r="I4679" s="3"/>
      <c r="J4679" s="3"/>
      <c r="K4679" s="3">
        <f t="shared" si="170"/>
        <v>0</v>
      </c>
      <c r="L4679" s="3"/>
      <c r="M4679" s="3">
        <f t="shared" si="171"/>
        <v>0</v>
      </c>
      <c r="O4679" s="5"/>
      <c r="S4679" s="11"/>
    </row>
    <row r="4680" spans="1:22" customFormat="1" x14ac:dyDescent="0.45">
      <c r="A4680">
        <v>838234</v>
      </c>
      <c r="B4680" t="s">
        <v>25061</v>
      </c>
      <c r="C4680" t="s">
        <v>25062</v>
      </c>
      <c r="D4680">
        <v>1</v>
      </c>
      <c r="F4680" s="126"/>
      <c r="G4680" s="7">
        <v>0</v>
      </c>
      <c r="H4680" s="7">
        <v>0</v>
      </c>
      <c r="I4680" s="7">
        <v>0</v>
      </c>
      <c r="J4680" s="7">
        <v>0</v>
      </c>
      <c r="K4680" s="3">
        <f t="shared" si="170"/>
        <v>0</v>
      </c>
      <c r="L4680" s="3"/>
      <c r="M4680" s="3">
        <f t="shared" si="171"/>
        <v>0</v>
      </c>
      <c r="O4680" s="5"/>
      <c r="S4680" s="11"/>
    </row>
    <row r="4681" spans="1:22" customFormat="1" x14ac:dyDescent="0.45">
      <c r="A4681">
        <v>838284</v>
      </c>
      <c r="B4681" t="s">
        <v>25063</v>
      </c>
      <c r="C4681" t="s">
        <v>25064</v>
      </c>
      <c r="D4681">
        <v>1</v>
      </c>
      <c r="F4681" s="126"/>
      <c r="G4681" s="3">
        <v>0</v>
      </c>
      <c r="H4681" s="3">
        <v>0</v>
      </c>
      <c r="I4681" s="3">
        <v>0</v>
      </c>
      <c r="J4681" s="3">
        <v>0</v>
      </c>
      <c r="K4681" s="3">
        <f t="shared" si="170"/>
        <v>0</v>
      </c>
      <c r="L4681" s="3"/>
      <c r="M4681" s="3">
        <f t="shared" si="171"/>
        <v>0</v>
      </c>
      <c r="O4681" s="5"/>
      <c r="S4681" s="11"/>
    </row>
    <row r="4682" spans="1:22" customFormat="1" x14ac:dyDescent="0.45">
      <c r="A4682">
        <v>838460</v>
      </c>
      <c r="B4682" t="s">
        <v>25065</v>
      </c>
      <c r="C4682" t="s">
        <v>16331</v>
      </c>
      <c r="D4682">
        <v>1</v>
      </c>
      <c r="E4682" t="s">
        <v>16331</v>
      </c>
      <c r="F4682" s="126"/>
      <c r="K4682" s="3">
        <f t="shared" si="170"/>
        <v>0</v>
      </c>
      <c r="L4682" s="3"/>
      <c r="M4682" s="3">
        <f t="shared" si="171"/>
        <v>0</v>
      </c>
      <c r="O4682" s="5"/>
      <c r="S4682" s="11"/>
    </row>
    <row r="4683" spans="1:22" customFormat="1" x14ac:dyDescent="0.45">
      <c r="A4683">
        <v>839690</v>
      </c>
      <c r="B4683" t="s">
        <v>25066</v>
      </c>
      <c r="C4683" t="s">
        <v>25067</v>
      </c>
      <c r="D4683">
        <v>2</v>
      </c>
      <c r="F4683" s="126"/>
      <c r="G4683" s="3">
        <v>0</v>
      </c>
      <c r="H4683" s="3">
        <v>0</v>
      </c>
      <c r="I4683" s="3">
        <v>0</v>
      </c>
      <c r="J4683" s="3">
        <v>0</v>
      </c>
      <c r="K4683" s="3">
        <f t="shared" si="170"/>
        <v>0</v>
      </c>
      <c r="L4683" s="3"/>
      <c r="M4683" s="3">
        <f t="shared" si="171"/>
        <v>0</v>
      </c>
      <c r="O4683" s="5"/>
      <c r="S4683" s="11"/>
    </row>
    <row r="4684" spans="1:22" customFormat="1" x14ac:dyDescent="0.45">
      <c r="A4684">
        <v>839860</v>
      </c>
      <c r="B4684" t="s">
        <v>25068</v>
      </c>
      <c r="C4684" t="s">
        <v>25069</v>
      </c>
      <c r="D4684">
        <v>4</v>
      </c>
      <c r="F4684" s="126"/>
      <c r="G4684" s="3">
        <v>0</v>
      </c>
      <c r="H4684" s="3">
        <v>0</v>
      </c>
      <c r="I4684" s="3">
        <v>0</v>
      </c>
      <c r="J4684" s="3">
        <v>0</v>
      </c>
      <c r="K4684" s="3">
        <f t="shared" si="170"/>
        <v>0</v>
      </c>
      <c r="L4684" s="3"/>
      <c r="M4684" s="3">
        <f t="shared" si="171"/>
        <v>0</v>
      </c>
      <c r="O4684" s="5"/>
      <c r="S4684" s="11"/>
    </row>
    <row r="4685" spans="1:22" customFormat="1" x14ac:dyDescent="0.45">
      <c r="A4685">
        <v>839943</v>
      </c>
      <c r="B4685" t="s">
        <v>25070</v>
      </c>
      <c r="C4685" t="s">
        <v>25071</v>
      </c>
      <c r="D4685">
        <v>15</v>
      </c>
      <c r="F4685" s="126"/>
      <c r="G4685" s="3"/>
      <c r="H4685" s="3"/>
      <c r="I4685" s="3"/>
      <c r="J4685" s="3"/>
      <c r="K4685" s="3">
        <f t="shared" si="170"/>
        <v>0</v>
      </c>
      <c r="L4685" s="3"/>
      <c r="M4685" s="3">
        <f t="shared" si="171"/>
        <v>0</v>
      </c>
      <c r="O4685" s="5"/>
      <c r="S4685" s="11"/>
    </row>
    <row r="4686" spans="1:22" customFormat="1" x14ac:dyDescent="0.45">
      <c r="A4686">
        <v>840213</v>
      </c>
      <c r="B4686" t="s">
        <v>25072</v>
      </c>
      <c r="C4686" t="s">
        <v>25073</v>
      </c>
      <c r="D4686">
        <v>1</v>
      </c>
      <c r="F4686" s="126"/>
      <c r="G4686" s="7">
        <v>0</v>
      </c>
      <c r="H4686" s="7">
        <v>0</v>
      </c>
      <c r="I4686" s="7">
        <v>0</v>
      </c>
      <c r="J4686" s="7">
        <v>0</v>
      </c>
      <c r="K4686" s="3">
        <f t="shared" si="170"/>
        <v>0</v>
      </c>
      <c r="L4686" s="3"/>
      <c r="M4686" s="3">
        <f t="shared" si="171"/>
        <v>0</v>
      </c>
      <c r="O4686" s="5"/>
      <c r="S4686" s="11"/>
    </row>
    <row r="4687" spans="1:22" x14ac:dyDescent="0.45">
      <c r="A4687" s="124">
        <v>717593</v>
      </c>
      <c r="B4687" s="124" t="s">
        <v>25074</v>
      </c>
      <c r="C4687" s="124" t="s">
        <v>25075</v>
      </c>
      <c r="D4687" s="124">
        <v>7</v>
      </c>
      <c r="E4687" s="124" t="s">
        <v>16334</v>
      </c>
      <c r="F4687" s="126">
        <v>1.6999999999999999E-3</v>
      </c>
      <c r="G4687" s="126">
        <v>1.4999999999999999E-2</v>
      </c>
      <c r="H4687" s="126">
        <v>0.01</v>
      </c>
      <c r="I4687" s="127"/>
      <c r="J4687" s="127"/>
      <c r="K4687" s="126">
        <f t="shared" si="170"/>
        <v>2.5000000000000001E-2</v>
      </c>
      <c r="L4687" s="3"/>
      <c r="M4687" s="126">
        <f t="shared" si="171"/>
        <v>2.6700000000000002E-2</v>
      </c>
      <c r="O4687" s="131" t="s">
        <v>25076</v>
      </c>
      <c r="P4687" s="128" t="s">
        <v>26918</v>
      </c>
      <c r="Q4687" s="130">
        <f>1016169+318825</f>
        <v>1334994</v>
      </c>
      <c r="R4687" s="124" t="s">
        <v>16348</v>
      </c>
      <c r="S4687" s="132">
        <v>977003</v>
      </c>
      <c r="T4687" s="129">
        <f>S4687/Q4687</f>
        <v>0.73184074235539631</v>
      </c>
      <c r="V4687" s="125" t="s">
        <v>25077</v>
      </c>
    </row>
    <row r="4688" spans="1:22" customFormat="1" x14ac:dyDescent="0.45">
      <c r="A4688">
        <v>840938</v>
      </c>
      <c r="B4688" t="s">
        <v>25078</v>
      </c>
      <c r="C4688" t="s">
        <v>16331</v>
      </c>
      <c r="D4688">
        <v>1</v>
      </c>
      <c r="E4688" t="s">
        <v>16331</v>
      </c>
      <c r="F4688" s="126"/>
      <c r="G4688" s="7">
        <v>0</v>
      </c>
      <c r="H4688" s="7">
        <v>0</v>
      </c>
      <c r="I4688" s="7">
        <v>0</v>
      </c>
      <c r="J4688" s="7">
        <v>0</v>
      </c>
      <c r="K4688" s="3">
        <f t="shared" si="170"/>
        <v>0</v>
      </c>
      <c r="L4688" s="3"/>
      <c r="M4688" s="3">
        <f t="shared" si="171"/>
        <v>0</v>
      </c>
      <c r="O4688" s="5"/>
      <c r="S4688" s="11"/>
    </row>
    <row r="4689" spans="1:22" customFormat="1" x14ac:dyDescent="0.45">
      <c r="A4689">
        <v>840964</v>
      </c>
      <c r="B4689" t="s">
        <v>25079</v>
      </c>
      <c r="C4689" t="s">
        <v>25080</v>
      </c>
      <c r="D4689">
        <v>1</v>
      </c>
      <c r="F4689" s="126"/>
      <c r="G4689" s="3">
        <v>0</v>
      </c>
      <c r="H4689" s="3">
        <v>0</v>
      </c>
      <c r="I4689" s="3">
        <v>0</v>
      </c>
      <c r="J4689" s="3">
        <v>0</v>
      </c>
      <c r="K4689" s="3">
        <f t="shared" si="170"/>
        <v>0</v>
      </c>
      <c r="L4689" s="3"/>
      <c r="M4689" s="3">
        <f t="shared" si="171"/>
        <v>0</v>
      </c>
      <c r="O4689" s="5"/>
      <c r="S4689" s="11"/>
    </row>
    <row r="4690" spans="1:22" customFormat="1" x14ac:dyDescent="0.45">
      <c r="A4690">
        <v>841099</v>
      </c>
      <c r="B4690" t="s">
        <v>25081</v>
      </c>
      <c r="C4690" t="s">
        <v>16331</v>
      </c>
      <c r="D4690">
        <v>3</v>
      </c>
      <c r="E4690" t="s">
        <v>16331</v>
      </c>
      <c r="F4690" s="126"/>
      <c r="K4690" s="3">
        <f t="shared" si="170"/>
        <v>0</v>
      </c>
      <c r="L4690" s="3"/>
      <c r="M4690" s="3">
        <f t="shared" si="171"/>
        <v>0</v>
      </c>
      <c r="O4690" s="5"/>
      <c r="S4690" s="11"/>
    </row>
    <row r="4691" spans="1:22" customFormat="1" x14ac:dyDescent="0.45">
      <c r="A4691">
        <v>841219</v>
      </c>
      <c r="B4691" t="s">
        <v>25082</v>
      </c>
      <c r="C4691" t="s">
        <v>25083</v>
      </c>
      <c r="D4691">
        <v>4</v>
      </c>
      <c r="F4691" s="126"/>
      <c r="G4691" s="3">
        <v>0</v>
      </c>
      <c r="H4691" s="3">
        <v>0</v>
      </c>
      <c r="I4691" s="3">
        <v>0</v>
      </c>
      <c r="J4691" s="3">
        <v>0</v>
      </c>
      <c r="K4691" s="3">
        <f t="shared" si="170"/>
        <v>0</v>
      </c>
      <c r="L4691" s="3"/>
      <c r="M4691" s="3">
        <f t="shared" si="171"/>
        <v>0</v>
      </c>
      <c r="O4691" s="5"/>
      <c r="S4691" s="11"/>
    </row>
    <row r="4692" spans="1:22" customFormat="1" x14ac:dyDescent="0.45">
      <c r="A4692">
        <v>841266</v>
      </c>
      <c r="B4692" t="s">
        <v>25084</v>
      </c>
      <c r="C4692" t="s">
        <v>25085</v>
      </c>
      <c r="D4692">
        <v>10</v>
      </c>
      <c r="F4692" s="126"/>
      <c r="K4692" s="3">
        <f t="shared" si="170"/>
        <v>0</v>
      </c>
      <c r="L4692" s="3"/>
      <c r="M4692" s="3">
        <f t="shared" si="171"/>
        <v>0</v>
      </c>
      <c r="O4692" s="5"/>
      <c r="S4692" s="11"/>
    </row>
    <row r="4693" spans="1:22" customFormat="1" x14ac:dyDescent="0.45">
      <c r="A4693">
        <v>841309</v>
      </c>
      <c r="B4693" t="s">
        <v>25086</v>
      </c>
      <c r="C4693" t="s">
        <v>25087</v>
      </c>
      <c r="D4693">
        <v>2</v>
      </c>
      <c r="F4693" s="126"/>
      <c r="G4693" s="3">
        <v>0</v>
      </c>
      <c r="H4693" s="3">
        <v>0</v>
      </c>
      <c r="I4693" s="3">
        <v>0</v>
      </c>
      <c r="J4693" s="3">
        <v>0</v>
      </c>
      <c r="K4693" s="3">
        <f t="shared" si="170"/>
        <v>0</v>
      </c>
      <c r="L4693" s="3"/>
      <c r="M4693" s="3">
        <f t="shared" si="171"/>
        <v>0</v>
      </c>
      <c r="O4693" s="5"/>
      <c r="S4693" s="11"/>
    </row>
    <row r="4694" spans="1:22" customFormat="1" x14ac:dyDescent="0.45">
      <c r="A4694">
        <v>841524</v>
      </c>
      <c r="B4694" t="s">
        <v>25088</v>
      </c>
      <c r="C4694" t="s">
        <v>25089</v>
      </c>
      <c r="D4694">
        <v>2</v>
      </c>
      <c r="F4694" s="126"/>
      <c r="G4694" s="3">
        <v>0</v>
      </c>
      <c r="H4694" s="3">
        <v>0</v>
      </c>
      <c r="I4694" s="3">
        <v>0</v>
      </c>
      <c r="J4694" s="3">
        <v>0</v>
      </c>
      <c r="K4694" s="3">
        <f t="shared" si="170"/>
        <v>0</v>
      </c>
      <c r="L4694" s="3"/>
      <c r="M4694" s="3">
        <f t="shared" si="171"/>
        <v>0</v>
      </c>
      <c r="O4694" s="5"/>
      <c r="S4694" s="11"/>
    </row>
    <row r="4695" spans="1:22" customFormat="1" x14ac:dyDescent="0.45">
      <c r="A4695">
        <v>841556</v>
      </c>
      <c r="B4695" t="s">
        <v>25090</v>
      </c>
      <c r="C4695" t="s">
        <v>25091</v>
      </c>
      <c r="D4695">
        <v>1</v>
      </c>
      <c r="F4695" s="126"/>
      <c r="G4695" s="7">
        <v>0</v>
      </c>
      <c r="H4695" s="7">
        <v>0</v>
      </c>
      <c r="I4695" s="7">
        <v>0</v>
      </c>
      <c r="J4695" s="7">
        <v>0</v>
      </c>
      <c r="K4695" s="3">
        <f t="shared" si="170"/>
        <v>0</v>
      </c>
      <c r="L4695" s="3"/>
      <c r="M4695" s="3">
        <f t="shared" si="171"/>
        <v>0</v>
      </c>
      <c r="N4695" s="7"/>
      <c r="O4695" s="5"/>
      <c r="S4695" s="11"/>
    </row>
    <row r="4696" spans="1:22" customFormat="1" x14ac:dyDescent="0.45">
      <c r="A4696">
        <v>841587</v>
      </c>
      <c r="B4696" t="s">
        <v>25092</v>
      </c>
      <c r="C4696" t="s">
        <v>25093</v>
      </c>
      <c r="D4696">
        <v>3</v>
      </c>
      <c r="F4696" s="126"/>
      <c r="G4696" s="3">
        <v>0</v>
      </c>
      <c r="H4696" s="3">
        <v>0</v>
      </c>
      <c r="I4696" s="3">
        <v>0</v>
      </c>
      <c r="J4696" s="3">
        <v>0</v>
      </c>
      <c r="K4696" s="3">
        <f t="shared" si="170"/>
        <v>0</v>
      </c>
      <c r="L4696" s="3"/>
      <c r="M4696" s="3">
        <f t="shared" si="171"/>
        <v>0</v>
      </c>
      <c r="O4696" s="5"/>
      <c r="S4696" s="11"/>
    </row>
    <row r="4697" spans="1:22" customFormat="1" x14ac:dyDescent="0.45">
      <c r="A4697">
        <v>841810</v>
      </c>
      <c r="B4697" t="s">
        <v>25094</v>
      </c>
      <c r="C4697" t="s">
        <v>22039</v>
      </c>
      <c r="D4697">
        <v>1</v>
      </c>
      <c r="F4697" s="126"/>
      <c r="G4697" s="7">
        <v>0</v>
      </c>
      <c r="H4697" s="7">
        <v>0</v>
      </c>
      <c r="I4697" s="7">
        <v>0</v>
      </c>
      <c r="J4697" s="7">
        <v>0</v>
      </c>
      <c r="K4697" s="3">
        <f t="shared" si="170"/>
        <v>0</v>
      </c>
      <c r="L4697" s="3"/>
      <c r="M4697" s="3">
        <f t="shared" si="171"/>
        <v>0</v>
      </c>
      <c r="O4697" s="5"/>
      <c r="S4697" s="11"/>
    </row>
    <row r="4698" spans="1:22" customFormat="1" x14ac:dyDescent="0.45">
      <c r="A4698">
        <v>841978</v>
      </c>
      <c r="B4698" t="s">
        <v>25095</v>
      </c>
      <c r="C4698" t="s">
        <v>25096</v>
      </c>
      <c r="D4698">
        <v>3</v>
      </c>
      <c r="F4698" s="126"/>
      <c r="G4698" s="3">
        <v>0</v>
      </c>
      <c r="H4698" s="3">
        <v>0</v>
      </c>
      <c r="I4698" s="3">
        <v>0</v>
      </c>
      <c r="J4698" s="3">
        <v>0</v>
      </c>
      <c r="K4698" s="3">
        <f t="shared" si="170"/>
        <v>0</v>
      </c>
      <c r="L4698" s="3"/>
      <c r="M4698" s="3">
        <f t="shared" si="171"/>
        <v>0</v>
      </c>
      <c r="O4698" s="5"/>
      <c r="S4698" s="11"/>
    </row>
    <row r="4699" spans="1:22" customFormat="1" x14ac:dyDescent="0.45">
      <c r="A4699">
        <v>842070</v>
      </c>
      <c r="B4699" t="s">
        <v>25097</v>
      </c>
      <c r="C4699" t="s">
        <v>25098</v>
      </c>
      <c r="D4699">
        <v>1</v>
      </c>
      <c r="F4699" s="126"/>
      <c r="G4699" s="7">
        <v>0</v>
      </c>
      <c r="H4699" s="7">
        <v>0</v>
      </c>
      <c r="I4699" s="7">
        <v>0</v>
      </c>
      <c r="J4699" s="7">
        <v>0</v>
      </c>
      <c r="K4699" s="3">
        <f t="shared" si="170"/>
        <v>0</v>
      </c>
      <c r="L4699" s="3"/>
      <c r="M4699" s="3">
        <f t="shared" si="171"/>
        <v>0</v>
      </c>
      <c r="O4699" s="5"/>
      <c r="S4699" s="11"/>
    </row>
    <row r="4700" spans="1:22" customFormat="1" x14ac:dyDescent="0.45">
      <c r="A4700">
        <v>842242</v>
      </c>
      <c r="B4700" t="s">
        <v>25099</v>
      </c>
      <c r="C4700" t="s">
        <v>16331</v>
      </c>
      <c r="D4700">
        <v>1</v>
      </c>
      <c r="E4700" t="s">
        <v>16331</v>
      </c>
      <c r="F4700" s="126"/>
      <c r="G4700" s="7">
        <v>0</v>
      </c>
      <c r="H4700" s="7">
        <v>0</v>
      </c>
      <c r="I4700" s="7">
        <v>0</v>
      </c>
      <c r="J4700" s="7">
        <v>0</v>
      </c>
      <c r="K4700" s="3">
        <f t="shared" si="170"/>
        <v>0</v>
      </c>
      <c r="L4700" s="3"/>
      <c r="M4700" s="3">
        <f t="shared" si="171"/>
        <v>0</v>
      </c>
      <c r="O4700" s="5"/>
      <c r="S4700" s="11"/>
    </row>
    <row r="4701" spans="1:22" customFormat="1" x14ac:dyDescent="0.45">
      <c r="A4701">
        <v>842402</v>
      </c>
      <c r="B4701" t="s">
        <v>25100</v>
      </c>
      <c r="C4701" t="s">
        <v>25101</v>
      </c>
      <c r="D4701">
        <v>2</v>
      </c>
      <c r="F4701" s="126"/>
      <c r="G4701" s="3">
        <v>0</v>
      </c>
      <c r="H4701" s="3">
        <v>0</v>
      </c>
      <c r="I4701" s="3">
        <v>0</v>
      </c>
      <c r="J4701" s="3">
        <v>0</v>
      </c>
      <c r="K4701" s="3">
        <f t="shared" si="170"/>
        <v>0</v>
      </c>
      <c r="L4701" s="3"/>
      <c r="M4701" s="3">
        <f t="shared" si="171"/>
        <v>0</v>
      </c>
      <c r="O4701" s="5"/>
      <c r="S4701" s="11"/>
    </row>
    <row r="4702" spans="1:22" customFormat="1" x14ac:dyDescent="0.45">
      <c r="A4702">
        <v>842433</v>
      </c>
      <c r="B4702" t="s">
        <v>25102</v>
      </c>
      <c r="C4702" t="s">
        <v>25103</v>
      </c>
      <c r="D4702">
        <v>1</v>
      </c>
      <c r="F4702" s="126"/>
      <c r="G4702" s="3">
        <v>0</v>
      </c>
      <c r="H4702" s="3">
        <v>0</v>
      </c>
      <c r="I4702" s="3">
        <v>0</v>
      </c>
      <c r="J4702" s="3">
        <v>0</v>
      </c>
      <c r="K4702" s="3">
        <f t="shared" si="170"/>
        <v>0</v>
      </c>
      <c r="L4702" s="3"/>
      <c r="M4702" s="3">
        <f t="shared" si="171"/>
        <v>0</v>
      </c>
      <c r="O4702" s="5"/>
      <c r="S4702" s="11"/>
    </row>
    <row r="4703" spans="1:22" customFormat="1" x14ac:dyDescent="0.45">
      <c r="A4703">
        <v>842662</v>
      </c>
      <c r="B4703" t="s">
        <v>25104</v>
      </c>
      <c r="C4703" t="s">
        <v>25105</v>
      </c>
      <c r="D4703">
        <v>1</v>
      </c>
      <c r="F4703" s="126"/>
      <c r="G4703" s="3">
        <v>0</v>
      </c>
      <c r="H4703" s="3">
        <v>0</v>
      </c>
      <c r="I4703" s="3">
        <v>0</v>
      </c>
      <c r="J4703" s="3">
        <v>0</v>
      </c>
      <c r="K4703" s="3">
        <f t="shared" si="170"/>
        <v>0</v>
      </c>
      <c r="L4703" s="3"/>
      <c r="M4703" s="3">
        <f t="shared" si="171"/>
        <v>0</v>
      </c>
      <c r="O4703" s="5"/>
      <c r="S4703" s="11"/>
    </row>
    <row r="4704" spans="1:22" x14ac:dyDescent="0.45">
      <c r="A4704" s="124">
        <v>961278</v>
      </c>
      <c r="B4704" s="124" t="s">
        <v>25106</v>
      </c>
      <c r="C4704" s="124" t="s">
        <v>25107</v>
      </c>
      <c r="D4704" s="124">
        <v>4</v>
      </c>
      <c r="E4704" s="124" t="s">
        <v>16334</v>
      </c>
      <c r="F4704" s="126">
        <v>1.6999999999999999E-3</v>
      </c>
      <c r="G4704" s="126">
        <v>0.01</v>
      </c>
      <c r="H4704" s="126">
        <v>7.4999999999999997E-3</v>
      </c>
      <c r="I4704" s="127"/>
      <c r="J4704" s="127"/>
      <c r="K4704" s="126">
        <f t="shared" si="170"/>
        <v>1.7500000000000002E-2</v>
      </c>
      <c r="L4704" s="3"/>
      <c r="M4704" s="126">
        <f t="shared" si="171"/>
        <v>1.9200000000000002E-2</v>
      </c>
      <c r="O4704" s="131" t="s">
        <v>25108</v>
      </c>
      <c r="P4704" s="128" t="s">
        <v>26918</v>
      </c>
      <c r="Q4704" s="124">
        <f>36153+77767</f>
        <v>113920</v>
      </c>
      <c r="R4704" s="124" t="s">
        <v>16348</v>
      </c>
      <c r="S4704" s="132">
        <v>22624</v>
      </c>
      <c r="T4704" s="129">
        <f>S4704/Q4704</f>
        <v>0.19859550561797754</v>
      </c>
      <c r="V4704" s="125" t="s">
        <v>25109</v>
      </c>
    </row>
    <row r="4705" spans="1:24" customFormat="1" x14ac:dyDescent="0.45">
      <c r="A4705">
        <v>842769</v>
      </c>
      <c r="B4705" t="s">
        <v>25110</v>
      </c>
      <c r="C4705" t="s">
        <v>16331</v>
      </c>
      <c r="D4705">
        <v>1</v>
      </c>
      <c r="E4705" t="s">
        <v>16331</v>
      </c>
      <c r="F4705" s="126"/>
      <c r="G4705" s="7">
        <v>0</v>
      </c>
      <c r="H4705" s="7">
        <v>0</v>
      </c>
      <c r="I4705" s="7">
        <v>0</v>
      </c>
      <c r="J4705" s="7">
        <v>0</v>
      </c>
      <c r="K4705" s="3">
        <f t="shared" si="170"/>
        <v>0</v>
      </c>
      <c r="L4705" s="3"/>
      <c r="M4705" s="3">
        <f t="shared" si="171"/>
        <v>0</v>
      </c>
      <c r="O4705" s="5"/>
      <c r="S4705" s="11"/>
    </row>
    <row r="4706" spans="1:24" customFormat="1" x14ac:dyDescent="0.45">
      <c r="A4706">
        <v>843149</v>
      </c>
      <c r="B4706" t="s">
        <v>25111</v>
      </c>
      <c r="C4706" t="s">
        <v>25112</v>
      </c>
      <c r="D4706">
        <v>1</v>
      </c>
      <c r="F4706" s="126"/>
      <c r="G4706" s="3">
        <v>0</v>
      </c>
      <c r="H4706" s="3">
        <v>0</v>
      </c>
      <c r="I4706" s="3">
        <v>0</v>
      </c>
      <c r="J4706" s="3">
        <v>0</v>
      </c>
      <c r="K4706" s="3">
        <f t="shared" si="170"/>
        <v>0</v>
      </c>
      <c r="L4706" s="3"/>
      <c r="M4706" s="3">
        <f t="shared" si="171"/>
        <v>0</v>
      </c>
      <c r="O4706" s="5"/>
      <c r="S4706" s="11"/>
    </row>
    <row r="4707" spans="1:24" customFormat="1" x14ac:dyDescent="0.45">
      <c r="A4707">
        <v>843370</v>
      </c>
      <c r="B4707" t="s">
        <v>25113</v>
      </c>
      <c r="C4707" t="s">
        <v>16331</v>
      </c>
      <c r="D4707">
        <v>2</v>
      </c>
      <c r="E4707" t="s">
        <v>16331</v>
      </c>
      <c r="F4707" s="126"/>
      <c r="G4707" s="7">
        <v>0</v>
      </c>
      <c r="H4707" s="7">
        <v>0</v>
      </c>
      <c r="I4707" s="7">
        <v>0</v>
      </c>
      <c r="J4707" s="7">
        <v>0</v>
      </c>
      <c r="K4707" s="3">
        <f t="shared" si="170"/>
        <v>0</v>
      </c>
      <c r="L4707" s="3"/>
      <c r="M4707" s="3">
        <f t="shared" si="171"/>
        <v>0</v>
      </c>
      <c r="O4707" s="5"/>
      <c r="S4707" s="11"/>
    </row>
    <row r="4708" spans="1:24" customFormat="1" x14ac:dyDescent="0.45">
      <c r="A4708">
        <v>843450</v>
      </c>
      <c r="B4708" t="s">
        <v>25114</v>
      </c>
      <c r="C4708" t="s">
        <v>25115</v>
      </c>
      <c r="D4708">
        <v>11</v>
      </c>
      <c r="F4708" s="126"/>
      <c r="K4708" s="3">
        <f t="shared" si="170"/>
        <v>0</v>
      </c>
      <c r="L4708" s="3"/>
      <c r="M4708" s="3">
        <f t="shared" si="171"/>
        <v>0</v>
      </c>
      <c r="O4708" s="5"/>
      <c r="S4708" s="11"/>
    </row>
    <row r="4709" spans="1:24" customFormat="1" x14ac:dyDescent="0.45">
      <c r="A4709">
        <v>843556</v>
      </c>
      <c r="B4709" t="s">
        <v>25116</v>
      </c>
      <c r="C4709" t="s">
        <v>25117</v>
      </c>
      <c r="D4709">
        <v>2</v>
      </c>
      <c r="F4709" s="126"/>
      <c r="G4709" s="7">
        <v>0</v>
      </c>
      <c r="H4709" s="7">
        <v>0</v>
      </c>
      <c r="I4709" s="7">
        <v>0</v>
      </c>
      <c r="J4709" s="7">
        <v>0</v>
      </c>
      <c r="K4709" s="3">
        <f t="shared" si="170"/>
        <v>0</v>
      </c>
      <c r="L4709" s="3"/>
      <c r="M4709" s="3">
        <f t="shared" si="171"/>
        <v>0</v>
      </c>
      <c r="O4709" s="5"/>
      <c r="S4709" s="11"/>
    </row>
    <row r="4710" spans="1:24" customFormat="1" x14ac:dyDescent="0.45">
      <c r="A4710">
        <v>843625</v>
      </c>
      <c r="B4710" t="s">
        <v>25118</v>
      </c>
      <c r="C4710" t="s">
        <v>16331</v>
      </c>
      <c r="D4710">
        <v>4</v>
      </c>
      <c r="E4710" t="s">
        <v>16331</v>
      </c>
      <c r="F4710" s="126"/>
      <c r="G4710" s="7">
        <v>0</v>
      </c>
      <c r="H4710" s="7">
        <v>0</v>
      </c>
      <c r="I4710" s="7">
        <v>0</v>
      </c>
      <c r="J4710" s="7">
        <v>0</v>
      </c>
      <c r="K4710" s="3">
        <f t="shared" si="170"/>
        <v>0</v>
      </c>
      <c r="L4710" s="3"/>
      <c r="M4710" s="3">
        <f t="shared" si="171"/>
        <v>0</v>
      </c>
      <c r="O4710" s="5"/>
      <c r="S4710" s="11"/>
    </row>
    <row r="4711" spans="1:24" customFormat="1" x14ac:dyDescent="0.45">
      <c r="A4711">
        <v>843990</v>
      </c>
      <c r="B4711" t="s">
        <v>25119</v>
      </c>
      <c r="C4711" t="s">
        <v>25120</v>
      </c>
      <c r="D4711">
        <v>2</v>
      </c>
      <c r="F4711" s="126"/>
      <c r="G4711" s="3">
        <v>0</v>
      </c>
      <c r="H4711" s="3">
        <v>0</v>
      </c>
      <c r="I4711" s="3">
        <v>0</v>
      </c>
      <c r="J4711" s="3">
        <v>0</v>
      </c>
      <c r="K4711" s="3">
        <f t="shared" si="170"/>
        <v>0</v>
      </c>
      <c r="L4711" s="3"/>
      <c r="M4711" s="3">
        <f t="shared" si="171"/>
        <v>0</v>
      </c>
      <c r="O4711" s="5"/>
      <c r="S4711" s="11"/>
    </row>
    <row r="4712" spans="1:24" customFormat="1" x14ac:dyDescent="0.45">
      <c r="A4712">
        <v>844011</v>
      </c>
      <c r="B4712" t="s">
        <v>25121</v>
      </c>
      <c r="C4712" t="s">
        <v>25122</v>
      </c>
      <c r="D4712">
        <v>2</v>
      </c>
      <c r="F4712" s="126"/>
      <c r="G4712" s="3">
        <v>0</v>
      </c>
      <c r="H4712" s="3">
        <v>0</v>
      </c>
      <c r="I4712" s="3">
        <v>0</v>
      </c>
      <c r="J4712" s="3">
        <v>0</v>
      </c>
      <c r="K4712" s="3">
        <f t="shared" si="170"/>
        <v>0</v>
      </c>
      <c r="L4712" s="3"/>
      <c r="M4712" s="3">
        <f t="shared" si="171"/>
        <v>0</v>
      </c>
      <c r="O4712" s="5"/>
      <c r="S4712" s="11"/>
    </row>
    <row r="4713" spans="1:24" customFormat="1" x14ac:dyDescent="0.45">
      <c r="A4713">
        <v>844153</v>
      </c>
      <c r="B4713" t="s">
        <v>25123</v>
      </c>
      <c r="C4713" t="s">
        <v>25124</v>
      </c>
      <c r="D4713">
        <v>6</v>
      </c>
      <c r="F4713" s="126"/>
      <c r="G4713" s="7">
        <v>0</v>
      </c>
      <c r="H4713" s="7">
        <v>0</v>
      </c>
      <c r="I4713" s="7">
        <v>0</v>
      </c>
      <c r="J4713" s="7">
        <v>0</v>
      </c>
      <c r="K4713" s="3">
        <f t="shared" si="170"/>
        <v>0</v>
      </c>
      <c r="L4713" s="3"/>
      <c r="M4713" s="3">
        <f t="shared" si="171"/>
        <v>0</v>
      </c>
      <c r="O4713" s="5"/>
      <c r="S4713" s="11"/>
    </row>
    <row r="4714" spans="1:24" customFormat="1" x14ac:dyDescent="0.45">
      <c r="A4714">
        <v>844194</v>
      </c>
      <c r="B4714" t="s">
        <v>25125</v>
      </c>
      <c r="C4714" t="s">
        <v>25126</v>
      </c>
      <c r="D4714">
        <v>5</v>
      </c>
      <c r="F4714" s="126"/>
      <c r="G4714" s="7">
        <v>0</v>
      </c>
      <c r="H4714" s="7">
        <v>0</v>
      </c>
      <c r="I4714" s="7">
        <v>0</v>
      </c>
      <c r="J4714" s="7">
        <v>0</v>
      </c>
      <c r="K4714" s="3">
        <f t="shared" si="170"/>
        <v>0</v>
      </c>
      <c r="L4714" s="3"/>
      <c r="M4714" s="3">
        <f t="shared" si="171"/>
        <v>0</v>
      </c>
      <c r="O4714" s="5"/>
      <c r="S4714" s="11"/>
    </row>
    <row r="4715" spans="1:24" customFormat="1" x14ac:dyDescent="0.45">
      <c r="A4715">
        <v>844313</v>
      </c>
      <c r="B4715" t="s">
        <v>25127</v>
      </c>
      <c r="C4715" t="s">
        <v>25128</v>
      </c>
      <c r="D4715">
        <v>6</v>
      </c>
      <c r="F4715" s="126"/>
      <c r="G4715" s="3">
        <v>0</v>
      </c>
      <c r="H4715" s="3">
        <v>0</v>
      </c>
      <c r="I4715" s="3">
        <v>0</v>
      </c>
      <c r="J4715" s="3">
        <v>0</v>
      </c>
      <c r="K4715" s="3">
        <f t="shared" si="170"/>
        <v>0</v>
      </c>
      <c r="L4715" s="3"/>
      <c r="M4715" s="3">
        <f t="shared" si="171"/>
        <v>0</v>
      </c>
      <c r="O4715" s="5"/>
      <c r="S4715" s="11"/>
    </row>
    <row r="4716" spans="1:24" customFormat="1" x14ac:dyDescent="0.45">
      <c r="A4716">
        <v>844316</v>
      </c>
      <c r="B4716" t="s">
        <v>25129</v>
      </c>
      <c r="C4716" t="s">
        <v>16331</v>
      </c>
      <c r="D4716">
        <v>3</v>
      </c>
      <c r="E4716" t="s">
        <v>16331</v>
      </c>
      <c r="F4716" s="126"/>
      <c r="G4716" s="7">
        <v>0</v>
      </c>
      <c r="H4716" s="7">
        <v>0</v>
      </c>
      <c r="I4716" s="7">
        <v>0</v>
      </c>
      <c r="J4716" s="7">
        <v>0</v>
      </c>
      <c r="K4716" s="3">
        <f t="shared" si="170"/>
        <v>0</v>
      </c>
      <c r="L4716" s="3"/>
      <c r="M4716" s="3">
        <f t="shared" si="171"/>
        <v>0</v>
      </c>
      <c r="O4716" s="5"/>
      <c r="S4716" s="11"/>
    </row>
    <row r="4717" spans="1:24" customFormat="1" x14ac:dyDescent="0.45">
      <c r="A4717">
        <v>844345</v>
      </c>
      <c r="B4717" t="s">
        <v>25130</v>
      </c>
      <c r="C4717" t="s">
        <v>25131</v>
      </c>
      <c r="D4717">
        <v>2</v>
      </c>
      <c r="F4717" s="126"/>
      <c r="G4717" s="7">
        <v>0</v>
      </c>
      <c r="H4717" s="7">
        <v>0</v>
      </c>
      <c r="I4717" s="7">
        <v>0</v>
      </c>
      <c r="J4717" s="7">
        <v>0</v>
      </c>
      <c r="K4717" s="3">
        <f t="shared" si="170"/>
        <v>0</v>
      </c>
      <c r="L4717" s="3"/>
      <c r="M4717" s="3">
        <f t="shared" si="171"/>
        <v>0</v>
      </c>
      <c r="O4717" s="5"/>
      <c r="S4717" s="11"/>
    </row>
    <row r="4718" spans="1:24" customFormat="1" x14ac:dyDescent="0.45">
      <c r="A4718">
        <v>844368</v>
      </c>
      <c r="B4718" t="s">
        <v>25132</v>
      </c>
      <c r="C4718" t="s">
        <v>16331</v>
      </c>
      <c r="D4718">
        <v>1</v>
      </c>
      <c r="E4718" t="s">
        <v>16331</v>
      </c>
      <c r="F4718" s="126"/>
      <c r="G4718" s="7">
        <v>0</v>
      </c>
      <c r="H4718" s="7">
        <v>0</v>
      </c>
      <c r="I4718" s="7">
        <v>0</v>
      </c>
      <c r="J4718" s="7">
        <v>0</v>
      </c>
      <c r="K4718" s="3">
        <f t="shared" si="170"/>
        <v>0</v>
      </c>
      <c r="L4718" s="3"/>
      <c r="M4718" s="3">
        <f t="shared" si="171"/>
        <v>0</v>
      </c>
      <c r="O4718" s="5"/>
      <c r="S4718" s="11"/>
    </row>
    <row r="4719" spans="1:24" x14ac:dyDescent="0.45">
      <c r="A4719" s="124">
        <v>121328</v>
      </c>
      <c r="B4719" s="124" t="s">
        <v>25133</v>
      </c>
      <c r="C4719" s="125" t="s">
        <v>25134</v>
      </c>
      <c r="D4719" s="124">
        <v>1</v>
      </c>
      <c r="E4719" s="124" t="s">
        <v>16417</v>
      </c>
      <c r="F4719" s="126">
        <v>5.4999999999999997E-3</v>
      </c>
      <c r="G4719" s="126">
        <v>1.4999999999999999E-2</v>
      </c>
      <c r="H4719" s="124">
        <v>0</v>
      </c>
      <c r="I4719" s="127"/>
      <c r="J4719" s="127"/>
      <c r="K4719" s="126">
        <f t="shared" si="170"/>
        <v>1.4999999999999999E-2</v>
      </c>
      <c r="L4719" s="3"/>
      <c r="M4719" s="126">
        <f t="shared" si="171"/>
        <v>2.0499999999999997E-2</v>
      </c>
      <c r="N4719" s="124" t="s">
        <v>25135</v>
      </c>
      <c r="O4719" s="125" t="s">
        <v>25136</v>
      </c>
      <c r="P4719" s="125" t="s">
        <v>25137</v>
      </c>
      <c r="Q4719" s="130">
        <v>13783347</v>
      </c>
      <c r="R4719" s="124" t="s">
        <v>16348</v>
      </c>
      <c r="S4719" s="130">
        <v>12066814</v>
      </c>
      <c r="T4719" s="129">
        <f>S4719/Q4719</f>
        <v>0.87546326737620406</v>
      </c>
      <c r="V4719" s="125" t="s">
        <v>25138</v>
      </c>
      <c r="X4719" s="124" t="s">
        <v>22702</v>
      </c>
    </row>
    <row r="4720" spans="1:24" customFormat="1" x14ac:dyDescent="0.45">
      <c r="A4720">
        <v>844501</v>
      </c>
      <c r="B4720" t="s">
        <v>25139</v>
      </c>
      <c r="C4720" t="s">
        <v>25140</v>
      </c>
      <c r="D4720">
        <v>2</v>
      </c>
      <c r="F4720" s="126"/>
      <c r="G4720" s="3">
        <v>0</v>
      </c>
      <c r="H4720" s="3">
        <v>0</v>
      </c>
      <c r="I4720" s="3">
        <v>0</v>
      </c>
      <c r="J4720" s="3">
        <v>0</v>
      </c>
      <c r="K4720" s="3">
        <f t="shared" si="170"/>
        <v>0</v>
      </c>
      <c r="L4720" s="3"/>
      <c r="M4720" s="3">
        <f t="shared" si="171"/>
        <v>0</v>
      </c>
      <c r="O4720" s="5"/>
      <c r="S4720" s="11"/>
    </row>
    <row r="4721" spans="1:19" customFormat="1" x14ac:dyDescent="0.45">
      <c r="A4721">
        <v>844546</v>
      </c>
      <c r="B4721" t="s">
        <v>25141</v>
      </c>
      <c r="C4721" t="s">
        <v>25142</v>
      </c>
      <c r="D4721">
        <v>2</v>
      </c>
      <c r="F4721" s="126"/>
      <c r="G4721" s="3">
        <v>0</v>
      </c>
      <c r="H4721" s="3">
        <v>0</v>
      </c>
      <c r="I4721" s="3">
        <v>0</v>
      </c>
      <c r="J4721" s="3">
        <v>0</v>
      </c>
      <c r="K4721" s="3">
        <f t="shared" si="170"/>
        <v>0</v>
      </c>
      <c r="L4721" s="3"/>
      <c r="M4721" s="3">
        <f t="shared" si="171"/>
        <v>0</v>
      </c>
      <c r="O4721" s="5"/>
      <c r="S4721" s="11"/>
    </row>
    <row r="4722" spans="1:19" customFormat="1" x14ac:dyDescent="0.45">
      <c r="A4722">
        <v>844756</v>
      </c>
      <c r="B4722" t="s">
        <v>25143</v>
      </c>
      <c r="C4722" t="s">
        <v>16331</v>
      </c>
      <c r="D4722">
        <v>1</v>
      </c>
      <c r="E4722" t="s">
        <v>16331</v>
      </c>
      <c r="F4722" s="126"/>
      <c r="G4722" s="7">
        <v>0</v>
      </c>
      <c r="H4722" s="7">
        <v>0</v>
      </c>
      <c r="I4722" s="7">
        <v>0</v>
      </c>
      <c r="J4722" s="7">
        <v>0</v>
      </c>
      <c r="K4722" s="3">
        <f t="shared" ref="K4722:K4785" si="172">SUM(G4722:J4722)</f>
        <v>0</v>
      </c>
      <c r="L4722" s="3"/>
      <c r="M4722" s="3">
        <f t="shared" ref="M4722:M4785" si="173">K4722+F4722</f>
        <v>0</v>
      </c>
      <c r="O4722" s="5"/>
      <c r="S4722" s="11"/>
    </row>
    <row r="4723" spans="1:19" customFormat="1" x14ac:dyDescent="0.45">
      <c r="A4723">
        <v>844878</v>
      </c>
      <c r="B4723" t="s">
        <v>25144</v>
      </c>
      <c r="C4723" t="s">
        <v>25145</v>
      </c>
      <c r="D4723">
        <v>2</v>
      </c>
      <c r="F4723" s="126"/>
      <c r="G4723" s="3">
        <v>0</v>
      </c>
      <c r="H4723" s="3">
        <v>0</v>
      </c>
      <c r="I4723" s="3">
        <v>0</v>
      </c>
      <c r="J4723" s="3">
        <v>0</v>
      </c>
      <c r="K4723" s="3">
        <f t="shared" si="172"/>
        <v>0</v>
      </c>
      <c r="L4723" s="3"/>
      <c r="M4723" s="3">
        <f t="shared" si="173"/>
        <v>0</v>
      </c>
      <c r="O4723" s="5"/>
      <c r="S4723" s="11"/>
    </row>
    <row r="4724" spans="1:19" customFormat="1" x14ac:dyDescent="0.45">
      <c r="A4724">
        <v>844879</v>
      </c>
      <c r="B4724" t="s">
        <v>25146</v>
      </c>
      <c r="C4724" t="s">
        <v>16331</v>
      </c>
      <c r="D4724">
        <v>2</v>
      </c>
      <c r="E4724" t="s">
        <v>16331</v>
      </c>
      <c r="F4724" s="126"/>
      <c r="G4724" s="7">
        <v>0</v>
      </c>
      <c r="H4724" s="7">
        <v>0</v>
      </c>
      <c r="I4724" s="7">
        <v>0</v>
      </c>
      <c r="J4724" s="7">
        <v>0</v>
      </c>
      <c r="K4724" s="3">
        <f t="shared" si="172"/>
        <v>0</v>
      </c>
      <c r="L4724" s="3"/>
      <c r="M4724" s="3">
        <f t="shared" si="173"/>
        <v>0</v>
      </c>
      <c r="O4724" s="5"/>
      <c r="S4724" s="11"/>
    </row>
    <row r="4725" spans="1:19" customFormat="1" x14ac:dyDescent="0.45">
      <c r="A4725">
        <v>844892</v>
      </c>
      <c r="B4725" t="s">
        <v>25147</v>
      </c>
      <c r="C4725" t="s">
        <v>25148</v>
      </c>
      <c r="D4725">
        <v>1</v>
      </c>
      <c r="F4725" s="126"/>
      <c r="G4725" s="3"/>
      <c r="H4725" s="3"/>
      <c r="I4725" s="3"/>
      <c r="J4725" s="3"/>
      <c r="K4725" s="3">
        <f t="shared" si="172"/>
        <v>0</v>
      </c>
      <c r="L4725" s="3"/>
      <c r="M4725" s="3">
        <f t="shared" si="173"/>
        <v>0</v>
      </c>
      <c r="O4725" s="5"/>
      <c r="S4725" s="11"/>
    </row>
    <row r="4726" spans="1:19" customFormat="1" x14ac:dyDescent="0.45">
      <c r="A4726">
        <v>844903</v>
      </c>
      <c r="B4726" t="s">
        <v>25149</v>
      </c>
      <c r="C4726" t="s">
        <v>25150</v>
      </c>
      <c r="D4726">
        <v>1</v>
      </c>
      <c r="F4726" s="126"/>
      <c r="G4726" s="3">
        <v>0</v>
      </c>
      <c r="H4726" s="3">
        <v>0</v>
      </c>
      <c r="I4726" s="3">
        <v>0</v>
      </c>
      <c r="J4726" s="3">
        <v>0</v>
      </c>
      <c r="K4726" s="3">
        <f t="shared" si="172"/>
        <v>0</v>
      </c>
      <c r="L4726" s="3"/>
      <c r="M4726" s="3">
        <f t="shared" si="173"/>
        <v>0</v>
      </c>
      <c r="O4726" s="5"/>
      <c r="S4726" s="11"/>
    </row>
    <row r="4727" spans="1:19" customFormat="1" x14ac:dyDescent="0.45">
      <c r="A4727">
        <v>844964</v>
      </c>
      <c r="B4727" t="s">
        <v>25151</v>
      </c>
      <c r="C4727" t="s">
        <v>25152</v>
      </c>
      <c r="D4727">
        <v>1</v>
      </c>
      <c r="F4727" s="126"/>
      <c r="G4727" s="7">
        <v>0</v>
      </c>
      <c r="H4727" s="7">
        <v>0</v>
      </c>
      <c r="I4727" s="7">
        <v>0</v>
      </c>
      <c r="J4727" s="7">
        <v>0</v>
      </c>
      <c r="K4727" s="3">
        <f t="shared" si="172"/>
        <v>0</v>
      </c>
      <c r="L4727" s="3"/>
      <c r="M4727" s="3">
        <f t="shared" si="173"/>
        <v>0</v>
      </c>
      <c r="O4727" s="5"/>
      <c r="S4727" s="11"/>
    </row>
    <row r="4728" spans="1:19" customFormat="1" x14ac:dyDescent="0.45">
      <c r="A4728">
        <v>845012</v>
      </c>
      <c r="B4728" t="s">
        <v>25153</v>
      </c>
      <c r="C4728" t="s">
        <v>16331</v>
      </c>
      <c r="D4728">
        <v>1</v>
      </c>
      <c r="E4728" t="s">
        <v>16331</v>
      </c>
      <c r="F4728" s="126"/>
      <c r="K4728" s="3">
        <f t="shared" si="172"/>
        <v>0</v>
      </c>
      <c r="L4728" s="3"/>
      <c r="M4728" s="3">
        <f t="shared" si="173"/>
        <v>0</v>
      </c>
      <c r="O4728" s="5"/>
      <c r="S4728" s="11"/>
    </row>
    <row r="4729" spans="1:19" customFormat="1" x14ac:dyDescent="0.45">
      <c r="A4729">
        <v>845091</v>
      </c>
      <c r="B4729" t="s">
        <v>25154</v>
      </c>
      <c r="C4729" t="s">
        <v>25155</v>
      </c>
      <c r="D4729">
        <v>2</v>
      </c>
      <c r="F4729" s="126"/>
      <c r="G4729" s="3">
        <v>0</v>
      </c>
      <c r="H4729" s="3">
        <v>0</v>
      </c>
      <c r="I4729" s="3">
        <v>0</v>
      </c>
      <c r="J4729" s="3">
        <v>0</v>
      </c>
      <c r="K4729" s="3">
        <f t="shared" si="172"/>
        <v>0</v>
      </c>
      <c r="L4729" s="3"/>
      <c r="M4729" s="3">
        <f t="shared" si="173"/>
        <v>0</v>
      </c>
      <c r="O4729" s="5"/>
      <c r="S4729" s="11"/>
    </row>
    <row r="4730" spans="1:19" customFormat="1" x14ac:dyDescent="0.45">
      <c r="A4730">
        <v>845117</v>
      </c>
      <c r="B4730" t="s">
        <v>25156</v>
      </c>
      <c r="C4730" t="s">
        <v>25157</v>
      </c>
      <c r="D4730">
        <v>1</v>
      </c>
      <c r="F4730" s="126"/>
      <c r="G4730" s="7">
        <v>0</v>
      </c>
      <c r="H4730" s="7">
        <v>0</v>
      </c>
      <c r="I4730" s="7">
        <v>0</v>
      </c>
      <c r="J4730" s="7">
        <v>0</v>
      </c>
      <c r="K4730" s="3">
        <f t="shared" si="172"/>
        <v>0</v>
      </c>
      <c r="L4730" s="3"/>
      <c r="M4730" s="3">
        <f t="shared" si="173"/>
        <v>0</v>
      </c>
      <c r="O4730" s="5"/>
      <c r="S4730" s="11"/>
    </row>
    <row r="4731" spans="1:19" customFormat="1" x14ac:dyDescent="0.45">
      <c r="A4731">
        <v>845232</v>
      </c>
      <c r="B4731" t="s">
        <v>25158</v>
      </c>
      <c r="C4731" t="s">
        <v>25159</v>
      </c>
      <c r="D4731">
        <v>2</v>
      </c>
      <c r="F4731" s="126"/>
      <c r="G4731" s="3">
        <v>0</v>
      </c>
      <c r="H4731" s="3">
        <v>0</v>
      </c>
      <c r="I4731" s="3">
        <v>0</v>
      </c>
      <c r="J4731" s="3">
        <v>0</v>
      </c>
      <c r="K4731" s="3">
        <f t="shared" si="172"/>
        <v>0</v>
      </c>
      <c r="L4731" s="3"/>
      <c r="M4731" s="3">
        <f t="shared" si="173"/>
        <v>0</v>
      </c>
      <c r="O4731" s="5"/>
      <c r="S4731" s="11"/>
    </row>
    <row r="4732" spans="1:19" customFormat="1" x14ac:dyDescent="0.45">
      <c r="A4732">
        <v>845274</v>
      </c>
      <c r="B4732" t="s">
        <v>25160</v>
      </c>
      <c r="C4732" t="s">
        <v>25161</v>
      </c>
      <c r="D4732">
        <v>5</v>
      </c>
      <c r="F4732" s="126"/>
      <c r="G4732" s="3">
        <v>0</v>
      </c>
      <c r="H4732" s="3">
        <v>0</v>
      </c>
      <c r="I4732" s="3">
        <v>0</v>
      </c>
      <c r="J4732" s="3">
        <v>0</v>
      </c>
      <c r="K4732" s="3">
        <f t="shared" si="172"/>
        <v>0</v>
      </c>
      <c r="L4732" s="3"/>
      <c r="M4732" s="3">
        <f t="shared" si="173"/>
        <v>0</v>
      </c>
      <c r="O4732" s="5"/>
      <c r="S4732" s="11"/>
    </row>
    <row r="4733" spans="1:19" customFormat="1" x14ac:dyDescent="0.45">
      <c r="A4733">
        <v>845508</v>
      </c>
      <c r="B4733" t="s">
        <v>25162</v>
      </c>
      <c r="C4733" t="s">
        <v>16331</v>
      </c>
      <c r="D4733">
        <v>1</v>
      </c>
      <c r="E4733" t="s">
        <v>16331</v>
      </c>
      <c r="F4733" s="126"/>
      <c r="G4733" s="7">
        <v>0</v>
      </c>
      <c r="H4733" s="7">
        <v>0</v>
      </c>
      <c r="I4733" s="7">
        <v>0</v>
      </c>
      <c r="J4733" s="7">
        <v>0</v>
      </c>
      <c r="K4733" s="3">
        <f t="shared" si="172"/>
        <v>0</v>
      </c>
      <c r="L4733" s="3"/>
      <c r="M4733" s="3">
        <f t="shared" si="173"/>
        <v>0</v>
      </c>
      <c r="O4733" s="5"/>
      <c r="S4733" s="11"/>
    </row>
    <row r="4734" spans="1:19" customFormat="1" x14ac:dyDescent="0.45">
      <c r="A4734">
        <v>845514</v>
      </c>
      <c r="B4734" t="s">
        <v>25163</v>
      </c>
      <c r="C4734" t="s">
        <v>25164</v>
      </c>
      <c r="D4734">
        <v>4</v>
      </c>
      <c r="F4734" s="126"/>
      <c r="G4734" s="7">
        <v>0</v>
      </c>
      <c r="H4734" s="7">
        <v>0</v>
      </c>
      <c r="I4734" s="7">
        <v>0</v>
      </c>
      <c r="J4734" s="7">
        <v>0</v>
      </c>
      <c r="K4734" s="3">
        <f t="shared" si="172"/>
        <v>0</v>
      </c>
      <c r="L4734" s="3"/>
      <c r="M4734" s="3">
        <f t="shared" si="173"/>
        <v>0</v>
      </c>
      <c r="O4734" s="5"/>
      <c r="S4734" s="11"/>
    </row>
    <row r="4735" spans="1:19" customFormat="1" x14ac:dyDescent="0.45">
      <c r="A4735">
        <v>845589</v>
      </c>
      <c r="B4735" t="s">
        <v>25165</v>
      </c>
      <c r="C4735" t="s">
        <v>25166</v>
      </c>
      <c r="D4735">
        <v>1</v>
      </c>
      <c r="F4735" s="126"/>
      <c r="G4735" s="7">
        <v>0</v>
      </c>
      <c r="H4735" s="7">
        <v>0</v>
      </c>
      <c r="I4735" s="7">
        <v>0</v>
      </c>
      <c r="J4735" s="7">
        <v>0</v>
      </c>
      <c r="K4735" s="3">
        <f t="shared" si="172"/>
        <v>0</v>
      </c>
      <c r="L4735" s="3"/>
      <c r="M4735" s="3">
        <f t="shared" si="173"/>
        <v>0</v>
      </c>
      <c r="O4735" s="5"/>
      <c r="S4735" s="11"/>
    </row>
    <row r="4736" spans="1:19" customFormat="1" x14ac:dyDescent="0.45">
      <c r="A4736">
        <v>845638</v>
      </c>
      <c r="B4736" t="s">
        <v>25167</v>
      </c>
      <c r="C4736" t="s">
        <v>25168</v>
      </c>
      <c r="D4736">
        <v>1</v>
      </c>
      <c r="F4736" s="126"/>
      <c r="G4736" s="3">
        <v>0</v>
      </c>
      <c r="H4736" s="3">
        <v>0</v>
      </c>
      <c r="I4736" s="3">
        <v>0</v>
      </c>
      <c r="J4736" s="3">
        <v>0</v>
      </c>
      <c r="K4736" s="3">
        <f t="shared" si="172"/>
        <v>0</v>
      </c>
      <c r="L4736" s="3"/>
      <c r="M4736" s="3">
        <f t="shared" si="173"/>
        <v>0</v>
      </c>
      <c r="O4736" s="5"/>
      <c r="S4736" s="11"/>
    </row>
    <row r="4737" spans="1:19" customFormat="1" x14ac:dyDescent="0.45">
      <c r="A4737">
        <v>845715</v>
      </c>
      <c r="B4737" t="s">
        <v>25169</v>
      </c>
      <c r="C4737" t="s">
        <v>25170</v>
      </c>
      <c r="D4737">
        <v>3</v>
      </c>
      <c r="F4737" s="126"/>
      <c r="G4737" s="7">
        <v>0</v>
      </c>
      <c r="H4737" s="7">
        <v>0</v>
      </c>
      <c r="I4737" s="7">
        <v>0</v>
      </c>
      <c r="J4737" s="7">
        <v>0</v>
      </c>
      <c r="K4737" s="3">
        <f t="shared" si="172"/>
        <v>0</v>
      </c>
      <c r="L4737" s="3"/>
      <c r="M4737" s="3">
        <f t="shared" si="173"/>
        <v>0</v>
      </c>
      <c r="O4737" s="5"/>
      <c r="S4737" s="11"/>
    </row>
    <row r="4738" spans="1:19" customFormat="1" x14ac:dyDescent="0.45">
      <c r="A4738">
        <v>845744</v>
      </c>
      <c r="B4738" t="s">
        <v>25171</v>
      </c>
      <c r="C4738" t="s">
        <v>16331</v>
      </c>
      <c r="D4738">
        <v>1</v>
      </c>
      <c r="E4738" t="s">
        <v>16331</v>
      </c>
      <c r="F4738" s="126"/>
      <c r="K4738" s="3">
        <f t="shared" si="172"/>
        <v>0</v>
      </c>
      <c r="L4738" s="3"/>
      <c r="M4738" s="3">
        <f t="shared" si="173"/>
        <v>0</v>
      </c>
      <c r="O4738" s="5"/>
      <c r="S4738" s="11"/>
    </row>
    <row r="4739" spans="1:19" customFormat="1" x14ac:dyDescent="0.45">
      <c r="A4739">
        <v>846067</v>
      </c>
      <c r="B4739" t="s">
        <v>25172</v>
      </c>
      <c r="C4739" t="s">
        <v>25173</v>
      </c>
      <c r="D4739">
        <v>0</v>
      </c>
      <c r="E4739" t="s">
        <v>16561</v>
      </c>
      <c r="F4739" s="126"/>
      <c r="G4739" s="3">
        <v>0</v>
      </c>
      <c r="H4739" s="3">
        <v>0</v>
      </c>
      <c r="I4739" s="3">
        <v>0</v>
      </c>
      <c r="J4739" s="3">
        <v>0</v>
      </c>
      <c r="K4739" s="3">
        <f t="shared" si="172"/>
        <v>0</v>
      </c>
      <c r="L4739" s="3"/>
      <c r="M4739" s="3">
        <f t="shared" si="173"/>
        <v>0</v>
      </c>
      <c r="O4739" s="5"/>
      <c r="S4739" s="11"/>
    </row>
    <row r="4740" spans="1:19" customFormat="1" x14ac:dyDescent="0.45">
      <c r="A4740">
        <v>846158</v>
      </c>
      <c r="B4740" t="s">
        <v>25174</v>
      </c>
      <c r="C4740" t="s">
        <v>16331</v>
      </c>
      <c r="D4740">
        <v>1</v>
      </c>
      <c r="E4740" t="s">
        <v>16331</v>
      </c>
      <c r="F4740" s="126"/>
      <c r="G4740" s="7">
        <v>0</v>
      </c>
      <c r="H4740" s="7">
        <v>0</v>
      </c>
      <c r="I4740" s="7">
        <v>0</v>
      </c>
      <c r="J4740" s="7">
        <v>0</v>
      </c>
      <c r="K4740" s="3">
        <f t="shared" si="172"/>
        <v>0</v>
      </c>
      <c r="L4740" s="3"/>
      <c r="M4740" s="3">
        <f t="shared" si="173"/>
        <v>0</v>
      </c>
      <c r="O4740" s="5"/>
      <c r="S4740" s="11"/>
    </row>
    <row r="4741" spans="1:19" customFormat="1" x14ac:dyDescent="0.45">
      <c r="A4741">
        <v>846282</v>
      </c>
      <c r="B4741" t="s">
        <v>25175</v>
      </c>
      <c r="C4741" t="s">
        <v>25176</v>
      </c>
      <c r="D4741">
        <v>1</v>
      </c>
      <c r="F4741" s="126"/>
      <c r="G4741" s="7">
        <v>0</v>
      </c>
      <c r="H4741" s="7">
        <v>0</v>
      </c>
      <c r="I4741" s="7">
        <v>0</v>
      </c>
      <c r="J4741" s="7">
        <v>0</v>
      </c>
      <c r="K4741" s="3">
        <f t="shared" si="172"/>
        <v>0</v>
      </c>
      <c r="L4741" s="3"/>
      <c r="M4741" s="3">
        <f t="shared" si="173"/>
        <v>0</v>
      </c>
      <c r="N4741" s="7"/>
      <c r="O4741" s="5" t="s">
        <v>25177</v>
      </c>
      <c r="S4741" s="11"/>
    </row>
    <row r="4742" spans="1:19" customFormat="1" x14ac:dyDescent="0.45">
      <c r="A4742">
        <v>846348</v>
      </c>
      <c r="B4742" t="s">
        <v>25178</v>
      </c>
      <c r="C4742" t="s">
        <v>25179</v>
      </c>
      <c r="D4742">
        <v>1</v>
      </c>
      <c r="F4742" s="126"/>
      <c r="G4742" s="7">
        <v>0</v>
      </c>
      <c r="H4742" s="7">
        <v>0</v>
      </c>
      <c r="I4742" s="7">
        <v>0</v>
      </c>
      <c r="J4742" s="7">
        <v>0</v>
      </c>
      <c r="K4742" s="3">
        <f t="shared" si="172"/>
        <v>0</v>
      </c>
      <c r="L4742" s="3"/>
      <c r="M4742" s="3">
        <f t="shared" si="173"/>
        <v>0</v>
      </c>
      <c r="O4742" s="5"/>
      <c r="S4742" s="11"/>
    </row>
    <row r="4743" spans="1:19" customFormat="1" x14ac:dyDescent="0.45">
      <c r="A4743">
        <v>846361</v>
      </c>
      <c r="B4743" t="s">
        <v>25180</v>
      </c>
      <c r="C4743" t="s">
        <v>25181</v>
      </c>
      <c r="D4743">
        <v>2</v>
      </c>
      <c r="F4743" s="126"/>
      <c r="G4743" s="3">
        <v>0</v>
      </c>
      <c r="H4743" s="3">
        <v>0</v>
      </c>
      <c r="I4743" s="3">
        <v>0</v>
      </c>
      <c r="J4743" s="3">
        <v>0</v>
      </c>
      <c r="K4743" s="3">
        <f t="shared" si="172"/>
        <v>0</v>
      </c>
      <c r="L4743" s="3"/>
      <c r="M4743" s="3">
        <f t="shared" si="173"/>
        <v>0</v>
      </c>
      <c r="O4743" s="5"/>
      <c r="S4743" s="11"/>
    </row>
    <row r="4744" spans="1:19" customFormat="1" x14ac:dyDescent="0.45">
      <c r="A4744">
        <v>846691</v>
      </c>
      <c r="B4744" t="s">
        <v>25182</v>
      </c>
      <c r="C4744" t="s">
        <v>25183</v>
      </c>
      <c r="D4744">
        <v>2</v>
      </c>
      <c r="F4744" s="126"/>
      <c r="G4744" s="3"/>
      <c r="H4744" s="3"/>
      <c r="I4744" s="3"/>
      <c r="J4744" s="3"/>
      <c r="K4744" s="3">
        <f t="shared" si="172"/>
        <v>0</v>
      </c>
      <c r="L4744" s="3"/>
      <c r="M4744" s="3">
        <f t="shared" si="173"/>
        <v>0</v>
      </c>
      <c r="O4744" s="5"/>
      <c r="S4744" s="11"/>
    </row>
    <row r="4745" spans="1:19" customFormat="1" x14ac:dyDescent="0.45">
      <c r="A4745">
        <v>911599</v>
      </c>
      <c r="B4745" t="s">
        <v>25184</v>
      </c>
      <c r="C4745" t="s">
        <v>25185</v>
      </c>
      <c r="D4745">
        <v>1</v>
      </c>
      <c r="F4745" s="126"/>
      <c r="G4745" s="3">
        <v>0</v>
      </c>
      <c r="H4745" s="3">
        <v>0</v>
      </c>
      <c r="I4745" s="3">
        <v>0</v>
      </c>
      <c r="J4745" s="3">
        <v>0</v>
      </c>
      <c r="K4745" s="3">
        <f t="shared" si="172"/>
        <v>0</v>
      </c>
      <c r="L4745" s="3"/>
      <c r="M4745" s="3">
        <f t="shared" si="173"/>
        <v>0</v>
      </c>
      <c r="O4745" s="5"/>
      <c r="S4745" s="11"/>
    </row>
    <row r="4746" spans="1:19" customFormat="1" x14ac:dyDescent="0.45">
      <c r="A4746">
        <v>911629</v>
      </c>
      <c r="B4746" t="s">
        <v>25186</v>
      </c>
      <c r="C4746" t="s">
        <v>25187</v>
      </c>
      <c r="D4746">
        <v>1</v>
      </c>
      <c r="F4746" s="126"/>
      <c r="G4746" s="3">
        <v>0</v>
      </c>
      <c r="H4746" s="3">
        <v>0</v>
      </c>
      <c r="I4746" s="3">
        <v>0</v>
      </c>
      <c r="J4746" s="3">
        <v>0</v>
      </c>
      <c r="K4746" s="3">
        <f t="shared" si="172"/>
        <v>0</v>
      </c>
      <c r="L4746" s="3"/>
      <c r="M4746" s="3">
        <f t="shared" si="173"/>
        <v>0</v>
      </c>
      <c r="O4746" s="5"/>
      <c r="S4746" s="11"/>
    </row>
    <row r="4747" spans="1:19" customFormat="1" x14ac:dyDescent="0.45">
      <c r="A4747">
        <v>911899</v>
      </c>
      <c r="B4747" t="s">
        <v>25188</v>
      </c>
      <c r="C4747" t="s">
        <v>25189</v>
      </c>
      <c r="D4747">
        <v>5</v>
      </c>
      <c r="F4747" s="126"/>
      <c r="G4747" s="3">
        <v>0</v>
      </c>
      <c r="H4747" s="3">
        <v>0</v>
      </c>
      <c r="I4747" s="3">
        <v>0</v>
      </c>
      <c r="J4747" s="3">
        <v>0</v>
      </c>
      <c r="K4747" s="3">
        <f t="shared" si="172"/>
        <v>0</v>
      </c>
      <c r="L4747" s="3"/>
      <c r="M4747" s="3">
        <f t="shared" si="173"/>
        <v>0</v>
      </c>
      <c r="O4747" s="5"/>
      <c r="S4747" s="11"/>
    </row>
    <row r="4748" spans="1:19" customFormat="1" x14ac:dyDescent="0.45">
      <c r="A4748">
        <v>911947</v>
      </c>
      <c r="B4748" t="s">
        <v>25190</v>
      </c>
      <c r="C4748" t="s">
        <v>25191</v>
      </c>
      <c r="D4748">
        <v>2</v>
      </c>
      <c r="F4748" s="126"/>
      <c r="G4748" s="7">
        <v>0</v>
      </c>
      <c r="H4748" s="7">
        <v>0</v>
      </c>
      <c r="I4748" s="7">
        <v>0</v>
      </c>
      <c r="J4748" s="7">
        <v>0</v>
      </c>
      <c r="K4748" s="3">
        <f t="shared" si="172"/>
        <v>0</v>
      </c>
      <c r="L4748" s="3"/>
      <c r="M4748" s="3">
        <f t="shared" si="173"/>
        <v>0</v>
      </c>
      <c r="N4748" s="7"/>
      <c r="O4748" s="5"/>
      <c r="S4748" s="11"/>
    </row>
    <row r="4749" spans="1:19" customFormat="1" x14ac:dyDescent="0.45">
      <c r="A4749">
        <v>912035</v>
      </c>
      <c r="B4749" t="s">
        <v>25192</v>
      </c>
      <c r="C4749" t="s">
        <v>16331</v>
      </c>
      <c r="D4749">
        <v>1</v>
      </c>
      <c r="E4749" t="s">
        <v>16331</v>
      </c>
      <c r="F4749" s="126"/>
      <c r="G4749" s="7">
        <v>0</v>
      </c>
      <c r="H4749" s="7">
        <v>0</v>
      </c>
      <c r="I4749" s="7">
        <v>0</v>
      </c>
      <c r="J4749" s="7">
        <v>0</v>
      </c>
      <c r="K4749" s="3">
        <f t="shared" si="172"/>
        <v>0</v>
      </c>
      <c r="L4749" s="3"/>
      <c r="M4749" s="3">
        <f t="shared" si="173"/>
        <v>0</v>
      </c>
      <c r="O4749" s="5"/>
      <c r="S4749" s="11"/>
    </row>
    <row r="4750" spans="1:19" customFormat="1" x14ac:dyDescent="0.45">
      <c r="A4750">
        <v>912036</v>
      </c>
      <c r="B4750" t="s">
        <v>25193</v>
      </c>
      <c r="C4750" t="s">
        <v>16331</v>
      </c>
      <c r="D4750">
        <v>4</v>
      </c>
      <c r="E4750" t="s">
        <v>16331</v>
      </c>
      <c r="F4750" s="126"/>
      <c r="G4750" s="7">
        <v>0</v>
      </c>
      <c r="H4750" s="7">
        <v>0</v>
      </c>
      <c r="I4750" s="7">
        <v>0</v>
      </c>
      <c r="J4750" s="7">
        <v>0</v>
      </c>
      <c r="K4750" s="3">
        <f t="shared" si="172"/>
        <v>0</v>
      </c>
      <c r="L4750" s="3"/>
      <c r="M4750" s="3">
        <f t="shared" si="173"/>
        <v>0</v>
      </c>
      <c r="O4750" s="5"/>
      <c r="S4750" s="11"/>
    </row>
    <row r="4751" spans="1:19" customFormat="1" x14ac:dyDescent="0.45">
      <c r="A4751">
        <v>912037</v>
      </c>
      <c r="B4751" t="s">
        <v>25194</v>
      </c>
      <c r="C4751" t="s">
        <v>25195</v>
      </c>
      <c r="D4751">
        <v>1</v>
      </c>
      <c r="F4751" s="126"/>
      <c r="G4751" s="3"/>
      <c r="H4751" s="3"/>
      <c r="I4751" s="3"/>
      <c r="J4751" s="3"/>
      <c r="K4751" s="3">
        <f t="shared" si="172"/>
        <v>0</v>
      </c>
      <c r="L4751" s="3"/>
      <c r="M4751" s="3">
        <f t="shared" si="173"/>
        <v>0</v>
      </c>
      <c r="O4751" s="5"/>
      <c r="S4751" s="11"/>
    </row>
    <row r="4752" spans="1:19" customFormat="1" x14ac:dyDescent="0.45">
      <c r="A4752">
        <v>912049</v>
      </c>
      <c r="B4752" t="s">
        <v>25196</v>
      </c>
      <c r="C4752" t="s">
        <v>16331</v>
      </c>
      <c r="D4752">
        <v>1</v>
      </c>
      <c r="E4752" t="s">
        <v>16331</v>
      </c>
      <c r="F4752" s="126"/>
      <c r="G4752" s="7">
        <v>0</v>
      </c>
      <c r="H4752" s="7">
        <v>0</v>
      </c>
      <c r="I4752" s="7">
        <v>0</v>
      </c>
      <c r="J4752" s="7">
        <v>0</v>
      </c>
      <c r="K4752" s="3">
        <f t="shared" si="172"/>
        <v>0</v>
      </c>
      <c r="L4752" s="3"/>
      <c r="M4752" s="3">
        <f t="shared" si="173"/>
        <v>0</v>
      </c>
      <c r="O4752" s="5"/>
      <c r="S4752" s="11"/>
    </row>
    <row r="4753" spans="1:23" x14ac:dyDescent="0.45">
      <c r="A4753" s="124">
        <v>805232</v>
      </c>
      <c r="B4753" s="124" t="s">
        <v>25197</v>
      </c>
      <c r="C4753" s="124" t="s">
        <v>25198</v>
      </c>
      <c r="D4753" s="124">
        <v>3</v>
      </c>
      <c r="E4753" s="124" t="s">
        <v>16334</v>
      </c>
      <c r="F4753" s="126">
        <v>1.6999999999999999E-3</v>
      </c>
      <c r="G4753" s="126">
        <v>3.85E-2</v>
      </c>
      <c r="H4753" s="126">
        <v>7.4999999999999997E-3</v>
      </c>
      <c r="I4753" s="127">
        <v>0</v>
      </c>
      <c r="J4753" s="127">
        <v>0</v>
      </c>
      <c r="K4753" s="126">
        <f t="shared" si="172"/>
        <v>4.5999999999999999E-2</v>
      </c>
      <c r="L4753" s="3"/>
      <c r="M4753" s="126">
        <f t="shared" si="173"/>
        <v>4.7699999999999999E-2</v>
      </c>
      <c r="O4753" s="131" t="s">
        <v>25199</v>
      </c>
      <c r="P4753" s="128" t="s">
        <v>26918</v>
      </c>
      <c r="Q4753" s="130">
        <f>10932+21911</f>
        <v>32843</v>
      </c>
      <c r="R4753" s="124" t="s">
        <v>16348</v>
      </c>
      <c r="S4753" s="132">
        <v>10193</v>
      </c>
      <c r="T4753" s="129">
        <f>S4753/Q4753</f>
        <v>0.31035532685808237</v>
      </c>
      <c r="V4753" s="125" t="s">
        <v>25200</v>
      </c>
      <c r="W4753" s="124" t="s">
        <v>17021</v>
      </c>
    </row>
    <row r="4754" spans="1:23" customFormat="1" x14ac:dyDescent="0.45">
      <c r="A4754">
        <v>912092</v>
      </c>
      <c r="B4754" t="s">
        <v>25201</v>
      </c>
      <c r="C4754" t="s">
        <v>16331</v>
      </c>
      <c r="D4754">
        <v>1</v>
      </c>
      <c r="E4754" t="s">
        <v>16331</v>
      </c>
      <c r="F4754" s="126"/>
      <c r="G4754" s="7">
        <v>0</v>
      </c>
      <c r="H4754" s="7">
        <v>0</v>
      </c>
      <c r="I4754" s="7">
        <v>0</v>
      </c>
      <c r="J4754" s="7">
        <v>0</v>
      </c>
      <c r="K4754" s="3">
        <f t="shared" si="172"/>
        <v>0</v>
      </c>
      <c r="L4754" s="3"/>
      <c r="M4754" s="3">
        <f t="shared" si="173"/>
        <v>0</v>
      </c>
      <c r="O4754" s="5"/>
      <c r="S4754" s="11"/>
    </row>
    <row r="4755" spans="1:23" customFormat="1" x14ac:dyDescent="0.45">
      <c r="A4755">
        <v>912100</v>
      </c>
      <c r="B4755" t="s">
        <v>25202</v>
      </c>
      <c r="C4755" t="s">
        <v>16331</v>
      </c>
      <c r="D4755">
        <v>2</v>
      </c>
      <c r="E4755" t="s">
        <v>16331</v>
      </c>
      <c r="F4755" s="126"/>
      <c r="G4755" s="7">
        <v>0</v>
      </c>
      <c r="H4755" s="7">
        <v>0</v>
      </c>
      <c r="I4755" s="7">
        <v>0</v>
      </c>
      <c r="J4755" s="7">
        <v>0</v>
      </c>
      <c r="K4755" s="3">
        <f t="shared" si="172"/>
        <v>0</v>
      </c>
      <c r="L4755" s="3"/>
      <c r="M4755" s="3">
        <f t="shared" si="173"/>
        <v>0</v>
      </c>
      <c r="O4755" s="5"/>
      <c r="S4755" s="11"/>
    </row>
    <row r="4756" spans="1:23" customFormat="1" x14ac:dyDescent="0.45">
      <c r="A4756">
        <v>912215</v>
      </c>
      <c r="B4756" t="s">
        <v>25203</v>
      </c>
      <c r="C4756" t="s">
        <v>25204</v>
      </c>
      <c r="D4756">
        <v>4</v>
      </c>
      <c r="F4756" s="126"/>
      <c r="G4756" s="3">
        <v>0</v>
      </c>
      <c r="H4756" s="3">
        <v>0</v>
      </c>
      <c r="I4756" s="3">
        <v>0</v>
      </c>
      <c r="J4756" s="3">
        <v>0</v>
      </c>
      <c r="K4756" s="3">
        <f t="shared" si="172"/>
        <v>0</v>
      </c>
      <c r="L4756" s="3"/>
      <c r="M4756" s="3">
        <f t="shared" si="173"/>
        <v>0</v>
      </c>
      <c r="O4756" s="5"/>
      <c r="S4756" s="11"/>
    </row>
    <row r="4757" spans="1:23" customFormat="1" x14ac:dyDescent="0.45">
      <c r="A4757">
        <v>912266</v>
      </c>
      <c r="B4757" t="s">
        <v>25205</v>
      </c>
      <c r="C4757" t="s">
        <v>25206</v>
      </c>
      <c r="D4757">
        <v>5</v>
      </c>
      <c r="F4757" s="126"/>
      <c r="G4757" s="7">
        <v>0</v>
      </c>
      <c r="H4757" s="7">
        <v>0</v>
      </c>
      <c r="I4757" s="7">
        <v>0</v>
      </c>
      <c r="J4757" s="7">
        <v>0</v>
      </c>
      <c r="K4757" s="3">
        <f t="shared" si="172"/>
        <v>0</v>
      </c>
      <c r="L4757" s="3"/>
      <c r="M4757" s="3">
        <f t="shared" si="173"/>
        <v>0</v>
      </c>
      <c r="O4757" s="5"/>
      <c r="S4757" s="11"/>
    </row>
    <row r="4758" spans="1:23" customFormat="1" x14ac:dyDescent="0.45">
      <c r="A4758">
        <v>912555</v>
      </c>
      <c r="B4758" t="s">
        <v>25207</v>
      </c>
      <c r="C4758" t="s">
        <v>16331</v>
      </c>
      <c r="D4758">
        <v>1</v>
      </c>
      <c r="E4758" t="s">
        <v>16331</v>
      </c>
      <c r="F4758" s="126"/>
      <c r="G4758" s="7">
        <v>0</v>
      </c>
      <c r="H4758" s="7">
        <v>0</v>
      </c>
      <c r="I4758" s="7">
        <v>0</v>
      </c>
      <c r="J4758" s="7">
        <v>0</v>
      </c>
      <c r="K4758" s="3">
        <f t="shared" si="172"/>
        <v>0</v>
      </c>
      <c r="L4758" s="3"/>
      <c r="M4758" s="3">
        <f t="shared" si="173"/>
        <v>0</v>
      </c>
      <c r="O4758" s="5"/>
      <c r="S4758" s="11"/>
    </row>
    <row r="4759" spans="1:23" customFormat="1" x14ac:dyDescent="0.45">
      <c r="A4759">
        <v>912675</v>
      </c>
      <c r="B4759" t="s">
        <v>25208</v>
      </c>
      <c r="C4759" t="s">
        <v>16331</v>
      </c>
      <c r="D4759">
        <v>1</v>
      </c>
      <c r="E4759" t="s">
        <v>16331</v>
      </c>
      <c r="F4759" s="126"/>
      <c r="G4759" s="7">
        <v>0</v>
      </c>
      <c r="H4759" s="7">
        <v>0</v>
      </c>
      <c r="I4759" s="7">
        <v>0</v>
      </c>
      <c r="J4759" s="7">
        <v>0</v>
      </c>
      <c r="K4759" s="3">
        <f t="shared" si="172"/>
        <v>0</v>
      </c>
      <c r="L4759" s="3"/>
      <c r="M4759" s="3">
        <f t="shared" si="173"/>
        <v>0</v>
      </c>
      <c r="O4759" s="5"/>
      <c r="S4759" s="11"/>
    </row>
    <row r="4760" spans="1:23" customFormat="1" x14ac:dyDescent="0.45">
      <c r="A4760">
        <v>912818</v>
      </c>
      <c r="B4760" t="s">
        <v>25209</v>
      </c>
      <c r="C4760" t="s">
        <v>25210</v>
      </c>
      <c r="D4760">
        <v>1</v>
      </c>
      <c r="F4760" s="126"/>
      <c r="G4760" s="3">
        <v>0</v>
      </c>
      <c r="H4760" s="3">
        <v>0</v>
      </c>
      <c r="I4760" s="3">
        <v>0</v>
      </c>
      <c r="J4760" s="3">
        <v>0</v>
      </c>
      <c r="K4760" s="3">
        <f t="shared" si="172"/>
        <v>0</v>
      </c>
      <c r="L4760" s="3"/>
      <c r="M4760" s="3">
        <f t="shared" si="173"/>
        <v>0</v>
      </c>
      <c r="O4760" s="5"/>
      <c r="S4760" s="11"/>
    </row>
    <row r="4761" spans="1:23" customFormat="1" x14ac:dyDescent="0.45">
      <c r="A4761">
        <v>912826</v>
      </c>
      <c r="B4761" t="s">
        <v>25211</v>
      </c>
      <c r="C4761" t="s">
        <v>16331</v>
      </c>
      <c r="D4761">
        <v>1</v>
      </c>
      <c r="E4761" t="s">
        <v>16331</v>
      </c>
      <c r="F4761" s="126"/>
      <c r="G4761" s="7">
        <v>0</v>
      </c>
      <c r="H4761" s="7">
        <v>0</v>
      </c>
      <c r="I4761" s="7">
        <v>0</v>
      </c>
      <c r="J4761" s="7">
        <v>0</v>
      </c>
      <c r="K4761" s="3">
        <f t="shared" si="172"/>
        <v>0</v>
      </c>
      <c r="L4761" s="3"/>
      <c r="M4761" s="3">
        <f t="shared" si="173"/>
        <v>0</v>
      </c>
      <c r="O4761" s="5"/>
      <c r="S4761" s="11"/>
    </row>
    <row r="4762" spans="1:23" customFormat="1" x14ac:dyDescent="0.45">
      <c r="A4762">
        <v>912872</v>
      </c>
      <c r="B4762" t="s">
        <v>25212</v>
      </c>
      <c r="C4762" t="s">
        <v>16331</v>
      </c>
      <c r="D4762">
        <v>1</v>
      </c>
      <c r="E4762" t="s">
        <v>16331</v>
      </c>
      <c r="F4762" s="126"/>
      <c r="G4762" s="7">
        <v>0</v>
      </c>
      <c r="H4762" s="7">
        <v>0</v>
      </c>
      <c r="I4762" s="7">
        <v>0</v>
      </c>
      <c r="J4762" s="7">
        <v>0</v>
      </c>
      <c r="K4762" s="3">
        <f t="shared" si="172"/>
        <v>0</v>
      </c>
      <c r="L4762" s="3"/>
      <c r="M4762" s="3">
        <f t="shared" si="173"/>
        <v>0</v>
      </c>
      <c r="O4762" s="5"/>
      <c r="S4762" s="11"/>
    </row>
    <row r="4763" spans="1:23" customFormat="1" x14ac:dyDescent="0.45">
      <c r="A4763">
        <v>912883</v>
      </c>
      <c r="B4763" t="s">
        <v>25213</v>
      </c>
      <c r="C4763" s="2" t="s">
        <v>25214</v>
      </c>
      <c r="D4763">
        <v>1</v>
      </c>
      <c r="F4763" s="126"/>
      <c r="G4763" s="7">
        <v>0</v>
      </c>
      <c r="H4763" s="7">
        <v>0</v>
      </c>
      <c r="I4763" s="7">
        <v>0</v>
      </c>
      <c r="J4763" s="7">
        <v>0</v>
      </c>
      <c r="K4763" s="3">
        <f t="shared" si="172"/>
        <v>0</v>
      </c>
      <c r="L4763" s="3"/>
      <c r="M4763" s="3">
        <f t="shared" si="173"/>
        <v>0</v>
      </c>
      <c r="N4763" s="7"/>
      <c r="O4763" s="5"/>
      <c r="S4763" s="11"/>
    </row>
    <row r="4764" spans="1:23" x14ac:dyDescent="0.45">
      <c r="A4764" s="124">
        <v>629538</v>
      </c>
      <c r="B4764" s="124" t="s">
        <v>25215</v>
      </c>
      <c r="C4764" s="124" t="s">
        <v>25216</v>
      </c>
      <c r="D4764" s="124">
        <v>1</v>
      </c>
      <c r="E4764" s="124" t="s">
        <v>16334</v>
      </c>
      <c r="F4764" s="126">
        <v>1.6999999999999999E-3</v>
      </c>
      <c r="G4764" s="126">
        <v>3.7999999999999999E-2</v>
      </c>
      <c r="H4764" s="126">
        <v>0.01</v>
      </c>
      <c r="I4764" s="127">
        <v>0</v>
      </c>
      <c r="J4764" s="127">
        <v>0</v>
      </c>
      <c r="K4764" s="126">
        <f t="shared" si="172"/>
        <v>4.8000000000000001E-2</v>
      </c>
      <c r="L4764" s="3"/>
      <c r="M4764" s="126">
        <f t="shared" si="173"/>
        <v>4.9700000000000001E-2</v>
      </c>
      <c r="O4764" s="131" t="s">
        <v>25217</v>
      </c>
      <c r="P4764" s="128" t="s">
        <v>26918</v>
      </c>
      <c r="Q4764" s="124">
        <f>24454+40605</f>
        <v>65059</v>
      </c>
      <c r="R4764" s="124" t="s">
        <v>16348</v>
      </c>
      <c r="S4764" s="130">
        <v>669</v>
      </c>
      <c r="T4764" s="129">
        <f>S4764/Q4764</f>
        <v>1.0282973915983953E-2</v>
      </c>
      <c r="V4764" s="125" t="s">
        <v>25218</v>
      </c>
      <c r="W4764" s="124" t="s">
        <v>17021</v>
      </c>
    </row>
    <row r="4765" spans="1:23" customFormat="1" x14ac:dyDescent="0.45">
      <c r="A4765">
        <v>912920</v>
      </c>
      <c r="B4765" t="s">
        <v>25219</v>
      </c>
      <c r="C4765" t="s">
        <v>16331</v>
      </c>
      <c r="D4765">
        <v>5</v>
      </c>
      <c r="E4765" t="s">
        <v>16331</v>
      </c>
      <c r="F4765" s="126"/>
      <c r="G4765" s="7">
        <v>0</v>
      </c>
      <c r="H4765" s="7">
        <v>0</v>
      </c>
      <c r="I4765" s="7">
        <v>0</v>
      </c>
      <c r="J4765" s="7">
        <v>0</v>
      </c>
      <c r="K4765" s="3">
        <f t="shared" si="172"/>
        <v>0</v>
      </c>
      <c r="L4765" s="3"/>
      <c r="M4765" s="3">
        <f t="shared" si="173"/>
        <v>0</v>
      </c>
      <c r="N4765" s="7"/>
      <c r="O4765" s="5"/>
      <c r="S4765" s="11"/>
    </row>
    <row r="4766" spans="1:23" customFormat="1" x14ac:dyDescent="0.45">
      <c r="A4766">
        <v>912923</v>
      </c>
      <c r="B4766" t="s">
        <v>25220</v>
      </c>
      <c r="C4766" t="s">
        <v>25221</v>
      </c>
      <c r="D4766">
        <v>2</v>
      </c>
      <c r="F4766" s="126"/>
      <c r="G4766" s="7">
        <v>0</v>
      </c>
      <c r="H4766" s="7">
        <v>0</v>
      </c>
      <c r="I4766" s="7">
        <v>0</v>
      </c>
      <c r="J4766" s="7">
        <v>0</v>
      </c>
      <c r="K4766" s="3">
        <f t="shared" si="172"/>
        <v>0</v>
      </c>
      <c r="L4766" s="3"/>
      <c r="M4766" s="3">
        <f t="shared" si="173"/>
        <v>0</v>
      </c>
      <c r="N4766" s="7"/>
      <c r="O4766" s="5"/>
      <c r="S4766" s="11"/>
    </row>
    <row r="4767" spans="1:23" customFormat="1" x14ac:dyDescent="0.45">
      <c r="A4767">
        <v>913052</v>
      </c>
      <c r="B4767" t="s">
        <v>25222</v>
      </c>
      <c r="C4767" t="s">
        <v>16331</v>
      </c>
      <c r="D4767">
        <v>1</v>
      </c>
      <c r="E4767" t="s">
        <v>16331</v>
      </c>
      <c r="F4767" s="126"/>
      <c r="G4767" s="7">
        <v>0</v>
      </c>
      <c r="H4767" s="7">
        <v>0</v>
      </c>
      <c r="I4767" s="7">
        <v>0</v>
      </c>
      <c r="J4767" s="7">
        <v>0</v>
      </c>
      <c r="K4767" s="3">
        <f t="shared" si="172"/>
        <v>0</v>
      </c>
      <c r="L4767" s="3"/>
      <c r="M4767" s="3">
        <f t="shared" si="173"/>
        <v>0</v>
      </c>
      <c r="O4767" s="5"/>
      <c r="S4767" s="11"/>
    </row>
    <row r="4768" spans="1:23" customFormat="1" x14ac:dyDescent="0.45">
      <c r="A4768">
        <v>913262</v>
      </c>
      <c r="B4768" t="s">
        <v>25223</v>
      </c>
      <c r="C4768" t="s">
        <v>25224</v>
      </c>
      <c r="D4768">
        <v>1</v>
      </c>
      <c r="F4768" s="126"/>
      <c r="G4768" s="7">
        <v>0</v>
      </c>
      <c r="H4768" s="7">
        <v>0</v>
      </c>
      <c r="I4768" s="7">
        <v>0</v>
      </c>
      <c r="J4768" s="7">
        <v>0</v>
      </c>
      <c r="K4768" s="3">
        <f t="shared" si="172"/>
        <v>0</v>
      </c>
      <c r="L4768" s="3"/>
      <c r="M4768" s="3">
        <f t="shared" si="173"/>
        <v>0</v>
      </c>
      <c r="O4768" s="5"/>
      <c r="S4768" s="11"/>
    </row>
    <row r="4769" spans="1:23" customFormat="1" x14ac:dyDescent="0.45">
      <c r="A4769">
        <v>913317</v>
      </c>
      <c r="B4769" t="s">
        <v>25225</v>
      </c>
      <c r="C4769" t="s">
        <v>25226</v>
      </c>
      <c r="D4769">
        <v>1</v>
      </c>
      <c r="F4769" s="126"/>
      <c r="G4769" s="3">
        <v>0</v>
      </c>
      <c r="H4769" s="3">
        <v>0</v>
      </c>
      <c r="I4769" s="3">
        <v>0</v>
      </c>
      <c r="J4769" s="3">
        <v>0</v>
      </c>
      <c r="K4769" s="3">
        <f t="shared" si="172"/>
        <v>0</v>
      </c>
      <c r="L4769" s="3"/>
      <c r="M4769" s="3">
        <f t="shared" si="173"/>
        <v>0</v>
      </c>
      <c r="O4769" s="5"/>
      <c r="S4769" s="11"/>
    </row>
    <row r="4770" spans="1:23" customFormat="1" x14ac:dyDescent="0.45">
      <c r="A4770">
        <v>913319</v>
      </c>
      <c r="B4770" t="s">
        <v>25227</v>
      </c>
      <c r="C4770" t="s">
        <v>25228</v>
      </c>
      <c r="D4770">
        <v>0</v>
      </c>
      <c r="E4770" t="s">
        <v>16561</v>
      </c>
      <c r="F4770" s="126"/>
      <c r="G4770" s="3">
        <v>0</v>
      </c>
      <c r="H4770" s="3">
        <v>0</v>
      </c>
      <c r="I4770" s="3">
        <v>0</v>
      </c>
      <c r="J4770" s="3">
        <v>0</v>
      </c>
      <c r="K4770" s="3">
        <f t="shared" si="172"/>
        <v>0</v>
      </c>
      <c r="L4770" s="3"/>
      <c r="M4770" s="3">
        <f t="shared" si="173"/>
        <v>0</v>
      </c>
      <c r="O4770" s="5"/>
      <c r="S4770" s="11"/>
    </row>
    <row r="4771" spans="1:23" customFormat="1" x14ac:dyDescent="0.45">
      <c r="A4771">
        <v>913372</v>
      </c>
      <c r="B4771" t="s">
        <v>25229</v>
      </c>
      <c r="C4771" t="s">
        <v>16331</v>
      </c>
      <c r="D4771">
        <v>1</v>
      </c>
      <c r="E4771" t="s">
        <v>16331</v>
      </c>
      <c r="F4771" s="126"/>
      <c r="G4771" s="7">
        <v>0</v>
      </c>
      <c r="H4771" s="7">
        <v>0</v>
      </c>
      <c r="I4771" s="7">
        <v>0</v>
      </c>
      <c r="J4771" s="7">
        <v>0</v>
      </c>
      <c r="K4771" s="3">
        <f t="shared" si="172"/>
        <v>0</v>
      </c>
      <c r="L4771" s="3"/>
      <c r="M4771" s="3">
        <f t="shared" si="173"/>
        <v>0</v>
      </c>
      <c r="O4771" s="5"/>
      <c r="S4771" s="11"/>
    </row>
    <row r="4772" spans="1:23" x14ac:dyDescent="0.45">
      <c r="A4772" s="124">
        <v>785589</v>
      </c>
      <c r="B4772" s="124" t="s">
        <v>25230</v>
      </c>
      <c r="C4772" s="124" t="s">
        <v>25231</v>
      </c>
      <c r="D4772" s="124">
        <v>1</v>
      </c>
      <c r="E4772" s="124" t="s">
        <v>16334</v>
      </c>
      <c r="F4772" s="126">
        <v>1.6999999999999999E-3</v>
      </c>
      <c r="G4772" s="126">
        <v>0.02</v>
      </c>
      <c r="H4772" s="126">
        <v>1.5599999999999999E-2</v>
      </c>
      <c r="I4772" s="127"/>
      <c r="J4772" s="127"/>
      <c r="K4772" s="126">
        <f t="shared" si="172"/>
        <v>3.56E-2</v>
      </c>
      <c r="L4772" s="3"/>
      <c r="M4772" s="126">
        <f t="shared" si="173"/>
        <v>3.73E-2</v>
      </c>
      <c r="O4772" s="131" t="s">
        <v>25232</v>
      </c>
      <c r="P4772" s="128" t="s">
        <v>26918</v>
      </c>
      <c r="Q4772" s="124">
        <f>126296+68470</f>
        <v>194766</v>
      </c>
      <c r="R4772" s="124" t="s">
        <v>16348</v>
      </c>
      <c r="S4772" s="132">
        <v>106437</v>
      </c>
      <c r="T4772" s="129">
        <f>S4772/Q4772</f>
        <v>0.54648655309448257</v>
      </c>
      <c r="V4772" s="125" t="s">
        <v>25233</v>
      </c>
    </row>
    <row r="4773" spans="1:23" customFormat="1" x14ac:dyDescent="0.45">
      <c r="A4773">
        <v>913374</v>
      </c>
      <c r="B4773" t="s">
        <v>25234</v>
      </c>
      <c r="C4773" t="s">
        <v>16331</v>
      </c>
      <c r="D4773">
        <v>1</v>
      </c>
      <c r="E4773" t="s">
        <v>16331</v>
      </c>
      <c r="F4773" s="126"/>
      <c r="G4773" s="7">
        <v>0</v>
      </c>
      <c r="H4773" s="7">
        <v>0</v>
      </c>
      <c r="I4773" s="7">
        <v>0</v>
      </c>
      <c r="J4773" s="7">
        <v>0</v>
      </c>
      <c r="K4773" s="3">
        <f t="shared" si="172"/>
        <v>0</v>
      </c>
      <c r="L4773" s="3"/>
      <c r="M4773" s="3">
        <f t="shared" si="173"/>
        <v>0</v>
      </c>
      <c r="O4773" s="5"/>
      <c r="S4773" s="11"/>
    </row>
    <row r="4774" spans="1:23" customFormat="1" x14ac:dyDescent="0.45">
      <c r="A4774">
        <v>913426</v>
      </c>
      <c r="B4774" t="s">
        <v>25235</v>
      </c>
      <c r="C4774" t="s">
        <v>25236</v>
      </c>
      <c r="D4774">
        <v>1</v>
      </c>
      <c r="F4774" s="126"/>
      <c r="G4774" s="3">
        <v>0</v>
      </c>
      <c r="H4774" s="3">
        <v>0</v>
      </c>
      <c r="I4774" s="3">
        <v>0</v>
      </c>
      <c r="J4774" s="3">
        <v>0</v>
      </c>
      <c r="K4774" s="3">
        <f t="shared" si="172"/>
        <v>0</v>
      </c>
      <c r="L4774" s="3"/>
      <c r="M4774" s="3">
        <f t="shared" si="173"/>
        <v>0</v>
      </c>
      <c r="O4774" s="5"/>
      <c r="S4774" s="11"/>
    </row>
    <row r="4775" spans="1:23" customFormat="1" x14ac:dyDescent="0.45">
      <c r="A4775">
        <v>913719</v>
      </c>
      <c r="B4775" t="s">
        <v>25237</v>
      </c>
      <c r="C4775" t="s">
        <v>25238</v>
      </c>
      <c r="D4775">
        <v>1</v>
      </c>
      <c r="F4775" s="126"/>
      <c r="G4775" s="3">
        <v>0</v>
      </c>
      <c r="H4775" s="3">
        <v>0</v>
      </c>
      <c r="I4775" s="3">
        <v>0</v>
      </c>
      <c r="J4775" s="3">
        <v>0</v>
      </c>
      <c r="K4775" s="3">
        <f t="shared" si="172"/>
        <v>0</v>
      </c>
      <c r="L4775" s="3"/>
      <c r="M4775" s="3">
        <f t="shared" si="173"/>
        <v>0</v>
      </c>
      <c r="O4775" s="5"/>
      <c r="S4775" s="11"/>
    </row>
    <row r="4776" spans="1:23" customFormat="1" x14ac:dyDescent="0.45">
      <c r="A4776">
        <v>913761</v>
      </c>
      <c r="B4776" t="s">
        <v>25239</v>
      </c>
      <c r="C4776" t="s">
        <v>16331</v>
      </c>
      <c r="D4776">
        <v>2</v>
      </c>
      <c r="E4776" t="s">
        <v>16331</v>
      </c>
      <c r="F4776" s="126"/>
      <c r="G4776" s="7">
        <v>0</v>
      </c>
      <c r="H4776" s="7">
        <v>0</v>
      </c>
      <c r="I4776" s="7">
        <v>0</v>
      </c>
      <c r="J4776" s="7">
        <v>0</v>
      </c>
      <c r="K4776" s="3">
        <f t="shared" si="172"/>
        <v>0</v>
      </c>
      <c r="L4776" s="3"/>
      <c r="M4776" s="3">
        <f t="shared" si="173"/>
        <v>0</v>
      </c>
      <c r="O4776" s="5"/>
      <c r="S4776" s="11"/>
    </row>
    <row r="4777" spans="1:23" customFormat="1" x14ac:dyDescent="0.45">
      <c r="A4777">
        <v>914010</v>
      </c>
      <c r="B4777" t="s">
        <v>25240</v>
      </c>
      <c r="C4777" t="s">
        <v>16331</v>
      </c>
      <c r="D4777">
        <v>1</v>
      </c>
      <c r="E4777" t="s">
        <v>16331</v>
      </c>
      <c r="F4777" s="126"/>
      <c r="G4777" s="7">
        <v>0</v>
      </c>
      <c r="H4777" s="7">
        <v>0</v>
      </c>
      <c r="I4777" s="7">
        <v>0</v>
      </c>
      <c r="J4777" s="7">
        <v>0</v>
      </c>
      <c r="K4777" s="3">
        <f t="shared" si="172"/>
        <v>0</v>
      </c>
      <c r="L4777" s="3"/>
      <c r="M4777" s="3">
        <f t="shared" si="173"/>
        <v>0</v>
      </c>
      <c r="O4777" s="5"/>
      <c r="S4777" s="11"/>
    </row>
    <row r="4778" spans="1:23" customFormat="1" x14ac:dyDescent="0.45">
      <c r="A4778">
        <v>914109</v>
      </c>
      <c r="B4778" t="s">
        <v>25241</v>
      </c>
      <c r="C4778" t="s">
        <v>25242</v>
      </c>
      <c r="D4778">
        <v>1</v>
      </c>
      <c r="F4778" s="126"/>
      <c r="G4778" s="7">
        <v>0</v>
      </c>
      <c r="H4778" s="7">
        <v>0</v>
      </c>
      <c r="I4778" s="7">
        <v>0</v>
      </c>
      <c r="J4778" s="7">
        <v>0</v>
      </c>
      <c r="K4778" s="3">
        <f t="shared" si="172"/>
        <v>0</v>
      </c>
      <c r="L4778" s="3"/>
      <c r="M4778" s="3">
        <f t="shared" si="173"/>
        <v>0</v>
      </c>
      <c r="O4778" s="5"/>
      <c r="S4778" s="11"/>
    </row>
    <row r="4779" spans="1:23" customFormat="1" x14ac:dyDescent="0.45">
      <c r="A4779">
        <v>914115</v>
      </c>
      <c r="B4779" t="s">
        <v>25243</v>
      </c>
      <c r="C4779" t="s">
        <v>25244</v>
      </c>
      <c r="D4779">
        <v>2</v>
      </c>
      <c r="F4779" s="126"/>
      <c r="G4779" s="7">
        <v>0</v>
      </c>
      <c r="H4779" s="7">
        <v>0</v>
      </c>
      <c r="I4779" s="7">
        <v>0</v>
      </c>
      <c r="J4779" s="7">
        <v>0</v>
      </c>
      <c r="K4779" s="3">
        <f t="shared" si="172"/>
        <v>0</v>
      </c>
      <c r="L4779" s="3"/>
      <c r="M4779" s="3">
        <f t="shared" si="173"/>
        <v>0</v>
      </c>
      <c r="O4779" s="5"/>
      <c r="S4779" s="11"/>
    </row>
    <row r="4780" spans="1:23" customFormat="1" x14ac:dyDescent="0.45">
      <c r="A4780">
        <v>914187</v>
      </c>
      <c r="B4780" t="s">
        <v>25245</v>
      </c>
      <c r="C4780" t="s">
        <v>25246</v>
      </c>
      <c r="D4780">
        <v>1</v>
      </c>
      <c r="F4780" s="126"/>
      <c r="G4780" s="3">
        <v>0</v>
      </c>
      <c r="H4780" s="3">
        <v>0</v>
      </c>
      <c r="I4780" s="3">
        <v>0</v>
      </c>
      <c r="J4780" s="3">
        <v>0</v>
      </c>
      <c r="K4780" s="3">
        <f t="shared" si="172"/>
        <v>0</v>
      </c>
      <c r="L4780" s="3"/>
      <c r="M4780" s="3">
        <f t="shared" si="173"/>
        <v>0</v>
      </c>
      <c r="O4780" s="5"/>
      <c r="S4780" s="11"/>
    </row>
    <row r="4781" spans="1:23" customFormat="1" x14ac:dyDescent="0.45">
      <c r="A4781">
        <v>914259</v>
      </c>
      <c r="B4781" t="s">
        <v>25247</v>
      </c>
      <c r="C4781" t="s">
        <v>25248</v>
      </c>
      <c r="D4781">
        <v>1</v>
      </c>
      <c r="F4781" s="126"/>
      <c r="G4781" s="7">
        <v>0</v>
      </c>
      <c r="H4781" s="7">
        <v>0</v>
      </c>
      <c r="I4781" s="7">
        <v>0</v>
      </c>
      <c r="J4781" s="7">
        <v>0</v>
      </c>
      <c r="K4781" s="3">
        <f t="shared" si="172"/>
        <v>0</v>
      </c>
      <c r="L4781" s="3"/>
      <c r="M4781" s="3">
        <f t="shared" si="173"/>
        <v>0</v>
      </c>
      <c r="N4781" s="7"/>
      <c r="O4781" s="5"/>
      <c r="S4781" s="11"/>
    </row>
    <row r="4782" spans="1:23" x14ac:dyDescent="0.45">
      <c r="A4782" s="124">
        <v>840337</v>
      </c>
      <c r="B4782" s="124" t="s">
        <v>25249</v>
      </c>
      <c r="C4782" s="124" t="s">
        <v>25250</v>
      </c>
      <c r="D4782" s="124">
        <v>1</v>
      </c>
      <c r="E4782" s="124" t="s">
        <v>16334</v>
      </c>
      <c r="F4782" s="126">
        <v>1.6999999999999999E-3</v>
      </c>
      <c r="G4782" s="126">
        <v>3.2000000000000001E-2</v>
      </c>
      <c r="H4782" s="126">
        <v>0.01</v>
      </c>
      <c r="I4782" s="127"/>
      <c r="J4782" s="127"/>
      <c r="K4782" s="126">
        <f t="shared" si="172"/>
        <v>4.2000000000000003E-2</v>
      </c>
      <c r="L4782" s="3"/>
      <c r="M4782" s="126">
        <f t="shared" si="173"/>
        <v>4.3700000000000003E-2</v>
      </c>
      <c r="O4782" s="131" t="s">
        <v>25251</v>
      </c>
      <c r="P4782" s="128" t="s">
        <v>26918</v>
      </c>
      <c r="Q4782" s="124">
        <f>180272 +37241</f>
        <v>217513</v>
      </c>
      <c r="R4782" s="124" t="s">
        <v>16348</v>
      </c>
      <c r="S4782" s="132">
        <v>180272</v>
      </c>
      <c r="T4782" s="129">
        <f>S4782/Q4782</f>
        <v>0.82878724490030486</v>
      </c>
      <c r="V4782" s="125" t="s">
        <v>25252</v>
      </c>
      <c r="W4782" s="124" t="s">
        <v>17021</v>
      </c>
    </row>
    <row r="4783" spans="1:23" customFormat="1" x14ac:dyDescent="0.45">
      <c r="A4783">
        <v>914561</v>
      </c>
      <c r="B4783" t="s">
        <v>25253</v>
      </c>
      <c r="C4783" t="s">
        <v>25254</v>
      </c>
      <c r="D4783">
        <v>4</v>
      </c>
      <c r="F4783" s="126"/>
      <c r="G4783" s="3">
        <v>0</v>
      </c>
      <c r="H4783" s="3">
        <v>0</v>
      </c>
      <c r="I4783" s="3">
        <v>0</v>
      </c>
      <c r="J4783" s="3">
        <v>0</v>
      </c>
      <c r="K4783" s="3">
        <f t="shared" si="172"/>
        <v>0</v>
      </c>
      <c r="L4783" s="3"/>
      <c r="M4783" s="3">
        <f t="shared" si="173"/>
        <v>0</v>
      </c>
      <c r="O4783" s="5"/>
      <c r="S4783" s="11"/>
    </row>
    <row r="4784" spans="1:23" customFormat="1" x14ac:dyDescent="0.45">
      <c r="A4784">
        <v>914746</v>
      </c>
      <c r="B4784" t="s">
        <v>25255</v>
      </c>
      <c r="C4784" t="s">
        <v>25256</v>
      </c>
      <c r="D4784">
        <v>7</v>
      </c>
      <c r="F4784" s="126"/>
      <c r="G4784" s="3">
        <v>0</v>
      </c>
      <c r="H4784" s="3">
        <v>0</v>
      </c>
      <c r="I4784" s="3">
        <v>0</v>
      </c>
      <c r="J4784" s="3">
        <v>0</v>
      </c>
      <c r="K4784" s="3">
        <f t="shared" si="172"/>
        <v>0</v>
      </c>
      <c r="L4784" s="3"/>
      <c r="M4784" s="3">
        <f t="shared" si="173"/>
        <v>0</v>
      </c>
      <c r="O4784" s="5"/>
      <c r="S4784" s="11"/>
    </row>
    <row r="4785" spans="1:22" customFormat="1" x14ac:dyDescent="0.45">
      <c r="A4785">
        <v>915090</v>
      </c>
      <c r="B4785" t="s">
        <v>25257</v>
      </c>
      <c r="C4785" t="s">
        <v>16331</v>
      </c>
      <c r="D4785">
        <v>1</v>
      </c>
      <c r="E4785" t="s">
        <v>16331</v>
      </c>
      <c r="F4785" s="126"/>
      <c r="G4785" s="7">
        <v>0</v>
      </c>
      <c r="H4785" s="7">
        <v>0</v>
      </c>
      <c r="I4785" s="7">
        <v>0</v>
      </c>
      <c r="J4785" s="7">
        <v>0</v>
      </c>
      <c r="K4785" s="3">
        <f t="shared" si="172"/>
        <v>0</v>
      </c>
      <c r="L4785" s="3"/>
      <c r="M4785" s="3">
        <f t="shared" si="173"/>
        <v>0</v>
      </c>
      <c r="O4785" s="5"/>
      <c r="S4785" s="11"/>
    </row>
    <row r="4786" spans="1:22" customFormat="1" x14ac:dyDescent="0.45">
      <c r="A4786">
        <v>915191</v>
      </c>
      <c r="B4786" t="s">
        <v>25258</v>
      </c>
      <c r="C4786" t="s">
        <v>25259</v>
      </c>
      <c r="D4786">
        <v>2</v>
      </c>
      <c r="F4786" s="126"/>
      <c r="G4786" s="3">
        <v>0</v>
      </c>
      <c r="H4786" s="3">
        <v>0</v>
      </c>
      <c r="I4786" s="3">
        <v>0</v>
      </c>
      <c r="J4786" s="3">
        <v>0</v>
      </c>
      <c r="K4786" s="3">
        <f t="shared" ref="K4786:K4849" si="174">SUM(G4786:J4786)</f>
        <v>0</v>
      </c>
      <c r="L4786" s="3"/>
      <c r="M4786" s="3">
        <f t="shared" ref="M4786:M4849" si="175">K4786+F4786</f>
        <v>0</v>
      </c>
      <c r="O4786" s="5"/>
      <c r="S4786" s="11"/>
    </row>
    <row r="4787" spans="1:22" customFormat="1" x14ac:dyDescent="0.45">
      <c r="A4787">
        <v>915218</v>
      </c>
      <c r="B4787" t="s">
        <v>25260</v>
      </c>
      <c r="C4787" t="s">
        <v>25261</v>
      </c>
      <c r="D4787">
        <v>6</v>
      </c>
      <c r="F4787" s="126"/>
      <c r="G4787" s="3">
        <v>0</v>
      </c>
      <c r="H4787" s="3">
        <v>0</v>
      </c>
      <c r="I4787" s="3">
        <v>0</v>
      </c>
      <c r="J4787" s="3">
        <v>0</v>
      </c>
      <c r="K4787" s="3">
        <f t="shared" si="174"/>
        <v>0</v>
      </c>
      <c r="L4787" s="3"/>
      <c r="M4787" s="3">
        <f t="shared" si="175"/>
        <v>0</v>
      </c>
      <c r="O4787" s="5"/>
      <c r="S4787" s="11"/>
    </row>
    <row r="4788" spans="1:22" x14ac:dyDescent="0.45">
      <c r="A4788" s="124">
        <v>119278</v>
      </c>
      <c r="B4788" s="124" t="s">
        <v>25262</v>
      </c>
      <c r="C4788" s="124" t="s">
        <v>25263</v>
      </c>
      <c r="D4788" s="124">
        <v>328</v>
      </c>
      <c r="E4788" s="124" t="s">
        <v>16417</v>
      </c>
      <c r="F4788" s="126">
        <v>1.0200000000000001E-2</v>
      </c>
      <c r="G4788" s="126">
        <v>1.7500000000000002E-2</v>
      </c>
      <c r="H4788" s="126">
        <v>6.4999999999999997E-3</v>
      </c>
      <c r="I4788" s="127">
        <v>0</v>
      </c>
      <c r="J4788" s="127">
        <v>0</v>
      </c>
      <c r="K4788" s="126">
        <f t="shared" si="174"/>
        <v>2.4E-2</v>
      </c>
      <c r="L4788" s="3"/>
      <c r="M4788" s="126">
        <f t="shared" si="175"/>
        <v>3.4200000000000001E-2</v>
      </c>
      <c r="N4788" s="135" t="s">
        <v>25264</v>
      </c>
      <c r="O4788" s="125" t="s">
        <v>25265</v>
      </c>
      <c r="P4788" s="125" t="s">
        <v>22194</v>
      </c>
      <c r="Q4788" s="130">
        <v>103002000</v>
      </c>
      <c r="R4788" s="130" t="s">
        <v>16</v>
      </c>
      <c r="S4788" s="130">
        <v>63667000</v>
      </c>
      <c r="T4788" s="129">
        <f>S4788/Q4788</f>
        <v>0.61811421137453637</v>
      </c>
      <c r="U4788" s="130"/>
      <c r="V4788" s="124" t="s">
        <v>16512</v>
      </c>
    </row>
    <row r="4789" spans="1:22" customFormat="1" x14ac:dyDescent="0.45">
      <c r="A4789">
        <v>915248</v>
      </c>
      <c r="B4789" t="s">
        <v>25266</v>
      </c>
      <c r="C4789" s="2" t="s">
        <v>25267</v>
      </c>
      <c r="D4789">
        <v>0</v>
      </c>
      <c r="E4789" t="s">
        <v>16561</v>
      </c>
      <c r="F4789" s="126"/>
      <c r="G4789" s="7">
        <v>0</v>
      </c>
      <c r="H4789" s="7">
        <v>0</v>
      </c>
      <c r="I4789" s="7">
        <v>0</v>
      </c>
      <c r="J4789" s="7">
        <v>0</v>
      </c>
      <c r="K4789" s="3">
        <f t="shared" si="174"/>
        <v>0</v>
      </c>
      <c r="L4789" s="3"/>
      <c r="M4789" s="3">
        <f t="shared" si="175"/>
        <v>0</v>
      </c>
      <c r="N4789" s="7"/>
      <c r="O4789" s="5"/>
      <c r="S4789" s="11"/>
    </row>
    <row r="4790" spans="1:22" customFormat="1" x14ac:dyDescent="0.45">
      <c r="A4790">
        <v>915729</v>
      </c>
      <c r="B4790" t="s">
        <v>25268</v>
      </c>
      <c r="C4790" t="s">
        <v>25269</v>
      </c>
      <c r="D4790">
        <v>7</v>
      </c>
      <c r="F4790" s="126"/>
      <c r="G4790" s="7">
        <v>0</v>
      </c>
      <c r="H4790" s="7">
        <v>0</v>
      </c>
      <c r="I4790" s="7">
        <v>0</v>
      </c>
      <c r="J4790" s="7">
        <v>0</v>
      </c>
      <c r="K4790" s="3">
        <f t="shared" si="174"/>
        <v>0</v>
      </c>
      <c r="L4790" s="3"/>
      <c r="M4790" s="3">
        <f t="shared" si="175"/>
        <v>0</v>
      </c>
      <c r="O4790" s="5"/>
      <c r="S4790" s="11"/>
    </row>
    <row r="4791" spans="1:22" customFormat="1" x14ac:dyDescent="0.45">
      <c r="A4791">
        <v>915784</v>
      </c>
      <c r="B4791" t="s">
        <v>25270</v>
      </c>
      <c r="C4791" t="s">
        <v>25271</v>
      </c>
      <c r="D4791">
        <v>1</v>
      </c>
      <c r="F4791" s="126"/>
      <c r="K4791" s="3">
        <f t="shared" si="174"/>
        <v>0</v>
      </c>
      <c r="L4791" s="3"/>
      <c r="M4791" s="3">
        <f t="shared" si="175"/>
        <v>0</v>
      </c>
      <c r="O4791" s="5"/>
      <c r="S4791" s="11"/>
    </row>
    <row r="4792" spans="1:22" customFormat="1" x14ac:dyDescent="0.45">
      <c r="A4792">
        <v>915934</v>
      </c>
      <c r="B4792" t="s">
        <v>25272</v>
      </c>
      <c r="C4792" t="s">
        <v>25273</v>
      </c>
      <c r="D4792">
        <v>2</v>
      </c>
      <c r="F4792" s="126"/>
      <c r="G4792" s="7">
        <v>0</v>
      </c>
      <c r="H4792" s="7">
        <v>0</v>
      </c>
      <c r="I4792" s="7">
        <v>0</v>
      </c>
      <c r="J4792" s="7">
        <v>0</v>
      </c>
      <c r="K4792" s="3">
        <f t="shared" si="174"/>
        <v>0</v>
      </c>
      <c r="L4792" s="3"/>
      <c r="M4792" s="3">
        <f t="shared" si="175"/>
        <v>0</v>
      </c>
      <c r="O4792" s="5"/>
      <c r="S4792" s="11"/>
    </row>
    <row r="4793" spans="1:22" x14ac:dyDescent="0.45">
      <c r="A4793" s="124">
        <v>718005</v>
      </c>
      <c r="B4793" s="124" t="s">
        <v>25274</v>
      </c>
      <c r="C4793" s="124" t="s">
        <v>25275</v>
      </c>
      <c r="D4793" s="124">
        <v>2</v>
      </c>
      <c r="E4793" s="124" t="s">
        <v>16334</v>
      </c>
      <c r="F4793" s="126">
        <v>1.6999999999999999E-3</v>
      </c>
      <c r="G4793" s="126">
        <v>2.5000000000000001E-2</v>
      </c>
      <c r="H4793" s="126">
        <v>0.01</v>
      </c>
      <c r="I4793" s="127"/>
      <c r="J4793" s="127"/>
      <c r="K4793" s="126">
        <f t="shared" si="174"/>
        <v>3.5000000000000003E-2</v>
      </c>
      <c r="L4793" s="3"/>
      <c r="M4793" s="126">
        <f t="shared" si="175"/>
        <v>3.6700000000000003E-2</v>
      </c>
      <c r="O4793" s="131" t="s">
        <v>25276</v>
      </c>
      <c r="P4793" s="128" t="s">
        <v>26918</v>
      </c>
      <c r="Q4793" s="124">
        <f>184554+102329</f>
        <v>286883</v>
      </c>
      <c r="R4793" s="124" t="s">
        <v>16348</v>
      </c>
      <c r="S4793" s="132">
        <v>156047</v>
      </c>
      <c r="T4793" s="129">
        <f>S4793/Q4793</f>
        <v>0.54393951541220642</v>
      </c>
      <c r="V4793" s="125" t="s">
        <v>25277</v>
      </c>
    </row>
    <row r="4794" spans="1:22" customFormat="1" x14ac:dyDescent="0.45">
      <c r="A4794">
        <v>916127</v>
      </c>
      <c r="B4794" t="s">
        <v>25278</v>
      </c>
      <c r="C4794" t="s">
        <v>25279</v>
      </c>
      <c r="D4794">
        <v>1</v>
      </c>
      <c r="F4794" s="126"/>
      <c r="K4794" s="3">
        <f t="shared" si="174"/>
        <v>0</v>
      </c>
      <c r="L4794" s="3"/>
      <c r="M4794" s="3">
        <f t="shared" si="175"/>
        <v>0</v>
      </c>
      <c r="O4794" s="5"/>
      <c r="S4794" s="11"/>
    </row>
    <row r="4795" spans="1:22" customFormat="1" x14ac:dyDescent="0.45">
      <c r="A4795">
        <v>916184</v>
      </c>
      <c r="B4795" t="s">
        <v>25280</v>
      </c>
      <c r="C4795" t="s">
        <v>25281</v>
      </c>
      <c r="D4795">
        <v>1</v>
      </c>
      <c r="F4795" s="126"/>
      <c r="G4795" s="7">
        <v>0</v>
      </c>
      <c r="H4795" s="7">
        <v>0</v>
      </c>
      <c r="I4795" s="7">
        <v>0</v>
      </c>
      <c r="J4795" s="7">
        <v>0</v>
      </c>
      <c r="K4795" s="3">
        <f t="shared" si="174"/>
        <v>0</v>
      </c>
      <c r="L4795" s="3"/>
      <c r="M4795" s="3">
        <f t="shared" si="175"/>
        <v>0</v>
      </c>
      <c r="O4795" s="5"/>
      <c r="S4795" s="11"/>
    </row>
    <row r="4796" spans="1:22" customFormat="1" x14ac:dyDescent="0.45">
      <c r="A4796">
        <v>916202</v>
      </c>
      <c r="B4796" t="s">
        <v>25282</v>
      </c>
      <c r="C4796" t="s">
        <v>25283</v>
      </c>
      <c r="D4796">
        <v>2</v>
      </c>
      <c r="F4796" s="126"/>
      <c r="G4796" s="3">
        <v>0</v>
      </c>
      <c r="H4796" s="3">
        <v>0</v>
      </c>
      <c r="I4796" s="3">
        <v>0</v>
      </c>
      <c r="J4796" s="3">
        <v>0</v>
      </c>
      <c r="K4796" s="3">
        <f t="shared" si="174"/>
        <v>0</v>
      </c>
      <c r="L4796" s="3"/>
      <c r="M4796" s="3">
        <f t="shared" si="175"/>
        <v>0</v>
      </c>
      <c r="O4796" s="5"/>
      <c r="S4796" s="11"/>
    </row>
    <row r="4797" spans="1:22" customFormat="1" x14ac:dyDescent="0.45">
      <c r="A4797">
        <v>916452</v>
      </c>
      <c r="B4797" t="s">
        <v>25284</v>
      </c>
      <c r="C4797" t="s">
        <v>25285</v>
      </c>
      <c r="D4797">
        <v>1</v>
      </c>
      <c r="F4797" s="126"/>
      <c r="K4797" s="3">
        <f t="shared" si="174"/>
        <v>0</v>
      </c>
      <c r="L4797" s="3"/>
      <c r="M4797" s="3">
        <f t="shared" si="175"/>
        <v>0</v>
      </c>
      <c r="O4797" s="5"/>
      <c r="S4797" s="11"/>
    </row>
    <row r="4798" spans="1:22" customFormat="1" x14ac:dyDescent="0.45">
      <c r="A4798">
        <v>916506</v>
      </c>
      <c r="B4798" t="s">
        <v>25286</v>
      </c>
      <c r="C4798" t="s">
        <v>25287</v>
      </c>
      <c r="D4798">
        <v>3</v>
      </c>
      <c r="F4798" s="126"/>
      <c r="G4798" s="3">
        <v>0</v>
      </c>
      <c r="H4798" s="3">
        <v>0</v>
      </c>
      <c r="I4798" s="3">
        <v>0</v>
      </c>
      <c r="J4798" s="3">
        <v>0</v>
      </c>
      <c r="K4798" s="3">
        <f t="shared" si="174"/>
        <v>0</v>
      </c>
      <c r="L4798" s="3"/>
      <c r="M4798" s="3">
        <f t="shared" si="175"/>
        <v>0</v>
      </c>
      <c r="O4798" s="5"/>
      <c r="S4798" s="11"/>
    </row>
    <row r="4799" spans="1:22" customFormat="1" x14ac:dyDescent="0.45">
      <c r="A4799">
        <v>916537</v>
      </c>
      <c r="B4799" t="s">
        <v>25288</v>
      </c>
      <c r="C4799" t="s">
        <v>25289</v>
      </c>
      <c r="D4799">
        <v>2</v>
      </c>
      <c r="F4799" s="126"/>
      <c r="G4799" s="3">
        <v>0</v>
      </c>
      <c r="H4799" s="3">
        <v>0</v>
      </c>
      <c r="I4799" s="3">
        <v>0</v>
      </c>
      <c r="J4799" s="3">
        <v>0</v>
      </c>
      <c r="K4799" s="3">
        <f t="shared" si="174"/>
        <v>0</v>
      </c>
      <c r="L4799" s="3"/>
      <c r="M4799" s="3">
        <f t="shared" si="175"/>
        <v>0</v>
      </c>
      <c r="O4799" s="5"/>
      <c r="S4799" s="11"/>
    </row>
    <row r="4800" spans="1:22" customFormat="1" x14ac:dyDescent="0.45">
      <c r="A4800">
        <v>916767</v>
      </c>
      <c r="B4800" t="s">
        <v>25290</v>
      </c>
      <c r="C4800" t="s">
        <v>16331</v>
      </c>
      <c r="D4800">
        <v>2</v>
      </c>
      <c r="E4800" t="s">
        <v>16331</v>
      </c>
      <c r="F4800" s="126"/>
      <c r="K4800" s="3">
        <f t="shared" si="174"/>
        <v>0</v>
      </c>
      <c r="L4800" s="3"/>
      <c r="M4800" s="3">
        <f t="shared" si="175"/>
        <v>0</v>
      </c>
      <c r="O4800" s="5"/>
      <c r="S4800" s="11"/>
    </row>
    <row r="4801" spans="1:22" customFormat="1" x14ac:dyDescent="0.45">
      <c r="A4801">
        <v>916792</v>
      </c>
      <c r="B4801" t="s">
        <v>25291</v>
      </c>
      <c r="C4801" s="2" t="s">
        <v>25292</v>
      </c>
      <c r="D4801">
        <v>1</v>
      </c>
      <c r="F4801" s="126"/>
      <c r="G4801" s="3">
        <v>0</v>
      </c>
      <c r="H4801" s="3">
        <v>0</v>
      </c>
      <c r="I4801" s="3">
        <v>0</v>
      </c>
      <c r="J4801" s="3">
        <v>0</v>
      </c>
      <c r="K4801" s="3">
        <f t="shared" si="174"/>
        <v>0</v>
      </c>
      <c r="L4801" s="3"/>
      <c r="M4801" s="3">
        <f t="shared" si="175"/>
        <v>0</v>
      </c>
      <c r="O4801" s="5"/>
      <c r="S4801" s="11"/>
    </row>
    <row r="4802" spans="1:22" x14ac:dyDescent="0.45">
      <c r="A4802" s="124">
        <v>616455</v>
      </c>
      <c r="B4802" s="124" t="s">
        <v>25293</v>
      </c>
      <c r="C4802" s="125" t="s">
        <v>25294</v>
      </c>
      <c r="D4802" s="124">
        <v>1</v>
      </c>
      <c r="E4802" s="124" t="s">
        <v>16334</v>
      </c>
      <c r="F4802" s="126">
        <v>1.6999999999999999E-3</v>
      </c>
      <c r="G4802" s="126">
        <v>0</v>
      </c>
      <c r="H4802" s="126">
        <v>0</v>
      </c>
      <c r="I4802" s="126">
        <f>0.75%+1.5%</f>
        <v>2.2499999999999999E-2</v>
      </c>
      <c r="J4802" s="126">
        <v>1.2E-2</v>
      </c>
      <c r="K4802" s="126">
        <f t="shared" si="174"/>
        <v>3.4500000000000003E-2</v>
      </c>
      <c r="L4802" s="3"/>
      <c r="M4802" s="126">
        <f t="shared" si="175"/>
        <v>3.6200000000000003E-2</v>
      </c>
      <c r="N4802" s="135" t="s">
        <v>25295</v>
      </c>
      <c r="O4802" s="131" t="s">
        <v>19138</v>
      </c>
      <c r="P4802" s="128" t="s">
        <v>26918</v>
      </c>
      <c r="Q4802" s="130">
        <f>1998332+177212</f>
        <v>2175544</v>
      </c>
      <c r="R4802" s="124" t="s">
        <v>16348</v>
      </c>
      <c r="S4802" s="132">
        <v>1987311</v>
      </c>
      <c r="T4802" s="129">
        <f>S4802/Q4802</f>
        <v>0.91347773246599473</v>
      </c>
      <c r="V4802" s="125" t="s">
        <v>25296</v>
      </c>
    </row>
    <row r="4803" spans="1:22" customFormat="1" x14ac:dyDescent="0.45">
      <c r="A4803">
        <v>917079</v>
      </c>
      <c r="B4803" t="s">
        <v>25297</v>
      </c>
      <c r="C4803" t="s">
        <v>25298</v>
      </c>
      <c r="D4803">
        <v>2</v>
      </c>
      <c r="F4803" s="126"/>
      <c r="G4803" s="3">
        <v>0</v>
      </c>
      <c r="H4803" s="3">
        <v>0</v>
      </c>
      <c r="I4803" s="3">
        <v>0</v>
      </c>
      <c r="J4803" s="3">
        <v>0</v>
      </c>
      <c r="K4803" s="3">
        <f t="shared" si="174"/>
        <v>0</v>
      </c>
      <c r="L4803" s="3"/>
      <c r="M4803" s="3">
        <f t="shared" si="175"/>
        <v>0</v>
      </c>
      <c r="O4803" s="5"/>
      <c r="S4803" s="11"/>
    </row>
    <row r="4804" spans="1:22" customFormat="1" x14ac:dyDescent="0.45">
      <c r="A4804">
        <v>917090</v>
      </c>
      <c r="B4804" t="s">
        <v>25299</v>
      </c>
      <c r="C4804" t="s">
        <v>25300</v>
      </c>
      <c r="D4804">
        <v>4</v>
      </c>
      <c r="F4804" s="126"/>
      <c r="G4804" s="7">
        <v>0</v>
      </c>
      <c r="H4804" s="7">
        <v>0</v>
      </c>
      <c r="I4804" s="7">
        <v>0</v>
      </c>
      <c r="J4804" s="7">
        <v>0</v>
      </c>
      <c r="K4804" s="3">
        <f t="shared" si="174"/>
        <v>0</v>
      </c>
      <c r="L4804" s="3"/>
      <c r="M4804" s="3">
        <f t="shared" si="175"/>
        <v>0</v>
      </c>
      <c r="N4804" s="7"/>
      <c r="O4804" s="5"/>
      <c r="S4804" s="11"/>
    </row>
    <row r="4805" spans="1:22" customFormat="1" x14ac:dyDescent="0.45">
      <c r="A4805">
        <v>917125</v>
      </c>
      <c r="B4805" t="s">
        <v>25301</v>
      </c>
      <c r="C4805" t="s">
        <v>25302</v>
      </c>
      <c r="D4805">
        <v>4</v>
      </c>
      <c r="F4805" s="126"/>
      <c r="G4805" s="3"/>
      <c r="H4805" s="3"/>
      <c r="I4805" s="3"/>
      <c r="J4805" s="3"/>
      <c r="K4805" s="3">
        <f t="shared" si="174"/>
        <v>0</v>
      </c>
      <c r="L4805" s="3"/>
      <c r="M4805" s="3">
        <f t="shared" si="175"/>
        <v>0</v>
      </c>
      <c r="O4805" s="5"/>
      <c r="S4805" s="11"/>
    </row>
    <row r="4806" spans="1:22" customFormat="1" x14ac:dyDescent="0.45">
      <c r="A4806">
        <v>917152</v>
      </c>
      <c r="B4806" t="s">
        <v>25303</v>
      </c>
      <c r="C4806" t="s">
        <v>25304</v>
      </c>
      <c r="D4806">
        <v>4</v>
      </c>
      <c r="F4806" s="126"/>
      <c r="G4806" s="3">
        <v>0</v>
      </c>
      <c r="H4806" s="3">
        <v>0</v>
      </c>
      <c r="I4806" s="3">
        <v>0</v>
      </c>
      <c r="J4806" s="3">
        <v>0</v>
      </c>
      <c r="K4806" s="3">
        <f t="shared" si="174"/>
        <v>0</v>
      </c>
      <c r="L4806" s="3"/>
      <c r="M4806" s="3">
        <f t="shared" si="175"/>
        <v>0</v>
      </c>
      <c r="O4806" s="5"/>
      <c r="S4806" s="11"/>
    </row>
    <row r="4807" spans="1:22" customFormat="1" x14ac:dyDescent="0.45">
      <c r="A4807">
        <v>917170</v>
      </c>
      <c r="B4807" t="s">
        <v>25305</v>
      </c>
      <c r="C4807" t="s">
        <v>25306</v>
      </c>
      <c r="D4807">
        <v>1</v>
      </c>
      <c r="F4807" s="126"/>
      <c r="G4807" s="7">
        <v>0</v>
      </c>
      <c r="H4807" s="7">
        <v>0</v>
      </c>
      <c r="I4807" s="7">
        <v>0</v>
      </c>
      <c r="J4807" s="7">
        <v>0</v>
      </c>
      <c r="K4807" s="3">
        <f t="shared" si="174"/>
        <v>0</v>
      </c>
      <c r="L4807" s="3"/>
      <c r="M4807" s="3">
        <f t="shared" si="175"/>
        <v>0</v>
      </c>
      <c r="N4807" s="7"/>
      <c r="O4807" s="5"/>
      <c r="S4807" s="11"/>
    </row>
    <row r="4808" spans="1:22" customFormat="1" x14ac:dyDescent="0.45">
      <c r="A4808">
        <v>917171</v>
      </c>
      <c r="B4808" t="s">
        <v>25307</v>
      </c>
      <c r="C4808" t="s">
        <v>16331</v>
      </c>
      <c r="D4808">
        <v>1</v>
      </c>
      <c r="E4808" t="s">
        <v>16331</v>
      </c>
      <c r="F4808" s="126"/>
      <c r="G4808" s="7">
        <v>0</v>
      </c>
      <c r="H4808" s="7">
        <v>0</v>
      </c>
      <c r="I4808" s="7">
        <v>0</v>
      </c>
      <c r="J4808" s="7">
        <v>0</v>
      </c>
      <c r="K4808" s="3">
        <f t="shared" si="174"/>
        <v>0</v>
      </c>
      <c r="L4808" s="3"/>
      <c r="M4808" s="3">
        <f t="shared" si="175"/>
        <v>0</v>
      </c>
      <c r="O4808" s="5"/>
      <c r="S4808" s="11"/>
    </row>
    <row r="4809" spans="1:22" customFormat="1" x14ac:dyDescent="0.45">
      <c r="A4809">
        <v>917269</v>
      </c>
      <c r="B4809" t="s">
        <v>25308</v>
      </c>
      <c r="C4809" t="s">
        <v>25309</v>
      </c>
      <c r="D4809">
        <v>3</v>
      </c>
      <c r="F4809" s="126"/>
      <c r="G4809" s="7">
        <v>0</v>
      </c>
      <c r="H4809" s="7">
        <v>0</v>
      </c>
      <c r="I4809" s="7">
        <v>0</v>
      </c>
      <c r="J4809" s="7">
        <v>0</v>
      </c>
      <c r="K4809" s="3">
        <f t="shared" si="174"/>
        <v>0</v>
      </c>
      <c r="L4809" s="3"/>
      <c r="M4809" s="3">
        <f t="shared" si="175"/>
        <v>0</v>
      </c>
      <c r="N4809" s="7"/>
      <c r="O4809" s="5"/>
      <c r="S4809" s="11"/>
    </row>
    <row r="4810" spans="1:22" customFormat="1" x14ac:dyDescent="0.45">
      <c r="A4810">
        <v>917358</v>
      </c>
      <c r="B4810" t="s">
        <v>25310</v>
      </c>
      <c r="C4810" t="s">
        <v>16331</v>
      </c>
      <c r="D4810">
        <v>2</v>
      </c>
      <c r="E4810" t="s">
        <v>16331</v>
      </c>
      <c r="F4810" s="126"/>
      <c r="G4810" s="7">
        <v>0</v>
      </c>
      <c r="H4810" s="7">
        <v>0</v>
      </c>
      <c r="I4810" s="7">
        <v>0</v>
      </c>
      <c r="J4810" s="7">
        <v>0</v>
      </c>
      <c r="K4810" s="3">
        <f t="shared" si="174"/>
        <v>0</v>
      </c>
      <c r="L4810" s="3"/>
      <c r="M4810" s="3">
        <f t="shared" si="175"/>
        <v>0</v>
      </c>
      <c r="O4810" s="5"/>
      <c r="S4810" s="11"/>
    </row>
    <row r="4811" spans="1:22" customFormat="1" x14ac:dyDescent="0.45">
      <c r="A4811">
        <v>917403</v>
      </c>
      <c r="B4811" t="s">
        <v>25311</v>
      </c>
      <c r="C4811" t="s">
        <v>25312</v>
      </c>
      <c r="D4811">
        <v>18</v>
      </c>
      <c r="F4811" s="126"/>
      <c r="G4811" s="3"/>
      <c r="H4811" s="3"/>
      <c r="I4811" s="3"/>
      <c r="J4811" s="3"/>
      <c r="K4811" s="3">
        <f t="shared" si="174"/>
        <v>0</v>
      </c>
      <c r="L4811" s="3"/>
      <c r="M4811" s="3">
        <f t="shared" si="175"/>
        <v>0</v>
      </c>
      <c r="O4811" s="5"/>
      <c r="S4811" s="11"/>
    </row>
    <row r="4812" spans="1:22" customFormat="1" x14ac:dyDescent="0.45">
      <c r="A4812">
        <v>917560</v>
      </c>
      <c r="B4812" t="s">
        <v>25313</v>
      </c>
      <c r="C4812" t="s">
        <v>16331</v>
      </c>
      <c r="D4812">
        <v>1</v>
      </c>
      <c r="E4812" t="s">
        <v>16331</v>
      </c>
      <c r="F4812" s="126"/>
      <c r="G4812" s="7">
        <v>0</v>
      </c>
      <c r="H4812" s="7">
        <v>0</v>
      </c>
      <c r="I4812" s="7">
        <v>0</v>
      </c>
      <c r="J4812" s="7">
        <v>0</v>
      </c>
      <c r="K4812" s="3">
        <f t="shared" si="174"/>
        <v>0</v>
      </c>
      <c r="L4812" s="3"/>
      <c r="M4812" s="3">
        <f t="shared" si="175"/>
        <v>0</v>
      </c>
      <c r="O4812" s="5"/>
      <c r="S4812" s="11"/>
    </row>
    <row r="4813" spans="1:22" customFormat="1" x14ac:dyDescent="0.45">
      <c r="A4813">
        <v>917602</v>
      </c>
      <c r="B4813" t="s">
        <v>25314</v>
      </c>
      <c r="C4813" t="s">
        <v>25315</v>
      </c>
      <c r="D4813">
        <v>2</v>
      </c>
      <c r="F4813" s="126"/>
      <c r="G4813" s="7">
        <v>0</v>
      </c>
      <c r="H4813" s="7">
        <v>0</v>
      </c>
      <c r="I4813" s="7">
        <v>0</v>
      </c>
      <c r="J4813" s="7">
        <v>0</v>
      </c>
      <c r="K4813" s="3">
        <f t="shared" si="174"/>
        <v>0</v>
      </c>
      <c r="L4813" s="3"/>
      <c r="M4813" s="3">
        <f t="shared" si="175"/>
        <v>0</v>
      </c>
      <c r="N4813" s="7"/>
      <c r="O4813" s="5"/>
      <c r="S4813" s="11"/>
    </row>
    <row r="4814" spans="1:22" customFormat="1" x14ac:dyDescent="0.45">
      <c r="A4814">
        <v>917832</v>
      </c>
      <c r="B4814" t="s">
        <v>25316</v>
      </c>
      <c r="C4814" t="s">
        <v>25317</v>
      </c>
      <c r="D4814">
        <v>1</v>
      </c>
      <c r="F4814" s="126"/>
      <c r="G4814" s="3">
        <v>0</v>
      </c>
      <c r="H4814" s="3">
        <v>0</v>
      </c>
      <c r="I4814" s="3">
        <v>0</v>
      </c>
      <c r="J4814" s="3">
        <v>0</v>
      </c>
      <c r="K4814" s="3">
        <f t="shared" si="174"/>
        <v>0</v>
      </c>
      <c r="L4814" s="3"/>
      <c r="M4814" s="3">
        <f t="shared" si="175"/>
        <v>0</v>
      </c>
      <c r="O4814" s="5"/>
      <c r="S4814" s="11"/>
    </row>
    <row r="4815" spans="1:22" customFormat="1" x14ac:dyDescent="0.45">
      <c r="A4815">
        <v>917929</v>
      </c>
      <c r="B4815" t="s">
        <v>25318</v>
      </c>
      <c r="C4815" t="s">
        <v>25319</v>
      </c>
      <c r="D4815">
        <v>4</v>
      </c>
      <c r="F4815" s="126"/>
      <c r="G4815" s="7">
        <v>0</v>
      </c>
      <c r="H4815" s="7">
        <v>0</v>
      </c>
      <c r="I4815" s="7">
        <v>0</v>
      </c>
      <c r="J4815" s="7">
        <v>0</v>
      </c>
      <c r="K4815" s="3">
        <f t="shared" si="174"/>
        <v>0</v>
      </c>
      <c r="L4815" s="3"/>
      <c r="M4815" s="3">
        <f t="shared" si="175"/>
        <v>0</v>
      </c>
      <c r="N4815" s="7"/>
      <c r="O4815" s="5"/>
      <c r="S4815" s="11"/>
    </row>
    <row r="4816" spans="1:22" customFormat="1" x14ac:dyDescent="0.45">
      <c r="A4816">
        <v>917942</v>
      </c>
      <c r="B4816" t="s">
        <v>25320</v>
      </c>
      <c r="C4816" t="s">
        <v>25321</v>
      </c>
      <c r="D4816">
        <v>2</v>
      </c>
      <c r="F4816" s="126"/>
      <c r="G4816" s="3">
        <v>0</v>
      </c>
      <c r="H4816" s="3">
        <v>0</v>
      </c>
      <c r="I4816" s="3">
        <v>0</v>
      </c>
      <c r="J4816" s="3">
        <v>0</v>
      </c>
      <c r="K4816" s="3">
        <f t="shared" si="174"/>
        <v>0</v>
      </c>
      <c r="L4816" s="3"/>
      <c r="M4816" s="3">
        <f t="shared" si="175"/>
        <v>0</v>
      </c>
      <c r="O4816" s="5"/>
      <c r="S4816" s="11"/>
    </row>
    <row r="4817" spans="1:19" customFormat="1" x14ac:dyDescent="0.45">
      <c r="A4817">
        <v>918191</v>
      </c>
      <c r="B4817" t="s">
        <v>25322</v>
      </c>
      <c r="C4817" t="s">
        <v>25323</v>
      </c>
      <c r="D4817">
        <v>1</v>
      </c>
      <c r="F4817" s="126"/>
      <c r="G4817" s="3">
        <v>0</v>
      </c>
      <c r="H4817" s="3">
        <v>0</v>
      </c>
      <c r="I4817" s="3">
        <v>0</v>
      </c>
      <c r="J4817" s="3">
        <v>0</v>
      </c>
      <c r="K4817" s="3">
        <f t="shared" si="174"/>
        <v>0</v>
      </c>
      <c r="L4817" s="3"/>
      <c r="M4817" s="3">
        <f t="shared" si="175"/>
        <v>0</v>
      </c>
      <c r="O4817" s="5"/>
      <c r="S4817" s="11"/>
    </row>
    <row r="4818" spans="1:19" customFormat="1" x14ac:dyDescent="0.45">
      <c r="A4818">
        <v>918425</v>
      </c>
      <c r="B4818" t="s">
        <v>25324</v>
      </c>
      <c r="C4818" t="s">
        <v>25325</v>
      </c>
      <c r="D4818">
        <v>2</v>
      </c>
      <c r="F4818" s="126"/>
      <c r="K4818" s="3">
        <f t="shared" si="174"/>
        <v>0</v>
      </c>
      <c r="L4818" s="3"/>
      <c r="M4818" s="3">
        <f t="shared" si="175"/>
        <v>0</v>
      </c>
      <c r="O4818" s="5"/>
      <c r="S4818" s="11"/>
    </row>
    <row r="4819" spans="1:19" customFormat="1" x14ac:dyDescent="0.45">
      <c r="A4819">
        <v>918826</v>
      </c>
      <c r="B4819" t="s">
        <v>25326</v>
      </c>
      <c r="C4819" t="s">
        <v>16331</v>
      </c>
      <c r="D4819">
        <v>1</v>
      </c>
      <c r="E4819" t="s">
        <v>16331</v>
      </c>
      <c r="F4819" s="126"/>
      <c r="G4819" s="7">
        <v>0</v>
      </c>
      <c r="H4819" s="7">
        <v>0</v>
      </c>
      <c r="I4819" s="7">
        <v>0</v>
      </c>
      <c r="J4819" s="7">
        <v>0</v>
      </c>
      <c r="K4819" s="3">
        <f t="shared" si="174"/>
        <v>0</v>
      </c>
      <c r="L4819" s="3"/>
      <c r="M4819" s="3">
        <f t="shared" si="175"/>
        <v>0</v>
      </c>
      <c r="O4819" s="5"/>
      <c r="S4819" s="11"/>
    </row>
    <row r="4820" spans="1:19" customFormat="1" x14ac:dyDescent="0.45">
      <c r="A4820">
        <v>919115</v>
      </c>
      <c r="B4820" t="s">
        <v>25327</v>
      </c>
      <c r="C4820" t="s">
        <v>25328</v>
      </c>
      <c r="D4820">
        <v>2</v>
      </c>
      <c r="F4820" s="126"/>
      <c r="G4820" s="3">
        <v>0</v>
      </c>
      <c r="H4820" s="3">
        <v>0</v>
      </c>
      <c r="I4820" s="3">
        <v>0</v>
      </c>
      <c r="J4820" s="3">
        <v>0</v>
      </c>
      <c r="K4820" s="3">
        <f t="shared" si="174"/>
        <v>0</v>
      </c>
      <c r="L4820" s="3"/>
      <c r="M4820" s="3">
        <f t="shared" si="175"/>
        <v>0</v>
      </c>
      <c r="O4820" s="5"/>
      <c r="S4820" s="11"/>
    </row>
    <row r="4821" spans="1:19" customFormat="1" x14ac:dyDescent="0.45">
      <c r="A4821">
        <v>919164</v>
      </c>
      <c r="B4821" t="s">
        <v>25329</v>
      </c>
      <c r="C4821" t="s">
        <v>25330</v>
      </c>
      <c r="D4821">
        <v>2</v>
      </c>
      <c r="F4821" s="126"/>
      <c r="G4821" s="3">
        <v>0</v>
      </c>
      <c r="H4821" s="3">
        <v>0</v>
      </c>
      <c r="I4821" s="3">
        <v>0</v>
      </c>
      <c r="J4821" s="3">
        <v>0</v>
      </c>
      <c r="K4821" s="3">
        <f t="shared" si="174"/>
        <v>0</v>
      </c>
      <c r="L4821" s="3"/>
      <c r="M4821" s="3">
        <f t="shared" si="175"/>
        <v>0</v>
      </c>
      <c r="O4821" s="5"/>
      <c r="S4821" s="11"/>
    </row>
    <row r="4822" spans="1:19" customFormat="1" x14ac:dyDescent="0.45">
      <c r="A4822">
        <v>919204</v>
      </c>
      <c r="B4822" t="s">
        <v>25331</v>
      </c>
      <c r="C4822" t="s">
        <v>25332</v>
      </c>
      <c r="D4822">
        <v>3</v>
      </c>
      <c r="F4822" s="126"/>
      <c r="G4822" s="7">
        <v>0</v>
      </c>
      <c r="H4822" s="7">
        <v>0</v>
      </c>
      <c r="I4822" s="7">
        <v>0</v>
      </c>
      <c r="J4822" s="7">
        <v>0</v>
      </c>
      <c r="K4822" s="3">
        <f t="shared" si="174"/>
        <v>0</v>
      </c>
      <c r="L4822" s="3"/>
      <c r="M4822" s="3">
        <f t="shared" si="175"/>
        <v>0</v>
      </c>
      <c r="N4822" s="7"/>
      <c r="O4822" s="5"/>
      <c r="S4822" s="11"/>
    </row>
    <row r="4823" spans="1:19" customFormat="1" x14ac:dyDescent="0.45">
      <c r="A4823">
        <v>919575</v>
      </c>
      <c r="B4823" t="s">
        <v>25333</v>
      </c>
      <c r="C4823" t="s">
        <v>16331</v>
      </c>
      <c r="D4823">
        <v>4</v>
      </c>
      <c r="E4823" t="s">
        <v>16331</v>
      </c>
      <c r="F4823" s="126"/>
      <c r="G4823" s="7">
        <v>0</v>
      </c>
      <c r="H4823" s="7">
        <v>0</v>
      </c>
      <c r="I4823" s="7">
        <v>0</v>
      </c>
      <c r="J4823" s="7">
        <v>0</v>
      </c>
      <c r="K4823" s="3">
        <f t="shared" si="174"/>
        <v>0</v>
      </c>
      <c r="L4823" s="3"/>
      <c r="M4823" s="3">
        <f t="shared" si="175"/>
        <v>0</v>
      </c>
      <c r="O4823" s="5"/>
      <c r="S4823" s="11"/>
    </row>
    <row r="4824" spans="1:19" customFormat="1" x14ac:dyDescent="0.45">
      <c r="A4824">
        <v>919807</v>
      </c>
      <c r="B4824" t="s">
        <v>25334</v>
      </c>
      <c r="C4824" t="s">
        <v>25335</v>
      </c>
      <c r="D4824">
        <v>5</v>
      </c>
      <c r="F4824" s="126"/>
      <c r="G4824" s="3">
        <v>0</v>
      </c>
      <c r="H4824" s="3">
        <v>0</v>
      </c>
      <c r="I4824" s="3">
        <v>0</v>
      </c>
      <c r="J4824" s="3">
        <v>0</v>
      </c>
      <c r="K4824" s="3">
        <f t="shared" si="174"/>
        <v>0</v>
      </c>
      <c r="L4824" s="3"/>
      <c r="M4824" s="3">
        <f t="shared" si="175"/>
        <v>0</v>
      </c>
      <c r="O4824" s="5"/>
      <c r="S4824" s="11"/>
    </row>
    <row r="4825" spans="1:19" customFormat="1" x14ac:dyDescent="0.45">
      <c r="A4825">
        <v>920310</v>
      </c>
      <c r="B4825" t="s">
        <v>25336</v>
      </c>
      <c r="C4825" t="s">
        <v>16331</v>
      </c>
      <c r="D4825">
        <v>0</v>
      </c>
      <c r="E4825" t="s">
        <v>16331</v>
      </c>
      <c r="F4825" s="126"/>
      <c r="G4825" s="7">
        <v>0</v>
      </c>
      <c r="H4825" s="7">
        <v>0</v>
      </c>
      <c r="I4825" s="7">
        <v>0</v>
      </c>
      <c r="J4825" s="7">
        <v>0</v>
      </c>
      <c r="K4825" s="3">
        <f t="shared" si="174"/>
        <v>0</v>
      </c>
      <c r="L4825" s="3"/>
      <c r="M4825" s="3">
        <f t="shared" si="175"/>
        <v>0</v>
      </c>
      <c r="O4825" s="5"/>
      <c r="S4825" s="11"/>
    </row>
    <row r="4826" spans="1:19" customFormat="1" x14ac:dyDescent="0.45">
      <c r="A4826">
        <v>920851</v>
      </c>
      <c r="B4826" t="s">
        <v>25337</v>
      </c>
      <c r="C4826" s="2" t="s">
        <v>25338</v>
      </c>
      <c r="D4826">
        <v>1</v>
      </c>
      <c r="F4826" s="126"/>
      <c r="G4826" s="3">
        <v>0</v>
      </c>
      <c r="H4826" s="3">
        <v>0</v>
      </c>
      <c r="I4826" s="3">
        <v>0</v>
      </c>
      <c r="J4826" s="3">
        <v>0</v>
      </c>
      <c r="K4826" s="3">
        <f t="shared" si="174"/>
        <v>0</v>
      </c>
      <c r="L4826" s="3"/>
      <c r="M4826" s="3">
        <f t="shared" si="175"/>
        <v>0</v>
      </c>
      <c r="O4826" s="5"/>
      <c r="S4826" s="11"/>
    </row>
    <row r="4827" spans="1:19" customFormat="1" x14ac:dyDescent="0.45">
      <c r="A4827">
        <v>920993</v>
      </c>
      <c r="B4827" t="s">
        <v>25339</v>
      </c>
      <c r="C4827" t="s">
        <v>25340</v>
      </c>
      <c r="D4827">
        <v>1</v>
      </c>
      <c r="F4827" s="126"/>
      <c r="G4827" s="7">
        <v>0</v>
      </c>
      <c r="H4827" s="7">
        <v>0</v>
      </c>
      <c r="I4827" s="7">
        <v>0</v>
      </c>
      <c r="J4827" s="7">
        <v>0</v>
      </c>
      <c r="K4827" s="3">
        <f t="shared" si="174"/>
        <v>0</v>
      </c>
      <c r="L4827" s="3"/>
      <c r="M4827" s="3">
        <f t="shared" si="175"/>
        <v>0</v>
      </c>
      <c r="O4827" s="5"/>
      <c r="S4827" s="11"/>
    </row>
    <row r="4828" spans="1:19" customFormat="1" x14ac:dyDescent="0.45">
      <c r="A4828">
        <v>921103</v>
      </c>
      <c r="B4828" t="s">
        <v>25341</v>
      </c>
      <c r="C4828" t="s">
        <v>25342</v>
      </c>
      <c r="D4828">
        <v>4</v>
      </c>
      <c r="F4828" s="126"/>
      <c r="G4828" s="3"/>
      <c r="H4828" s="3"/>
      <c r="I4828" s="3"/>
      <c r="J4828" s="3"/>
      <c r="K4828" s="3">
        <f t="shared" si="174"/>
        <v>0</v>
      </c>
      <c r="L4828" s="3"/>
      <c r="M4828" s="3">
        <f t="shared" si="175"/>
        <v>0</v>
      </c>
      <c r="O4828" s="5"/>
      <c r="S4828" s="11"/>
    </row>
    <row r="4829" spans="1:19" customFormat="1" x14ac:dyDescent="0.45">
      <c r="A4829">
        <v>921294</v>
      </c>
      <c r="B4829" t="s">
        <v>25343</v>
      </c>
      <c r="C4829" t="s">
        <v>25344</v>
      </c>
      <c r="D4829">
        <v>2</v>
      </c>
      <c r="F4829" s="126"/>
      <c r="G4829" s="19"/>
      <c r="H4829" s="19"/>
      <c r="I4829" s="19"/>
      <c r="J4829" s="19"/>
      <c r="K4829" s="3">
        <f t="shared" si="174"/>
        <v>0</v>
      </c>
      <c r="L4829" s="3"/>
      <c r="M4829" s="3">
        <f t="shared" si="175"/>
        <v>0</v>
      </c>
      <c r="O4829" s="5"/>
      <c r="S4829" s="11"/>
    </row>
    <row r="4830" spans="1:19" customFormat="1" x14ac:dyDescent="0.45">
      <c r="A4830">
        <v>921339</v>
      </c>
      <c r="B4830" t="s">
        <v>25345</v>
      </c>
      <c r="C4830" t="s">
        <v>25346</v>
      </c>
      <c r="D4830">
        <v>3</v>
      </c>
      <c r="F4830" s="126"/>
      <c r="G4830" s="7">
        <v>0</v>
      </c>
      <c r="H4830" s="7">
        <v>0</v>
      </c>
      <c r="I4830" s="7">
        <v>0</v>
      </c>
      <c r="J4830" s="7">
        <v>0</v>
      </c>
      <c r="K4830" s="3">
        <f t="shared" si="174"/>
        <v>0</v>
      </c>
      <c r="L4830" s="3"/>
      <c r="M4830" s="3">
        <f t="shared" si="175"/>
        <v>0</v>
      </c>
      <c r="O4830" s="5"/>
      <c r="S4830" s="11"/>
    </row>
    <row r="4831" spans="1:19" customFormat="1" x14ac:dyDescent="0.45">
      <c r="A4831">
        <v>921376</v>
      </c>
      <c r="B4831" t="s">
        <v>25347</v>
      </c>
      <c r="C4831" t="s">
        <v>25348</v>
      </c>
      <c r="D4831">
        <v>5</v>
      </c>
      <c r="F4831" s="126"/>
      <c r="G4831" s="7">
        <v>0</v>
      </c>
      <c r="H4831" s="7">
        <v>0</v>
      </c>
      <c r="I4831" s="7">
        <v>0</v>
      </c>
      <c r="J4831" s="7">
        <v>0</v>
      </c>
      <c r="K4831" s="3">
        <f t="shared" si="174"/>
        <v>0</v>
      </c>
      <c r="L4831" s="3"/>
      <c r="M4831" s="3">
        <f t="shared" si="175"/>
        <v>0</v>
      </c>
      <c r="O4831" s="5"/>
      <c r="S4831" s="11"/>
    </row>
    <row r="4832" spans="1:19" customFormat="1" x14ac:dyDescent="0.45">
      <c r="A4832">
        <v>921450</v>
      </c>
      <c r="B4832" t="s">
        <v>25349</v>
      </c>
      <c r="C4832" t="s">
        <v>25350</v>
      </c>
      <c r="D4832">
        <v>5</v>
      </c>
      <c r="F4832" s="126"/>
      <c r="G4832" s="7">
        <v>0</v>
      </c>
      <c r="H4832" s="7">
        <v>0</v>
      </c>
      <c r="I4832" s="7">
        <v>0</v>
      </c>
      <c r="J4832" s="7">
        <v>0</v>
      </c>
      <c r="K4832" s="3">
        <f t="shared" si="174"/>
        <v>0</v>
      </c>
      <c r="L4832" s="3"/>
      <c r="M4832" s="3">
        <f t="shared" si="175"/>
        <v>0</v>
      </c>
      <c r="O4832" s="5"/>
      <c r="S4832" s="11"/>
    </row>
    <row r="4833" spans="1:22" customFormat="1" x14ac:dyDescent="0.45">
      <c r="A4833">
        <v>921503</v>
      </c>
      <c r="B4833" t="s">
        <v>25351</v>
      </c>
      <c r="C4833" t="s">
        <v>25352</v>
      </c>
      <c r="D4833">
        <v>1</v>
      </c>
      <c r="F4833" s="126"/>
      <c r="G4833" s="3">
        <v>0</v>
      </c>
      <c r="H4833" s="3">
        <v>0</v>
      </c>
      <c r="I4833" s="3">
        <v>0</v>
      </c>
      <c r="J4833" s="3">
        <v>0</v>
      </c>
      <c r="K4833" s="3">
        <f t="shared" si="174"/>
        <v>0</v>
      </c>
      <c r="L4833" s="3"/>
      <c r="M4833" s="3">
        <f t="shared" si="175"/>
        <v>0</v>
      </c>
      <c r="O4833" s="5"/>
      <c r="S4833" s="11"/>
    </row>
    <row r="4834" spans="1:22" customFormat="1" x14ac:dyDescent="0.45">
      <c r="A4834">
        <v>921536</v>
      </c>
      <c r="B4834" t="s">
        <v>25353</v>
      </c>
      <c r="C4834" t="s">
        <v>16331</v>
      </c>
      <c r="D4834">
        <v>7</v>
      </c>
      <c r="E4834" t="s">
        <v>16331</v>
      </c>
      <c r="F4834" s="126"/>
      <c r="G4834" s="7">
        <v>0</v>
      </c>
      <c r="H4834" s="7">
        <v>0</v>
      </c>
      <c r="I4834" s="7">
        <v>0</v>
      </c>
      <c r="J4834" s="7">
        <v>0</v>
      </c>
      <c r="K4834" s="3">
        <f t="shared" si="174"/>
        <v>0</v>
      </c>
      <c r="L4834" s="3"/>
      <c r="M4834" s="3">
        <f t="shared" si="175"/>
        <v>0</v>
      </c>
      <c r="O4834" s="5"/>
      <c r="S4834" s="11"/>
    </row>
    <row r="4835" spans="1:22" customFormat="1" x14ac:dyDescent="0.45">
      <c r="A4835">
        <v>921581</v>
      </c>
      <c r="B4835" t="s">
        <v>25354</v>
      </c>
      <c r="C4835" t="s">
        <v>25355</v>
      </c>
      <c r="D4835">
        <v>6</v>
      </c>
      <c r="F4835" s="126"/>
      <c r="G4835" s="3">
        <v>0</v>
      </c>
      <c r="H4835" s="3">
        <v>0</v>
      </c>
      <c r="I4835" s="3">
        <v>0</v>
      </c>
      <c r="J4835" s="3">
        <v>0</v>
      </c>
      <c r="K4835" s="3">
        <f t="shared" si="174"/>
        <v>0</v>
      </c>
      <c r="L4835" s="3"/>
      <c r="M4835" s="3">
        <f t="shared" si="175"/>
        <v>0</v>
      </c>
      <c r="O4835" s="5"/>
      <c r="S4835" s="11"/>
    </row>
    <row r="4836" spans="1:22" customFormat="1" x14ac:dyDescent="0.45">
      <c r="A4836">
        <v>921582</v>
      </c>
      <c r="B4836" t="s">
        <v>25356</v>
      </c>
      <c r="C4836" t="s">
        <v>25357</v>
      </c>
      <c r="D4836">
        <v>3</v>
      </c>
      <c r="F4836" s="126"/>
      <c r="G4836" s="3">
        <v>0</v>
      </c>
      <c r="H4836" s="3">
        <v>0</v>
      </c>
      <c r="I4836" s="3">
        <v>0</v>
      </c>
      <c r="J4836" s="3">
        <v>0</v>
      </c>
      <c r="K4836" s="3">
        <f t="shared" si="174"/>
        <v>0</v>
      </c>
      <c r="L4836" s="3"/>
      <c r="M4836" s="3">
        <f t="shared" si="175"/>
        <v>0</v>
      </c>
      <c r="O4836" s="5"/>
      <c r="S4836" s="11"/>
    </row>
    <row r="4837" spans="1:22" customFormat="1" x14ac:dyDescent="0.45">
      <c r="A4837">
        <v>921710</v>
      </c>
      <c r="B4837" t="s">
        <v>25358</v>
      </c>
      <c r="C4837" t="s">
        <v>16331</v>
      </c>
      <c r="D4837">
        <v>2</v>
      </c>
      <c r="E4837" t="s">
        <v>16331</v>
      </c>
      <c r="F4837" s="126"/>
      <c r="K4837" s="3">
        <f t="shared" si="174"/>
        <v>0</v>
      </c>
      <c r="L4837" s="3"/>
      <c r="M4837" s="3">
        <f t="shared" si="175"/>
        <v>0</v>
      </c>
      <c r="O4837" s="5"/>
      <c r="S4837" s="11"/>
    </row>
    <row r="4838" spans="1:22" x14ac:dyDescent="0.45">
      <c r="A4838" s="124">
        <v>137914</v>
      </c>
      <c r="B4838" s="124" t="s">
        <v>25359</v>
      </c>
      <c r="C4838" s="125" t="s">
        <v>25360</v>
      </c>
      <c r="D4838" s="124">
        <v>228</v>
      </c>
      <c r="E4838" s="124" t="s">
        <v>16417</v>
      </c>
      <c r="F4838" s="126">
        <v>6.4999999999999997E-3</v>
      </c>
      <c r="G4838" s="135">
        <v>0.03</v>
      </c>
      <c r="H4838" s="126">
        <v>7.4999999999999997E-3</v>
      </c>
      <c r="I4838" s="127"/>
      <c r="J4838" s="127"/>
      <c r="K4838" s="126">
        <f t="shared" si="174"/>
        <v>3.7499999999999999E-2</v>
      </c>
      <c r="L4838" s="3"/>
      <c r="M4838" s="126">
        <f t="shared" si="175"/>
        <v>4.3999999999999997E-2</v>
      </c>
      <c r="N4838" s="124" t="s">
        <v>25361</v>
      </c>
      <c r="O4838" s="125" t="s">
        <v>25362</v>
      </c>
      <c r="P4838" s="125" t="s">
        <v>25363</v>
      </c>
      <c r="Q4838" s="130">
        <v>54908000</v>
      </c>
      <c r="R4838" s="124" t="s">
        <v>16348</v>
      </c>
      <c r="S4838" s="130">
        <v>43815000</v>
      </c>
      <c r="T4838" s="129">
        <f>S4838/Q4838</f>
        <v>0.79797115174473665</v>
      </c>
      <c r="U4838" s="124" t="s">
        <v>21854</v>
      </c>
      <c r="V4838" s="125" t="s">
        <v>25364</v>
      </c>
    </row>
    <row r="4839" spans="1:22" customFormat="1" x14ac:dyDescent="0.45">
      <c r="A4839">
        <v>921915</v>
      </c>
      <c r="B4839" t="s">
        <v>25365</v>
      </c>
      <c r="C4839" t="s">
        <v>25366</v>
      </c>
      <c r="D4839">
        <v>1</v>
      </c>
      <c r="F4839" s="126"/>
      <c r="G4839" s="3">
        <v>0</v>
      </c>
      <c r="H4839" s="3">
        <v>0</v>
      </c>
      <c r="I4839" s="3">
        <v>0</v>
      </c>
      <c r="J4839" s="3">
        <v>0</v>
      </c>
      <c r="K4839" s="3">
        <f t="shared" si="174"/>
        <v>0</v>
      </c>
      <c r="L4839" s="3"/>
      <c r="M4839" s="3">
        <f t="shared" si="175"/>
        <v>0</v>
      </c>
      <c r="O4839" s="5"/>
      <c r="S4839" s="11"/>
    </row>
    <row r="4840" spans="1:22" customFormat="1" x14ac:dyDescent="0.45">
      <c r="A4840">
        <v>922010</v>
      </c>
      <c r="B4840" t="s">
        <v>25367</v>
      </c>
      <c r="C4840" t="s">
        <v>25368</v>
      </c>
      <c r="D4840">
        <v>1</v>
      </c>
      <c r="F4840" s="126"/>
      <c r="G4840" s="7">
        <v>0</v>
      </c>
      <c r="H4840" s="7">
        <v>0</v>
      </c>
      <c r="I4840" s="7">
        <v>0</v>
      </c>
      <c r="J4840" s="7">
        <v>0</v>
      </c>
      <c r="K4840" s="3">
        <f t="shared" si="174"/>
        <v>0</v>
      </c>
      <c r="L4840" s="3"/>
      <c r="M4840" s="3">
        <f t="shared" si="175"/>
        <v>0</v>
      </c>
      <c r="O4840" s="5"/>
      <c r="S4840" s="11"/>
    </row>
    <row r="4841" spans="1:22" customFormat="1" x14ac:dyDescent="0.45">
      <c r="A4841">
        <v>922187</v>
      </c>
      <c r="B4841" t="s">
        <v>25369</v>
      </c>
      <c r="C4841" s="2" t="s">
        <v>25370</v>
      </c>
      <c r="D4841">
        <v>2</v>
      </c>
      <c r="F4841" s="126"/>
      <c r="G4841" s="3">
        <v>0</v>
      </c>
      <c r="H4841" s="3">
        <v>0</v>
      </c>
      <c r="I4841" s="3">
        <v>0</v>
      </c>
      <c r="J4841" s="3">
        <v>0</v>
      </c>
      <c r="K4841" s="3">
        <f t="shared" si="174"/>
        <v>0</v>
      </c>
      <c r="L4841" s="3"/>
      <c r="M4841" s="3">
        <f t="shared" si="175"/>
        <v>0</v>
      </c>
      <c r="O4841" s="5"/>
      <c r="S4841" s="11"/>
    </row>
    <row r="4842" spans="1:22" customFormat="1" x14ac:dyDescent="0.45">
      <c r="A4842">
        <v>922221</v>
      </c>
      <c r="B4842" t="s">
        <v>25371</v>
      </c>
      <c r="C4842" t="s">
        <v>25372</v>
      </c>
      <c r="D4842">
        <v>23</v>
      </c>
      <c r="F4842" s="126"/>
      <c r="G4842" s="19"/>
      <c r="H4842" s="19"/>
      <c r="I4842" s="19"/>
      <c r="J4842" s="19"/>
      <c r="K4842" s="3">
        <f t="shared" si="174"/>
        <v>0</v>
      </c>
      <c r="L4842" s="3"/>
      <c r="M4842" s="3">
        <f t="shared" si="175"/>
        <v>0</v>
      </c>
      <c r="O4842" s="5"/>
      <c r="S4842" s="11"/>
    </row>
    <row r="4843" spans="1:22" customFormat="1" x14ac:dyDescent="0.45">
      <c r="A4843">
        <v>922435</v>
      </c>
      <c r="B4843" t="s">
        <v>25373</v>
      </c>
      <c r="C4843" t="s">
        <v>25374</v>
      </c>
      <c r="D4843">
        <v>1</v>
      </c>
      <c r="F4843" s="126"/>
      <c r="G4843" s="7">
        <v>0</v>
      </c>
      <c r="H4843" s="7">
        <v>0</v>
      </c>
      <c r="I4843" s="7">
        <v>0</v>
      </c>
      <c r="J4843" s="7">
        <v>0</v>
      </c>
      <c r="K4843" s="3">
        <f t="shared" si="174"/>
        <v>0</v>
      </c>
      <c r="L4843" s="3"/>
      <c r="M4843" s="3">
        <f t="shared" si="175"/>
        <v>0</v>
      </c>
      <c r="O4843" s="5"/>
      <c r="S4843" s="11"/>
    </row>
    <row r="4844" spans="1:22" x14ac:dyDescent="0.45">
      <c r="A4844" s="124">
        <v>575235</v>
      </c>
      <c r="B4844" s="124" t="s">
        <v>25375</v>
      </c>
      <c r="C4844" s="124" t="s">
        <v>25376</v>
      </c>
      <c r="D4844" s="124">
        <v>3</v>
      </c>
      <c r="E4844" s="124" t="s">
        <v>16417</v>
      </c>
      <c r="F4844" s="126">
        <v>6.4999999999999997E-3</v>
      </c>
      <c r="G4844" s="135">
        <v>0.03</v>
      </c>
      <c r="H4844" s="126">
        <v>7.4999999999999997E-3</v>
      </c>
      <c r="I4844" s="127"/>
      <c r="J4844" s="127"/>
      <c r="K4844" s="126">
        <f t="shared" si="174"/>
        <v>3.7499999999999999E-2</v>
      </c>
      <c r="L4844" s="9"/>
      <c r="M4844" s="126">
        <f t="shared" si="175"/>
        <v>4.3999999999999997E-2</v>
      </c>
      <c r="O4844" s="125" t="s">
        <v>25362</v>
      </c>
      <c r="Q4844" s="130">
        <v>54908000</v>
      </c>
      <c r="R4844" s="124" t="s">
        <v>16348</v>
      </c>
      <c r="S4844" s="130">
        <v>43815000</v>
      </c>
      <c r="T4844" s="129">
        <f>S4844/Q4844</f>
        <v>0.79797115174473665</v>
      </c>
      <c r="U4844" s="124" t="s">
        <v>21854</v>
      </c>
      <c r="V4844" s="125" t="s">
        <v>25364</v>
      </c>
    </row>
    <row r="4845" spans="1:22" customFormat="1" x14ac:dyDescent="0.45">
      <c r="A4845">
        <v>922829</v>
      </c>
      <c r="B4845" t="s">
        <v>25377</v>
      </c>
      <c r="C4845" t="s">
        <v>16331</v>
      </c>
      <c r="D4845">
        <v>1</v>
      </c>
      <c r="E4845" t="s">
        <v>16331</v>
      </c>
      <c r="F4845" s="126"/>
      <c r="G4845" s="7">
        <v>0</v>
      </c>
      <c r="H4845" s="7">
        <v>0</v>
      </c>
      <c r="I4845" s="7">
        <v>0</v>
      </c>
      <c r="J4845" s="7">
        <v>0</v>
      </c>
      <c r="K4845" s="3">
        <f t="shared" si="174"/>
        <v>0</v>
      </c>
      <c r="L4845" s="3"/>
      <c r="M4845" s="3">
        <f t="shared" si="175"/>
        <v>0</v>
      </c>
      <c r="O4845" s="5"/>
      <c r="S4845" s="11"/>
    </row>
    <row r="4846" spans="1:22" customFormat="1" x14ac:dyDescent="0.45">
      <c r="A4846">
        <v>922923</v>
      </c>
      <c r="B4846" t="s">
        <v>25378</v>
      </c>
      <c r="C4846" t="s">
        <v>25379</v>
      </c>
      <c r="D4846">
        <v>1</v>
      </c>
      <c r="F4846" s="126"/>
      <c r="G4846" s="3">
        <v>0</v>
      </c>
      <c r="H4846" s="3">
        <v>0</v>
      </c>
      <c r="I4846" s="3">
        <v>0</v>
      </c>
      <c r="J4846" s="3">
        <v>0</v>
      </c>
      <c r="K4846" s="3">
        <f t="shared" si="174"/>
        <v>0</v>
      </c>
      <c r="L4846" s="3"/>
      <c r="M4846" s="3">
        <f t="shared" si="175"/>
        <v>0</v>
      </c>
      <c r="O4846" s="5"/>
      <c r="S4846" s="11"/>
    </row>
    <row r="4847" spans="1:22" customFormat="1" x14ac:dyDescent="0.45">
      <c r="A4847">
        <v>922993</v>
      </c>
      <c r="B4847" t="s">
        <v>25380</v>
      </c>
      <c r="C4847" t="s">
        <v>16331</v>
      </c>
      <c r="D4847">
        <v>1</v>
      </c>
      <c r="E4847" t="s">
        <v>16331</v>
      </c>
      <c r="F4847" s="126"/>
      <c r="G4847" s="7">
        <v>0</v>
      </c>
      <c r="H4847" s="7">
        <v>0</v>
      </c>
      <c r="I4847" s="7">
        <v>0</v>
      </c>
      <c r="J4847" s="7">
        <v>0</v>
      </c>
      <c r="K4847" s="3">
        <f t="shared" si="174"/>
        <v>0</v>
      </c>
      <c r="L4847" s="3"/>
      <c r="M4847" s="3">
        <f t="shared" si="175"/>
        <v>0</v>
      </c>
      <c r="O4847" s="5"/>
      <c r="S4847" s="11"/>
    </row>
    <row r="4848" spans="1:22" customFormat="1" x14ac:dyDescent="0.45">
      <c r="A4848">
        <v>923235</v>
      </c>
      <c r="B4848" t="s">
        <v>25381</v>
      </c>
      <c r="C4848" t="s">
        <v>25382</v>
      </c>
      <c r="D4848">
        <v>5</v>
      </c>
      <c r="F4848" s="126"/>
      <c r="G4848" s="7">
        <v>0</v>
      </c>
      <c r="H4848" s="7">
        <v>0</v>
      </c>
      <c r="I4848" s="7">
        <v>0</v>
      </c>
      <c r="J4848" s="7">
        <v>0</v>
      </c>
      <c r="K4848" s="3">
        <f t="shared" si="174"/>
        <v>0</v>
      </c>
      <c r="L4848" s="3"/>
      <c r="M4848" s="3">
        <f t="shared" si="175"/>
        <v>0</v>
      </c>
      <c r="N4848" s="7"/>
      <c r="O4848" s="5"/>
      <c r="S4848" s="11"/>
    </row>
    <row r="4849" spans="1:19" customFormat="1" x14ac:dyDescent="0.45">
      <c r="A4849">
        <v>923347</v>
      </c>
      <c r="B4849" t="s">
        <v>25383</v>
      </c>
      <c r="C4849" t="s">
        <v>25384</v>
      </c>
      <c r="D4849">
        <v>1</v>
      </c>
      <c r="F4849" s="126"/>
      <c r="G4849" s="3">
        <v>0</v>
      </c>
      <c r="H4849" s="3">
        <v>0</v>
      </c>
      <c r="I4849" s="3">
        <v>0</v>
      </c>
      <c r="J4849" s="3">
        <v>0</v>
      </c>
      <c r="K4849" s="3">
        <f t="shared" si="174"/>
        <v>0</v>
      </c>
      <c r="L4849" s="3"/>
      <c r="M4849" s="3">
        <f t="shared" si="175"/>
        <v>0</v>
      </c>
      <c r="O4849" s="5"/>
      <c r="S4849" s="11"/>
    </row>
    <row r="4850" spans="1:19" customFormat="1" x14ac:dyDescent="0.45">
      <c r="A4850">
        <v>923398</v>
      </c>
      <c r="B4850" t="s">
        <v>25385</v>
      </c>
      <c r="C4850" t="s">
        <v>16331</v>
      </c>
      <c r="D4850">
        <v>1</v>
      </c>
      <c r="E4850" t="s">
        <v>16331</v>
      </c>
      <c r="F4850" s="126"/>
      <c r="G4850" s="7">
        <v>0</v>
      </c>
      <c r="H4850" s="7">
        <v>0</v>
      </c>
      <c r="I4850" s="7">
        <v>0</v>
      </c>
      <c r="J4850" s="7">
        <v>0</v>
      </c>
      <c r="K4850" s="3">
        <f t="shared" ref="K4850:K4913" si="176">SUM(G4850:J4850)</f>
        <v>0</v>
      </c>
      <c r="L4850" s="3"/>
      <c r="M4850" s="3">
        <f t="shared" ref="M4850:M4913" si="177">K4850+F4850</f>
        <v>0</v>
      </c>
      <c r="O4850" s="5"/>
      <c r="S4850" s="11"/>
    </row>
    <row r="4851" spans="1:19" customFormat="1" x14ac:dyDescent="0.45">
      <c r="A4851">
        <v>923697</v>
      </c>
      <c r="B4851" t="s">
        <v>25386</v>
      </c>
      <c r="C4851" t="s">
        <v>25387</v>
      </c>
      <c r="D4851">
        <v>1</v>
      </c>
      <c r="F4851" s="126"/>
      <c r="G4851" s="3">
        <v>0</v>
      </c>
      <c r="H4851" s="3">
        <v>0</v>
      </c>
      <c r="I4851" s="3">
        <v>0</v>
      </c>
      <c r="J4851" s="3">
        <v>0</v>
      </c>
      <c r="K4851" s="3">
        <f t="shared" si="176"/>
        <v>0</v>
      </c>
      <c r="L4851" s="3"/>
      <c r="M4851" s="3">
        <f t="shared" si="177"/>
        <v>0</v>
      </c>
      <c r="O4851" s="5"/>
      <c r="S4851" s="11"/>
    </row>
    <row r="4852" spans="1:19" customFormat="1" x14ac:dyDescent="0.45">
      <c r="A4852">
        <v>923726</v>
      </c>
      <c r="B4852" t="s">
        <v>25388</v>
      </c>
      <c r="C4852" t="s">
        <v>25389</v>
      </c>
      <c r="D4852">
        <v>3</v>
      </c>
      <c r="F4852" s="126"/>
      <c r="G4852" s="3">
        <v>0</v>
      </c>
      <c r="H4852" s="3">
        <v>0</v>
      </c>
      <c r="I4852" s="3">
        <v>0</v>
      </c>
      <c r="J4852" s="3">
        <v>0</v>
      </c>
      <c r="K4852" s="3">
        <f t="shared" si="176"/>
        <v>0</v>
      </c>
      <c r="L4852" s="3"/>
      <c r="M4852" s="3">
        <f t="shared" si="177"/>
        <v>0</v>
      </c>
      <c r="O4852" s="5"/>
      <c r="S4852" s="11"/>
    </row>
    <row r="4853" spans="1:19" customFormat="1" x14ac:dyDescent="0.45">
      <c r="A4853">
        <v>923809</v>
      </c>
      <c r="B4853" t="s">
        <v>25390</v>
      </c>
      <c r="C4853" t="s">
        <v>25391</v>
      </c>
      <c r="D4853">
        <v>1</v>
      </c>
      <c r="F4853" s="126"/>
      <c r="K4853" s="3">
        <f t="shared" si="176"/>
        <v>0</v>
      </c>
      <c r="L4853" s="3"/>
      <c r="M4853" s="3">
        <f t="shared" si="177"/>
        <v>0</v>
      </c>
      <c r="O4853" s="5"/>
      <c r="S4853" s="11"/>
    </row>
    <row r="4854" spans="1:19" customFormat="1" x14ac:dyDescent="0.45">
      <c r="A4854">
        <v>923827</v>
      </c>
      <c r="B4854" t="s">
        <v>25392</v>
      </c>
      <c r="C4854" t="s">
        <v>25393</v>
      </c>
      <c r="D4854">
        <v>17</v>
      </c>
      <c r="F4854" s="126"/>
      <c r="G4854" s="7">
        <v>0</v>
      </c>
      <c r="H4854" s="7">
        <v>0</v>
      </c>
      <c r="I4854" s="7">
        <v>0</v>
      </c>
      <c r="J4854" s="7">
        <v>0</v>
      </c>
      <c r="K4854" s="3">
        <f t="shared" si="176"/>
        <v>0</v>
      </c>
      <c r="L4854" s="3"/>
      <c r="M4854" s="3">
        <f t="shared" si="177"/>
        <v>0</v>
      </c>
      <c r="N4854" s="7"/>
      <c r="O4854" s="5"/>
      <c r="S4854" s="11"/>
    </row>
    <row r="4855" spans="1:19" customFormat="1" x14ac:dyDescent="0.45">
      <c r="A4855">
        <v>924279</v>
      </c>
      <c r="B4855" t="s">
        <v>25394</v>
      </c>
      <c r="C4855" t="s">
        <v>16331</v>
      </c>
      <c r="D4855">
        <v>1</v>
      </c>
      <c r="E4855" t="s">
        <v>16331</v>
      </c>
      <c r="F4855" s="126"/>
      <c r="G4855" s="7">
        <v>0</v>
      </c>
      <c r="H4855" s="7">
        <v>0</v>
      </c>
      <c r="I4855" s="7">
        <v>0</v>
      </c>
      <c r="J4855" s="7">
        <v>0</v>
      </c>
      <c r="K4855" s="3">
        <f t="shared" si="176"/>
        <v>0</v>
      </c>
      <c r="L4855" s="3"/>
      <c r="M4855" s="3">
        <f t="shared" si="177"/>
        <v>0</v>
      </c>
      <c r="O4855" s="5"/>
      <c r="S4855" s="11"/>
    </row>
    <row r="4856" spans="1:19" customFormat="1" x14ac:dyDescent="0.45">
      <c r="A4856">
        <v>924298</v>
      </c>
      <c r="B4856" t="s">
        <v>25395</v>
      </c>
      <c r="C4856" t="s">
        <v>25396</v>
      </c>
      <c r="D4856">
        <v>1</v>
      </c>
      <c r="F4856" s="126"/>
      <c r="G4856" s="7">
        <v>0</v>
      </c>
      <c r="H4856" s="7">
        <v>0</v>
      </c>
      <c r="I4856" s="7">
        <v>0</v>
      </c>
      <c r="J4856" s="7">
        <v>0</v>
      </c>
      <c r="K4856" s="3">
        <f t="shared" si="176"/>
        <v>0</v>
      </c>
      <c r="L4856" s="3"/>
      <c r="M4856" s="3">
        <f t="shared" si="177"/>
        <v>0</v>
      </c>
      <c r="O4856" s="5"/>
      <c r="S4856" s="11"/>
    </row>
    <row r="4857" spans="1:19" customFormat="1" x14ac:dyDescent="0.45">
      <c r="A4857">
        <v>924689</v>
      </c>
      <c r="B4857" t="s">
        <v>25397</v>
      </c>
      <c r="C4857" t="s">
        <v>25398</v>
      </c>
      <c r="D4857">
        <v>1</v>
      </c>
      <c r="F4857" s="126"/>
      <c r="G4857" s="7">
        <v>0</v>
      </c>
      <c r="H4857" s="7">
        <v>0</v>
      </c>
      <c r="I4857" s="7">
        <v>0</v>
      </c>
      <c r="J4857" s="7">
        <v>0</v>
      </c>
      <c r="K4857" s="3">
        <f t="shared" si="176"/>
        <v>0</v>
      </c>
      <c r="L4857" s="3"/>
      <c r="M4857" s="3">
        <f t="shared" si="177"/>
        <v>0</v>
      </c>
      <c r="O4857" s="5"/>
      <c r="S4857" s="11"/>
    </row>
    <row r="4858" spans="1:19" customFormat="1" x14ac:dyDescent="0.45">
      <c r="A4858">
        <v>924765</v>
      </c>
      <c r="B4858" t="s">
        <v>25399</v>
      </c>
      <c r="C4858" t="s">
        <v>25400</v>
      </c>
      <c r="D4858">
        <v>2</v>
      </c>
      <c r="F4858" s="126"/>
      <c r="G4858" s="7">
        <v>0</v>
      </c>
      <c r="H4858" s="7">
        <v>0</v>
      </c>
      <c r="I4858" s="7">
        <v>0</v>
      </c>
      <c r="J4858" s="7">
        <v>0</v>
      </c>
      <c r="K4858" s="3">
        <f t="shared" si="176"/>
        <v>0</v>
      </c>
      <c r="L4858" s="3"/>
      <c r="M4858" s="3">
        <f t="shared" si="177"/>
        <v>0</v>
      </c>
      <c r="O4858" s="5"/>
      <c r="S4858" s="11"/>
    </row>
    <row r="4859" spans="1:19" customFormat="1" x14ac:dyDescent="0.45">
      <c r="A4859">
        <v>924826</v>
      </c>
      <c r="B4859" t="s">
        <v>25401</v>
      </c>
      <c r="C4859" t="s">
        <v>25402</v>
      </c>
      <c r="D4859">
        <v>1</v>
      </c>
      <c r="F4859" s="126"/>
      <c r="G4859" s="7">
        <v>0</v>
      </c>
      <c r="H4859" s="7">
        <v>0</v>
      </c>
      <c r="I4859" s="7">
        <v>0</v>
      </c>
      <c r="J4859" s="7">
        <v>0</v>
      </c>
      <c r="K4859" s="3">
        <f t="shared" si="176"/>
        <v>0</v>
      </c>
      <c r="L4859" s="3"/>
      <c r="M4859" s="3">
        <f t="shared" si="177"/>
        <v>0</v>
      </c>
      <c r="O4859" s="5"/>
      <c r="S4859" s="11"/>
    </row>
    <row r="4860" spans="1:19" customFormat="1" x14ac:dyDescent="0.45">
      <c r="A4860">
        <v>924828</v>
      </c>
      <c r="B4860" t="s">
        <v>25403</v>
      </c>
      <c r="C4860" t="s">
        <v>25404</v>
      </c>
      <c r="D4860">
        <v>1</v>
      </c>
      <c r="F4860" s="126"/>
      <c r="G4860" s="3">
        <v>0</v>
      </c>
      <c r="H4860" s="3">
        <v>0</v>
      </c>
      <c r="I4860" s="3">
        <v>0</v>
      </c>
      <c r="J4860" s="3">
        <v>0</v>
      </c>
      <c r="K4860" s="3">
        <f t="shared" si="176"/>
        <v>0</v>
      </c>
      <c r="L4860" s="3"/>
      <c r="M4860" s="3">
        <f t="shared" si="177"/>
        <v>0</v>
      </c>
      <c r="O4860" s="5"/>
      <c r="S4860" s="11"/>
    </row>
    <row r="4861" spans="1:19" customFormat="1" x14ac:dyDescent="0.45">
      <c r="A4861">
        <v>924839</v>
      </c>
      <c r="B4861" t="s">
        <v>25405</v>
      </c>
      <c r="C4861" t="s">
        <v>25406</v>
      </c>
      <c r="D4861">
        <v>3</v>
      </c>
      <c r="F4861" s="126"/>
      <c r="G4861" s="7">
        <v>0</v>
      </c>
      <c r="H4861" s="7">
        <v>0</v>
      </c>
      <c r="I4861" s="7">
        <v>0</v>
      </c>
      <c r="J4861" s="7">
        <v>0</v>
      </c>
      <c r="K4861" s="3">
        <f t="shared" si="176"/>
        <v>0</v>
      </c>
      <c r="L4861" s="3"/>
      <c r="M4861" s="3">
        <f t="shared" si="177"/>
        <v>0</v>
      </c>
      <c r="O4861" s="5"/>
      <c r="S4861" s="11"/>
    </row>
    <row r="4862" spans="1:19" customFormat="1" x14ac:dyDescent="0.45">
      <c r="A4862">
        <v>924928</v>
      </c>
      <c r="B4862" t="s">
        <v>25407</v>
      </c>
      <c r="C4862" t="s">
        <v>25408</v>
      </c>
      <c r="D4862">
        <v>2</v>
      </c>
      <c r="F4862" s="126"/>
      <c r="G4862" s="7">
        <v>0</v>
      </c>
      <c r="H4862" s="7">
        <v>0</v>
      </c>
      <c r="I4862" s="7">
        <v>0</v>
      </c>
      <c r="J4862" s="7">
        <v>0</v>
      </c>
      <c r="K4862" s="3">
        <f t="shared" si="176"/>
        <v>0</v>
      </c>
      <c r="L4862" s="3"/>
      <c r="M4862" s="3">
        <f t="shared" si="177"/>
        <v>0</v>
      </c>
      <c r="N4862" s="7"/>
      <c r="O4862" s="5"/>
      <c r="S4862" s="11"/>
    </row>
    <row r="4863" spans="1:19" customFormat="1" x14ac:dyDescent="0.45">
      <c r="A4863">
        <v>924983</v>
      </c>
      <c r="B4863" t="s">
        <v>25409</v>
      </c>
      <c r="C4863" t="s">
        <v>16331</v>
      </c>
      <c r="D4863">
        <v>1</v>
      </c>
      <c r="E4863" t="s">
        <v>16331</v>
      </c>
      <c r="F4863" s="126"/>
      <c r="G4863" s="7">
        <v>0</v>
      </c>
      <c r="H4863" s="7">
        <v>0</v>
      </c>
      <c r="I4863" s="7">
        <v>0</v>
      </c>
      <c r="J4863" s="7">
        <v>0</v>
      </c>
      <c r="K4863" s="3">
        <f t="shared" si="176"/>
        <v>0</v>
      </c>
      <c r="L4863" s="3"/>
      <c r="M4863" s="3">
        <f t="shared" si="177"/>
        <v>0</v>
      </c>
      <c r="O4863" s="5"/>
      <c r="S4863" s="11"/>
    </row>
    <row r="4864" spans="1:19" customFormat="1" x14ac:dyDescent="0.45">
      <c r="A4864">
        <v>924987</v>
      </c>
      <c r="B4864" t="s">
        <v>25410</v>
      </c>
      <c r="C4864" t="s">
        <v>25411</v>
      </c>
      <c r="D4864">
        <v>2</v>
      </c>
      <c r="F4864" s="126"/>
      <c r="G4864" s="3">
        <v>0</v>
      </c>
      <c r="H4864" s="3">
        <v>0</v>
      </c>
      <c r="I4864" s="3">
        <v>0</v>
      </c>
      <c r="J4864" s="3">
        <v>0</v>
      </c>
      <c r="K4864" s="3">
        <f t="shared" si="176"/>
        <v>0</v>
      </c>
      <c r="L4864" s="3"/>
      <c r="M4864" s="3">
        <f t="shared" si="177"/>
        <v>0</v>
      </c>
      <c r="O4864" s="5"/>
      <c r="S4864" s="11"/>
    </row>
    <row r="4865" spans="1:19" customFormat="1" x14ac:dyDescent="0.45">
      <c r="A4865">
        <v>925053</v>
      </c>
      <c r="B4865" t="s">
        <v>25412</v>
      </c>
      <c r="C4865" t="s">
        <v>16331</v>
      </c>
      <c r="D4865">
        <v>1</v>
      </c>
      <c r="E4865" t="s">
        <v>16331</v>
      </c>
      <c r="F4865" s="126"/>
      <c r="G4865" s="7">
        <v>0</v>
      </c>
      <c r="H4865" s="7">
        <v>0</v>
      </c>
      <c r="I4865" s="7">
        <v>0</v>
      </c>
      <c r="J4865" s="7">
        <v>0</v>
      </c>
      <c r="K4865" s="3">
        <f t="shared" si="176"/>
        <v>0</v>
      </c>
      <c r="L4865" s="3"/>
      <c r="M4865" s="3">
        <f t="shared" si="177"/>
        <v>0</v>
      </c>
      <c r="O4865" s="5"/>
      <c r="S4865" s="11"/>
    </row>
    <row r="4866" spans="1:19" customFormat="1" x14ac:dyDescent="0.45">
      <c r="A4866">
        <v>925064</v>
      </c>
      <c r="B4866" t="s">
        <v>25413</v>
      </c>
      <c r="C4866" t="s">
        <v>25414</v>
      </c>
      <c r="D4866">
        <v>2</v>
      </c>
      <c r="F4866" s="126"/>
      <c r="G4866" s="3">
        <v>0</v>
      </c>
      <c r="H4866" s="3">
        <v>0</v>
      </c>
      <c r="I4866" s="3">
        <v>0</v>
      </c>
      <c r="J4866" s="3">
        <v>0</v>
      </c>
      <c r="K4866" s="3">
        <f t="shared" si="176"/>
        <v>0</v>
      </c>
      <c r="L4866" s="3"/>
      <c r="M4866" s="3">
        <f t="shared" si="177"/>
        <v>0</v>
      </c>
      <c r="O4866" s="5"/>
      <c r="S4866" s="11"/>
    </row>
    <row r="4867" spans="1:19" customFormat="1" x14ac:dyDescent="0.45">
      <c r="A4867">
        <v>925093</v>
      </c>
      <c r="B4867" t="s">
        <v>25415</v>
      </c>
      <c r="C4867" t="s">
        <v>25416</v>
      </c>
      <c r="D4867">
        <v>2</v>
      </c>
      <c r="F4867" s="126"/>
      <c r="G4867" s="7">
        <v>0</v>
      </c>
      <c r="H4867" s="7">
        <v>0</v>
      </c>
      <c r="I4867" s="7">
        <v>0</v>
      </c>
      <c r="J4867" s="7">
        <v>0</v>
      </c>
      <c r="K4867" s="3">
        <f t="shared" si="176"/>
        <v>0</v>
      </c>
      <c r="L4867" s="3"/>
      <c r="M4867" s="3">
        <f t="shared" si="177"/>
        <v>0</v>
      </c>
      <c r="O4867" s="5"/>
      <c r="S4867" s="11"/>
    </row>
    <row r="4868" spans="1:19" customFormat="1" x14ac:dyDescent="0.45">
      <c r="A4868">
        <v>925160</v>
      </c>
      <c r="B4868" t="s">
        <v>25417</v>
      </c>
      <c r="C4868" t="s">
        <v>16331</v>
      </c>
      <c r="D4868">
        <v>1</v>
      </c>
      <c r="E4868" t="s">
        <v>16331</v>
      </c>
      <c r="F4868" s="126"/>
      <c r="G4868" s="7">
        <v>0</v>
      </c>
      <c r="H4868" s="7">
        <v>0</v>
      </c>
      <c r="I4868" s="7">
        <v>0</v>
      </c>
      <c r="J4868" s="7">
        <v>0</v>
      </c>
      <c r="K4868" s="3">
        <f t="shared" si="176"/>
        <v>0</v>
      </c>
      <c r="L4868" s="3"/>
      <c r="M4868" s="3">
        <f t="shared" si="177"/>
        <v>0</v>
      </c>
      <c r="O4868" s="5"/>
      <c r="S4868" s="11"/>
    </row>
    <row r="4869" spans="1:19" customFormat="1" x14ac:dyDescent="0.45">
      <c r="A4869">
        <v>925203</v>
      </c>
      <c r="B4869" t="s">
        <v>25418</v>
      </c>
      <c r="C4869" t="s">
        <v>25419</v>
      </c>
      <c r="D4869">
        <v>1</v>
      </c>
      <c r="F4869" s="126"/>
      <c r="G4869" s="3">
        <v>0</v>
      </c>
      <c r="H4869" s="3">
        <v>0</v>
      </c>
      <c r="I4869" s="3">
        <v>0</v>
      </c>
      <c r="J4869" s="3">
        <v>0</v>
      </c>
      <c r="K4869" s="3">
        <f t="shared" si="176"/>
        <v>0</v>
      </c>
      <c r="L4869" s="3"/>
      <c r="M4869" s="3">
        <f t="shared" si="177"/>
        <v>0</v>
      </c>
      <c r="O4869" s="5"/>
      <c r="S4869" s="11"/>
    </row>
    <row r="4870" spans="1:19" customFormat="1" x14ac:dyDescent="0.45">
      <c r="A4870">
        <v>925231</v>
      </c>
      <c r="B4870" t="s">
        <v>25420</v>
      </c>
      <c r="C4870" t="s">
        <v>25421</v>
      </c>
      <c r="D4870">
        <v>0</v>
      </c>
      <c r="E4870" t="s">
        <v>16334</v>
      </c>
      <c r="F4870" s="126"/>
      <c r="G4870" s="3">
        <v>0</v>
      </c>
      <c r="H4870" s="3">
        <v>0</v>
      </c>
      <c r="I4870" s="3">
        <v>0</v>
      </c>
      <c r="J4870" s="3">
        <v>0</v>
      </c>
      <c r="K4870" s="3">
        <f t="shared" si="176"/>
        <v>0</v>
      </c>
      <c r="L4870" s="3"/>
      <c r="M4870" s="3">
        <f t="shared" si="177"/>
        <v>0</v>
      </c>
      <c r="O4870" s="5"/>
      <c r="S4870" s="11"/>
    </row>
    <row r="4871" spans="1:19" customFormat="1" x14ac:dyDescent="0.45">
      <c r="A4871">
        <v>925583</v>
      </c>
      <c r="B4871" t="s">
        <v>25422</v>
      </c>
      <c r="C4871" s="2" t="s">
        <v>25423</v>
      </c>
      <c r="D4871">
        <v>1</v>
      </c>
      <c r="F4871" s="126"/>
      <c r="G4871" s="3">
        <v>0</v>
      </c>
      <c r="H4871" s="3">
        <v>0</v>
      </c>
      <c r="I4871" s="3">
        <v>0</v>
      </c>
      <c r="J4871" s="3">
        <v>0</v>
      </c>
      <c r="K4871" s="3">
        <f t="shared" si="176"/>
        <v>0</v>
      </c>
      <c r="L4871" s="3"/>
      <c r="M4871" s="3">
        <f t="shared" si="177"/>
        <v>0</v>
      </c>
      <c r="O4871" s="5"/>
      <c r="S4871" s="11"/>
    </row>
    <row r="4872" spans="1:19" customFormat="1" x14ac:dyDescent="0.45">
      <c r="A4872">
        <v>925667</v>
      </c>
      <c r="B4872" t="s">
        <v>25424</v>
      </c>
      <c r="C4872" t="s">
        <v>25425</v>
      </c>
      <c r="D4872">
        <v>1</v>
      </c>
      <c r="F4872" s="126"/>
      <c r="G4872" s="7">
        <v>0</v>
      </c>
      <c r="H4872" s="7">
        <v>0</v>
      </c>
      <c r="I4872" s="7">
        <v>0</v>
      </c>
      <c r="J4872" s="7">
        <v>0</v>
      </c>
      <c r="K4872" s="3">
        <f t="shared" si="176"/>
        <v>0</v>
      </c>
      <c r="L4872" s="3"/>
      <c r="M4872" s="3">
        <f t="shared" si="177"/>
        <v>0</v>
      </c>
      <c r="O4872" s="5"/>
      <c r="S4872" s="11"/>
    </row>
    <row r="4873" spans="1:19" customFormat="1" x14ac:dyDescent="0.45">
      <c r="A4873">
        <v>925725</v>
      </c>
      <c r="B4873" t="s">
        <v>25426</v>
      </c>
      <c r="C4873" t="s">
        <v>16331</v>
      </c>
      <c r="D4873">
        <v>1</v>
      </c>
      <c r="E4873" t="s">
        <v>16331</v>
      </c>
      <c r="F4873" s="126"/>
      <c r="G4873" s="7">
        <v>0</v>
      </c>
      <c r="H4873" s="7">
        <v>0</v>
      </c>
      <c r="I4873" s="7">
        <v>0</v>
      </c>
      <c r="J4873" s="7">
        <v>0</v>
      </c>
      <c r="K4873" s="3">
        <f t="shared" si="176"/>
        <v>0</v>
      </c>
      <c r="L4873" s="3"/>
      <c r="M4873" s="3">
        <f t="shared" si="177"/>
        <v>0</v>
      </c>
      <c r="O4873" s="5"/>
      <c r="S4873" s="11"/>
    </row>
    <row r="4874" spans="1:19" customFormat="1" x14ac:dyDescent="0.45">
      <c r="A4874">
        <v>925792</v>
      </c>
      <c r="B4874" t="s">
        <v>25427</v>
      </c>
      <c r="C4874" t="s">
        <v>25428</v>
      </c>
      <c r="D4874">
        <v>1</v>
      </c>
      <c r="F4874" s="126"/>
      <c r="G4874" s="3">
        <v>0</v>
      </c>
      <c r="H4874" s="3">
        <v>0</v>
      </c>
      <c r="I4874" s="3">
        <v>0</v>
      </c>
      <c r="J4874" s="3">
        <v>0</v>
      </c>
      <c r="K4874" s="3">
        <f t="shared" si="176"/>
        <v>0</v>
      </c>
      <c r="L4874" s="3"/>
      <c r="M4874" s="3">
        <f t="shared" si="177"/>
        <v>0</v>
      </c>
      <c r="O4874" s="5"/>
      <c r="S4874" s="11"/>
    </row>
    <row r="4875" spans="1:19" customFormat="1" x14ac:dyDescent="0.45">
      <c r="A4875">
        <v>925897</v>
      </c>
      <c r="B4875" t="s">
        <v>25429</v>
      </c>
      <c r="C4875" t="s">
        <v>16331</v>
      </c>
      <c r="D4875">
        <v>1</v>
      </c>
      <c r="E4875" t="s">
        <v>16331</v>
      </c>
      <c r="F4875" s="126"/>
      <c r="K4875" s="3">
        <f t="shared" si="176"/>
        <v>0</v>
      </c>
      <c r="L4875" s="3"/>
      <c r="M4875" s="3">
        <f t="shared" si="177"/>
        <v>0</v>
      </c>
      <c r="O4875" s="5"/>
      <c r="S4875" s="11"/>
    </row>
    <row r="4876" spans="1:19" customFormat="1" x14ac:dyDescent="0.45">
      <c r="A4876">
        <v>926034</v>
      </c>
      <c r="B4876" t="s">
        <v>25430</v>
      </c>
      <c r="C4876" t="s">
        <v>16331</v>
      </c>
      <c r="D4876">
        <v>1</v>
      </c>
      <c r="E4876" t="s">
        <v>16331</v>
      </c>
      <c r="F4876" s="126"/>
      <c r="G4876" s="7">
        <v>0</v>
      </c>
      <c r="H4876" s="7">
        <v>0</v>
      </c>
      <c r="I4876" s="7">
        <v>0</v>
      </c>
      <c r="J4876" s="7">
        <v>0</v>
      </c>
      <c r="K4876" s="3">
        <f t="shared" si="176"/>
        <v>0</v>
      </c>
      <c r="L4876" s="3"/>
      <c r="M4876" s="3">
        <f t="shared" si="177"/>
        <v>0</v>
      </c>
      <c r="O4876" s="5"/>
      <c r="S4876" s="11"/>
    </row>
    <row r="4877" spans="1:19" customFormat="1" x14ac:dyDescent="0.45">
      <c r="A4877">
        <v>926137</v>
      </c>
      <c r="B4877" t="s">
        <v>25431</v>
      </c>
      <c r="C4877" t="s">
        <v>25432</v>
      </c>
      <c r="D4877">
        <v>8</v>
      </c>
      <c r="F4877" s="126"/>
      <c r="G4877" s="3"/>
      <c r="H4877" s="3"/>
      <c r="I4877" s="3"/>
      <c r="J4877" s="3"/>
      <c r="K4877" s="3">
        <f t="shared" si="176"/>
        <v>0</v>
      </c>
      <c r="L4877" s="3"/>
      <c r="M4877" s="3">
        <f t="shared" si="177"/>
        <v>0</v>
      </c>
      <c r="O4877" s="5"/>
      <c r="S4877" s="11"/>
    </row>
    <row r="4878" spans="1:19" customFormat="1" x14ac:dyDescent="0.45">
      <c r="A4878">
        <v>926354</v>
      </c>
      <c r="B4878" t="s">
        <v>25433</v>
      </c>
      <c r="C4878" t="s">
        <v>16331</v>
      </c>
      <c r="D4878">
        <v>1</v>
      </c>
      <c r="E4878" t="s">
        <v>16331</v>
      </c>
      <c r="F4878" s="126"/>
      <c r="G4878" s="7">
        <v>0</v>
      </c>
      <c r="H4878" s="7">
        <v>0</v>
      </c>
      <c r="I4878" s="7">
        <v>0</v>
      </c>
      <c r="J4878" s="7">
        <v>0</v>
      </c>
      <c r="K4878" s="3">
        <f t="shared" si="176"/>
        <v>0</v>
      </c>
      <c r="L4878" s="3"/>
      <c r="M4878" s="3">
        <f t="shared" si="177"/>
        <v>0</v>
      </c>
      <c r="O4878" s="5"/>
      <c r="S4878" s="11"/>
    </row>
    <row r="4879" spans="1:19" customFormat="1" x14ac:dyDescent="0.45">
      <c r="A4879">
        <v>926368</v>
      </c>
      <c r="B4879" t="s">
        <v>25434</v>
      </c>
      <c r="C4879" t="s">
        <v>16331</v>
      </c>
      <c r="D4879">
        <v>1</v>
      </c>
      <c r="E4879" t="s">
        <v>16331</v>
      </c>
      <c r="F4879" s="126"/>
      <c r="G4879" s="7">
        <v>0</v>
      </c>
      <c r="H4879" s="7">
        <v>0</v>
      </c>
      <c r="I4879" s="7">
        <v>0</v>
      </c>
      <c r="J4879" s="7">
        <v>0</v>
      </c>
      <c r="K4879" s="3">
        <f t="shared" si="176"/>
        <v>0</v>
      </c>
      <c r="L4879" s="3"/>
      <c r="M4879" s="3">
        <f t="shared" si="177"/>
        <v>0</v>
      </c>
      <c r="N4879" s="7"/>
      <c r="O4879" s="5"/>
      <c r="S4879" s="11"/>
    </row>
    <row r="4880" spans="1:19" customFormat="1" x14ac:dyDescent="0.45">
      <c r="A4880">
        <v>926565</v>
      </c>
      <c r="B4880" t="s">
        <v>25435</v>
      </c>
      <c r="C4880" s="2" t="s">
        <v>25436</v>
      </c>
      <c r="D4880">
        <v>1</v>
      </c>
      <c r="F4880" s="126"/>
      <c r="G4880" s="3">
        <v>0</v>
      </c>
      <c r="H4880" s="3">
        <v>0</v>
      </c>
      <c r="I4880" s="3">
        <v>0</v>
      </c>
      <c r="J4880" s="3">
        <v>0</v>
      </c>
      <c r="K4880" s="3">
        <f t="shared" si="176"/>
        <v>0</v>
      </c>
      <c r="L4880" s="3"/>
      <c r="M4880" s="3">
        <f t="shared" si="177"/>
        <v>0</v>
      </c>
      <c r="O4880" s="5"/>
      <c r="S4880" s="11"/>
    </row>
    <row r="4881" spans="1:22" customFormat="1" x14ac:dyDescent="0.45">
      <c r="A4881">
        <v>926629</v>
      </c>
      <c r="B4881" t="s">
        <v>25437</v>
      </c>
      <c r="C4881" t="s">
        <v>25438</v>
      </c>
      <c r="D4881">
        <v>1</v>
      </c>
      <c r="F4881" s="126"/>
      <c r="G4881" s="3">
        <v>0</v>
      </c>
      <c r="H4881" s="3">
        <v>0</v>
      </c>
      <c r="I4881" s="3">
        <v>0</v>
      </c>
      <c r="J4881" s="3">
        <v>0</v>
      </c>
      <c r="K4881" s="3">
        <f t="shared" si="176"/>
        <v>0</v>
      </c>
      <c r="L4881" s="3"/>
      <c r="M4881" s="3">
        <f t="shared" si="177"/>
        <v>0</v>
      </c>
      <c r="O4881" s="5"/>
      <c r="S4881" s="11"/>
    </row>
    <row r="4882" spans="1:22" customFormat="1" x14ac:dyDescent="0.45">
      <c r="A4882">
        <v>926756</v>
      </c>
      <c r="B4882" t="s">
        <v>25439</v>
      </c>
      <c r="C4882" t="s">
        <v>16331</v>
      </c>
      <c r="D4882">
        <v>1</v>
      </c>
      <c r="E4882" t="s">
        <v>16331</v>
      </c>
      <c r="F4882" s="126"/>
      <c r="G4882" s="7">
        <v>0</v>
      </c>
      <c r="H4882" s="7">
        <v>0</v>
      </c>
      <c r="I4882" s="7">
        <v>0</v>
      </c>
      <c r="J4882" s="7">
        <v>0</v>
      </c>
      <c r="K4882" s="3">
        <f t="shared" si="176"/>
        <v>0</v>
      </c>
      <c r="L4882" s="3"/>
      <c r="M4882" s="3">
        <f t="shared" si="177"/>
        <v>0</v>
      </c>
      <c r="O4882" s="5"/>
      <c r="S4882" s="11"/>
    </row>
    <row r="4883" spans="1:22" customFormat="1" x14ac:dyDescent="0.45">
      <c r="A4883">
        <v>926961</v>
      </c>
      <c r="B4883" t="s">
        <v>25440</v>
      </c>
      <c r="C4883" t="s">
        <v>25441</v>
      </c>
      <c r="D4883">
        <v>2</v>
      </c>
      <c r="E4883" t="s">
        <v>16561</v>
      </c>
      <c r="F4883" s="126"/>
      <c r="G4883" s="7">
        <v>0</v>
      </c>
      <c r="H4883" s="7">
        <v>0</v>
      </c>
      <c r="I4883" s="7">
        <v>0</v>
      </c>
      <c r="J4883" s="7">
        <v>0</v>
      </c>
      <c r="K4883" s="3">
        <f t="shared" si="176"/>
        <v>0</v>
      </c>
      <c r="L4883" s="3"/>
      <c r="M4883" s="3">
        <f t="shared" si="177"/>
        <v>0</v>
      </c>
      <c r="N4883" s="7"/>
      <c r="O4883" s="5"/>
      <c r="S4883" s="11"/>
    </row>
    <row r="4884" spans="1:22" customFormat="1" x14ac:dyDescent="0.45">
      <c r="A4884">
        <v>927062</v>
      </c>
      <c r="B4884" t="s">
        <v>25442</v>
      </c>
      <c r="C4884" t="s">
        <v>16331</v>
      </c>
      <c r="D4884">
        <v>2</v>
      </c>
      <c r="E4884" t="s">
        <v>16331</v>
      </c>
      <c r="F4884" s="126"/>
      <c r="G4884" s="7">
        <v>0</v>
      </c>
      <c r="H4884" s="7">
        <v>0</v>
      </c>
      <c r="I4884" s="7">
        <v>0</v>
      </c>
      <c r="J4884" s="7">
        <v>0</v>
      </c>
      <c r="K4884" s="3">
        <f t="shared" si="176"/>
        <v>0</v>
      </c>
      <c r="L4884" s="3"/>
      <c r="M4884" s="3">
        <f t="shared" si="177"/>
        <v>0</v>
      </c>
      <c r="O4884" s="5"/>
      <c r="S4884" s="11"/>
    </row>
    <row r="4885" spans="1:22" customFormat="1" x14ac:dyDescent="0.45">
      <c r="A4885">
        <v>927531</v>
      </c>
      <c r="B4885" t="s">
        <v>25443</v>
      </c>
      <c r="C4885" t="s">
        <v>25444</v>
      </c>
      <c r="D4885">
        <v>2</v>
      </c>
      <c r="F4885" s="126"/>
      <c r="G4885" s="7">
        <v>0</v>
      </c>
      <c r="H4885" s="3">
        <v>0</v>
      </c>
      <c r="I4885" s="3">
        <v>0</v>
      </c>
      <c r="J4885">
        <v>0</v>
      </c>
      <c r="K4885" s="3">
        <f t="shared" si="176"/>
        <v>0</v>
      </c>
      <c r="L4885" s="3"/>
      <c r="M4885" s="3">
        <f t="shared" si="177"/>
        <v>0</v>
      </c>
      <c r="O4885" s="5"/>
      <c r="S4885" s="11"/>
    </row>
    <row r="4886" spans="1:22" customFormat="1" x14ac:dyDescent="0.45">
      <c r="A4886">
        <v>927711</v>
      </c>
      <c r="B4886" t="s">
        <v>25445</v>
      </c>
      <c r="C4886" t="s">
        <v>16331</v>
      </c>
      <c r="D4886">
        <v>1</v>
      </c>
      <c r="E4886" t="s">
        <v>16331</v>
      </c>
      <c r="F4886" s="126"/>
      <c r="G4886" s="7">
        <v>0</v>
      </c>
      <c r="H4886" s="7">
        <v>0</v>
      </c>
      <c r="I4886" s="7">
        <v>0</v>
      </c>
      <c r="J4886" s="7">
        <v>0</v>
      </c>
      <c r="K4886" s="3">
        <f t="shared" si="176"/>
        <v>0</v>
      </c>
      <c r="L4886" s="3"/>
      <c r="M4886" s="3">
        <f t="shared" si="177"/>
        <v>0</v>
      </c>
      <c r="O4886" s="5"/>
      <c r="S4886" s="11"/>
    </row>
    <row r="4887" spans="1:22" customFormat="1" x14ac:dyDescent="0.45">
      <c r="A4887">
        <v>927752</v>
      </c>
      <c r="B4887" t="s">
        <v>25446</v>
      </c>
      <c r="C4887" s="2" t="s">
        <v>25447</v>
      </c>
      <c r="D4887">
        <v>2</v>
      </c>
      <c r="F4887" s="126"/>
      <c r="G4887" s="7">
        <v>0</v>
      </c>
      <c r="H4887" s="7">
        <v>0</v>
      </c>
      <c r="I4887" s="7">
        <v>0</v>
      </c>
      <c r="J4887" s="7">
        <v>0</v>
      </c>
      <c r="K4887" s="3">
        <f t="shared" si="176"/>
        <v>0</v>
      </c>
      <c r="L4887" s="3"/>
      <c r="M4887" s="3">
        <f t="shared" si="177"/>
        <v>0</v>
      </c>
      <c r="O4887" s="5"/>
      <c r="S4887" s="11"/>
    </row>
    <row r="4888" spans="1:22" customFormat="1" x14ac:dyDescent="0.45">
      <c r="A4888">
        <v>927830</v>
      </c>
      <c r="B4888" t="s">
        <v>25448</v>
      </c>
      <c r="C4888" s="2" t="s">
        <v>25449</v>
      </c>
      <c r="D4888">
        <v>1</v>
      </c>
      <c r="F4888" s="126"/>
      <c r="G4888" s="3">
        <v>0</v>
      </c>
      <c r="H4888" s="3">
        <v>0</v>
      </c>
      <c r="I4888" s="3">
        <v>0</v>
      </c>
      <c r="J4888" s="3">
        <v>0</v>
      </c>
      <c r="K4888" s="3">
        <f t="shared" si="176"/>
        <v>0</v>
      </c>
      <c r="L4888" s="3"/>
      <c r="M4888" s="3">
        <f t="shared" si="177"/>
        <v>0</v>
      </c>
      <c r="O4888" s="5"/>
      <c r="S4888" s="11"/>
    </row>
    <row r="4889" spans="1:22" customFormat="1" x14ac:dyDescent="0.45">
      <c r="A4889">
        <v>927912</v>
      </c>
      <c r="B4889" t="s">
        <v>25450</v>
      </c>
      <c r="C4889" t="s">
        <v>16331</v>
      </c>
      <c r="D4889">
        <v>1</v>
      </c>
      <c r="E4889" t="s">
        <v>16331</v>
      </c>
      <c r="F4889" s="126"/>
      <c r="G4889" s="7">
        <v>0</v>
      </c>
      <c r="H4889" s="7">
        <v>0</v>
      </c>
      <c r="I4889" s="7">
        <v>0</v>
      </c>
      <c r="J4889" s="7">
        <v>0</v>
      </c>
      <c r="K4889" s="3">
        <f t="shared" si="176"/>
        <v>0</v>
      </c>
      <c r="L4889" s="3"/>
      <c r="M4889" s="3">
        <f t="shared" si="177"/>
        <v>0</v>
      </c>
      <c r="O4889" s="5"/>
      <c r="S4889" s="11"/>
    </row>
    <row r="4890" spans="1:22" customFormat="1" x14ac:dyDescent="0.45">
      <c r="A4890">
        <v>927943</v>
      </c>
      <c r="B4890" t="s">
        <v>25451</v>
      </c>
      <c r="C4890" t="s">
        <v>25452</v>
      </c>
      <c r="D4890">
        <v>2</v>
      </c>
      <c r="F4890" s="126"/>
      <c r="K4890" s="3">
        <f t="shared" si="176"/>
        <v>0</v>
      </c>
      <c r="L4890" s="3"/>
      <c r="M4890" s="3">
        <f t="shared" si="177"/>
        <v>0</v>
      </c>
      <c r="O4890" s="5"/>
      <c r="S4890" s="11"/>
    </row>
    <row r="4891" spans="1:22" customFormat="1" x14ac:dyDescent="0.45">
      <c r="A4891">
        <v>927966</v>
      </c>
      <c r="B4891" t="s">
        <v>25453</v>
      </c>
      <c r="C4891" t="s">
        <v>25454</v>
      </c>
      <c r="D4891">
        <v>3</v>
      </c>
      <c r="F4891" s="126"/>
      <c r="G4891" s="7">
        <v>0</v>
      </c>
      <c r="H4891" s="7">
        <v>0</v>
      </c>
      <c r="I4891" s="7">
        <v>0</v>
      </c>
      <c r="J4891" s="7">
        <v>0</v>
      </c>
      <c r="K4891" s="3">
        <f t="shared" si="176"/>
        <v>0</v>
      </c>
      <c r="L4891" s="3"/>
      <c r="M4891" s="3">
        <f t="shared" si="177"/>
        <v>0</v>
      </c>
      <c r="N4891" s="7"/>
      <c r="O4891" s="5"/>
      <c r="S4891" s="11"/>
    </row>
    <row r="4892" spans="1:22" customFormat="1" x14ac:dyDescent="0.45">
      <c r="A4892">
        <v>928132</v>
      </c>
      <c r="B4892" t="s">
        <v>25455</v>
      </c>
      <c r="C4892" t="s">
        <v>25456</v>
      </c>
      <c r="D4892">
        <v>4</v>
      </c>
      <c r="F4892" s="126"/>
      <c r="G4892" s="7">
        <v>0</v>
      </c>
      <c r="H4892" s="7">
        <v>0</v>
      </c>
      <c r="I4892" s="7">
        <v>0</v>
      </c>
      <c r="J4892" s="7">
        <v>0</v>
      </c>
      <c r="K4892" s="3">
        <f t="shared" si="176"/>
        <v>0</v>
      </c>
      <c r="L4892" s="3"/>
      <c r="M4892" s="3">
        <f t="shared" si="177"/>
        <v>0</v>
      </c>
      <c r="N4892" s="7"/>
      <c r="O4892" s="5"/>
      <c r="S4892" s="11"/>
    </row>
    <row r="4893" spans="1:22" x14ac:dyDescent="0.45">
      <c r="A4893" s="124">
        <v>115235</v>
      </c>
      <c r="B4893" s="124" t="s">
        <v>25457</v>
      </c>
      <c r="C4893" s="125" t="s">
        <v>25458</v>
      </c>
      <c r="D4893" s="124">
        <v>39</v>
      </c>
      <c r="E4893" s="124" t="s">
        <v>16417</v>
      </c>
      <c r="F4893" s="126">
        <v>5.4999999999999997E-3</v>
      </c>
      <c r="G4893" s="126">
        <v>2.5000000000000001E-2</v>
      </c>
      <c r="H4893" s="135">
        <v>0</v>
      </c>
      <c r="I4893" s="127">
        <v>0</v>
      </c>
      <c r="J4893" s="127">
        <v>0</v>
      </c>
      <c r="K4893" s="126">
        <f t="shared" si="176"/>
        <v>2.5000000000000001E-2</v>
      </c>
      <c r="L4893" s="9"/>
      <c r="M4893" s="126">
        <f t="shared" si="177"/>
        <v>3.0499999999999999E-2</v>
      </c>
      <c r="N4893" s="124" t="s">
        <v>25459</v>
      </c>
      <c r="O4893" s="125" t="s">
        <v>25460</v>
      </c>
      <c r="P4893" s="125" t="s">
        <v>25461</v>
      </c>
      <c r="Q4893" s="130">
        <v>20860775</v>
      </c>
      <c r="R4893" s="130" t="s">
        <v>16</v>
      </c>
      <c r="S4893" s="130">
        <v>13151141</v>
      </c>
      <c r="T4893" s="129">
        <f>S4893/Q4893</f>
        <v>0.63042437301586352</v>
      </c>
      <c r="U4893" s="130"/>
      <c r="V4893" s="125" t="s">
        <v>25462</v>
      </c>
    </row>
    <row r="4894" spans="1:22" customFormat="1" x14ac:dyDescent="0.45">
      <c r="A4894">
        <v>928734</v>
      </c>
      <c r="B4894" t="s">
        <v>25463</v>
      </c>
      <c r="C4894" t="s">
        <v>25464</v>
      </c>
      <c r="D4894">
        <v>1</v>
      </c>
      <c r="F4894" s="126"/>
      <c r="G4894" s="3">
        <v>0</v>
      </c>
      <c r="H4894" s="3">
        <v>0</v>
      </c>
      <c r="I4894" s="3">
        <v>0</v>
      </c>
      <c r="J4894" s="3">
        <v>0</v>
      </c>
      <c r="K4894" s="3">
        <f t="shared" si="176"/>
        <v>0</v>
      </c>
      <c r="L4894" s="3"/>
      <c r="M4894" s="3">
        <f t="shared" si="177"/>
        <v>0</v>
      </c>
      <c r="O4894" s="5"/>
      <c r="S4894" s="11"/>
    </row>
    <row r="4895" spans="1:22" customFormat="1" x14ac:dyDescent="0.45">
      <c r="A4895">
        <v>928771</v>
      </c>
      <c r="B4895" t="s">
        <v>25465</v>
      </c>
      <c r="C4895" t="s">
        <v>16331</v>
      </c>
      <c r="D4895">
        <v>4</v>
      </c>
      <c r="E4895" t="s">
        <v>16331</v>
      </c>
      <c r="F4895" s="126"/>
      <c r="G4895" s="7">
        <v>0</v>
      </c>
      <c r="H4895" s="7">
        <v>0</v>
      </c>
      <c r="I4895" s="7">
        <v>0</v>
      </c>
      <c r="J4895" s="7">
        <v>0</v>
      </c>
      <c r="K4895" s="3">
        <f t="shared" si="176"/>
        <v>0</v>
      </c>
      <c r="L4895" s="3"/>
      <c r="M4895" s="3">
        <f t="shared" si="177"/>
        <v>0</v>
      </c>
      <c r="O4895" s="5"/>
      <c r="S4895" s="11"/>
    </row>
    <row r="4896" spans="1:22" customFormat="1" x14ac:dyDescent="0.45">
      <c r="A4896">
        <v>928795</v>
      </c>
      <c r="B4896" t="s">
        <v>25466</v>
      </c>
      <c r="C4896" t="s">
        <v>25467</v>
      </c>
      <c r="D4896">
        <v>3</v>
      </c>
      <c r="F4896" s="126"/>
      <c r="G4896" s="3">
        <v>0</v>
      </c>
      <c r="H4896" s="3">
        <v>0</v>
      </c>
      <c r="I4896" s="3">
        <v>0</v>
      </c>
      <c r="J4896" s="3">
        <v>0</v>
      </c>
      <c r="K4896" s="3">
        <f t="shared" si="176"/>
        <v>0</v>
      </c>
      <c r="L4896" s="3"/>
      <c r="M4896" s="3">
        <f t="shared" si="177"/>
        <v>0</v>
      </c>
      <c r="O4896" s="5"/>
      <c r="S4896" s="11"/>
    </row>
    <row r="4897" spans="1:22" customFormat="1" x14ac:dyDescent="0.45">
      <c r="A4897">
        <v>928946</v>
      </c>
      <c r="B4897" t="s">
        <v>25468</v>
      </c>
      <c r="C4897" t="s">
        <v>16331</v>
      </c>
      <c r="D4897">
        <v>2</v>
      </c>
      <c r="E4897" t="s">
        <v>16331</v>
      </c>
      <c r="F4897" s="126"/>
      <c r="G4897" s="7">
        <v>0</v>
      </c>
      <c r="H4897" s="7">
        <v>0</v>
      </c>
      <c r="I4897" s="7">
        <v>0</v>
      </c>
      <c r="J4897" s="7">
        <v>0</v>
      </c>
      <c r="K4897" s="3">
        <f t="shared" si="176"/>
        <v>0</v>
      </c>
      <c r="L4897" s="3"/>
      <c r="M4897" s="3">
        <f t="shared" si="177"/>
        <v>0</v>
      </c>
      <c r="O4897" s="5"/>
      <c r="S4897" s="11"/>
    </row>
    <row r="4898" spans="1:22" customFormat="1" x14ac:dyDescent="0.45">
      <c r="A4898">
        <v>928949</v>
      </c>
      <c r="B4898" t="s">
        <v>25469</v>
      </c>
      <c r="C4898" t="s">
        <v>16331</v>
      </c>
      <c r="D4898">
        <v>1</v>
      </c>
      <c r="E4898" t="s">
        <v>16331</v>
      </c>
      <c r="F4898" s="126"/>
      <c r="K4898" s="3">
        <f t="shared" si="176"/>
        <v>0</v>
      </c>
      <c r="L4898" s="3"/>
      <c r="M4898" s="3">
        <f t="shared" si="177"/>
        <v>0</v>
      </c>
      <c r="O4898" s="5"/>
      <c r="S4898" s="11"/>
    </row>
    <row r="4899" spans="1:22" customFormat="1" x14ac:dyDescent="0.45">
      <c r="A4899">
        <v>929247</v>
      </c>
      <c r="B4899" t="s">
        <v>25470</v>
      </c>
      <c r="C4899" t="s">
        <v>16331</v>
      </c>
      <c r="D4899">
        <v>1</v>
      </c>
      <c r="E4899" t="s">
        <v>16331</v>
      </c>
      <c r="F4899" s="126"/>
      <c r="K4899" s="3">
        <f t="shared" si="176"/>
        <v>0</v>
      </c>
      <c r="L4899" s="3"/>
      <c r="M4899" s="3">
        <f t="shared" si="177"/>
        <v>0</v>
      </c>
      <c r="O4899" s="5"/>
      <c r="S4899" s="11"/>
    </row>
    <row r="4900" spans="1:22" x14ac:dyDescent="0.45">
      <c r="A4900" s="124">
        <v>116316</v>
      </c>
      <c r="B4900" s="124" t="s">
        <v>25471</v>
      </c>
      <c r="C4900" s="124" t="s">
        <v>25472</v>
      </c>
      <c r="D4900" s="124">
        <v>476</v>
      </c>
      <c r="E4900" s="124" t="s">
        <v>16417</v>
      </c>
      <c r="F4900" s="126">
        <v>5.4999999999999997E-3</v>
      </c>
      <c r="G4900" s="126">
        <v>2.5000000000000001E-2</v>
      </c>
      <c r="H4900" s="135">
        <v>0</v>
      </c>
      <c r="I4900" s="127">
        <v>0</v>
      </c>
      <c r="J4900" s="127">
        <v>0</v>
      </c>
      <c r="K4900" s="126">
        <f t="shared" si="176"/>
        <v>2.5000000000000001E-2</v>
      </c>
      <c r="L4900" s="3"/>
      <c r="M4900" s="126">
        <f t="shared" si="177"/>
        <v>3.0499999999999999E-2</v>
      </c>
      <c r="N4900" s="135"/>
      <c r="O4900" s="125" t="s">
        <v>25460</v>
      </c>
      <c r="P4900" s="125" t="s">
        <v>25461</v>
      </c>
      <c r="Q4900" s="130">
        <v>3017731000</v>
      </c>
      <c r="R4900" s="130" t="s">
        <v>16</v>
      </c>
      <c r="S4900" s="130">
        <v>405212000</v>
      </c>
      <c r="T4900" s="129">
        <f>S4900/Q4900</f>
        <v>0.13427704457421819</v>
      </c>
      <c r="U4900" s="130"/>
      <c r="V4900" s="125" t="s">
        <v>25473</v>
      </c>
    </row>
    <row r="4901" spans="1:22" customFormat="1" x14ac:dyDescent="0.45">
      <c r="A4901">
        <v>929419</v>
      </c>
      <c r="B4901" t="s">
        <v>25474</v>
      </c>
      <c r="C4901" t="s">
        <v>16331</v>
      </c>
      <c r="D4901">
        <v>2</v>
      </c>
      <c r="E4901" t="s">
        <v>16331</v>
      </c>
      <c r="F4901" s="126"/>
      <c r="K4901" s="3">
        <f t="shared" si="176"/>
        <v>0</v>
      </c>
      <c r="L4901" s="3"/>
      <c r="M4901" s="3">
        <f t="shared" si="177"/>
        <v>0</v>
      </c>
      <c r="O4901" s="5"/>
      <c r="S4901" s="11"/>
    </row>
    <row r="4902" spans="1:22" customFormat="1" x14ac:dyDescent="0.45">
      <c r="A4902">
        <v>929508</v>
      </c>
      <c r="B4902" t="s">
        <v>25475</v>
      </c>
      <c r="C4902" t="s">
        <v>16331</v>
      </c>
      <c r="D4902">
        <v>1</v>
      </c>
      <c r="E4902" t="s">
        <v>16331</v>
      </c>
      <c r="F4902" s="126"/>
      <c r="G4902" s="7">
        <v>0</v>
      </c>
      <c r="H4902" s="7">
        <v>0</v>
      </c>
      <c r="I4902" s="7">
        <v>0</v>
      </c>
      <c r="J4902" s="7">
        <v>0</v>
      </c>
      <c r="K4902" s="3">
        <f t="shared" si="176"/>
        <v>0</v>
      </c>
      <c r="L4902" s="3"/>
      <c r="M4902" s="3">
        <f t="shared" si="177"/>
        <v>0</v>
      </c>
      <c r="O4902" s="5"/>
      <c r="S4902" s="11"/>
    </row>
    <row r="4903" spans="1:22" customFormat="1" x14ac:dyDescent="0.45">
      <c r="A4903">
        <v>929577</v>
      </c>
      <c r="B4903" t="s">
        <v>25476</v>
      </c>
      <c r="C4903" t="s">
        <v>25477</v>
      </c>
      <c r="D4903">
        <v>1</v>
      </c>
      <c r="F4903" s="126"/>
      <c r="G4903" s="3">
        <v>0</v>
      </c>
      <c r="H4903" s="3">
        <v>0</v>
      </c>
      <c r="I4903" s="3">
        <v>0</v>
      </c>
      <c r="J4903" s="3">
        <v>0</v>
      </c>
      <c r="K4903" s="3">
        <f t="shared" si="176"/>
        <v>0</v>
      </c>
      <c r="L4903" s="3"/>
      <c r="M4903" s="3">
        <f t="shared" si="177"/>
        <v>0</v>
      </c>
      <c r="O4903" s="5"/>
      <c r="S4903" s="11"/>
    </row>
    <row r="4904" spans="1:22" customFormat="1" x14ac:dyDescent="0.45">
      <c r="A4904">
        <v>929578</v>
      </c>
      <c r="B4904" t="s">
        <v>25478</v>
      </c>
      <c r="C4904" t="s">
        <v>25479</v>
      </c>
      <c r="D4904">
        <v>4</v>
      </c>
      <c r="F4904" s="126"/>
      <c r="G4904" s="3">
        <v>0</v>
      </c>
      <c r="H4904" s="3">
        <v>0</v>
      </c>
      <c r="I4904" s="3">
        <v>0</v>
      </c>
      <c r="J4904" s="3">
        <v>0</v>
      </c>
      <c r="K4904" s="3">
        <f t="shared" si="176"/>
        <v>0</v>
      </c>
      <c r="L4904" s="3"/>
      <c r="M4904" s="3">
        <f t="shared" si="177"/>
        <v>0</v>
      </c>
      <c r="O4904" s="5"/>
      <c r="S4904" s="11"/>
    </row>
    <row r="4905" spans="1:22" customFormat="1" x14ac:dyDescent="0.45">
      <c r="A4905">
        <v>929626</v>
      </c>
      <c r="B4905" t="s">
        <v>25480</v>
      </c>
      <c r="C4905" t="s">
        <v>16331</v>
      </c>
      <c r="D4905">
        <v>1</v>
      </c>
      <c r="E4905" t="s">
        <v>16331</v>
      </c>
      <c r="F4905" s="126"/>
      <c r="G4905" s="7">
        <v>0</v>
      </c>
      <c r="H4905" s="7">
        <v>0</v>
      </c>
      <c r="I4905" s="7">
        <v>0</v>
      </c>
      <c r="J4905" s="7">
        <v>0</v>
      </c>
      <c r="K4905" s="3">
        <f t="shared" si="176"/>
        <v>0</v>
      </c>
      <c r="L4905" s="3"/>
      <c r="M4905" s="3">
        <f t="shared" si="177"/>
        <v>0</v>
      </c>
      <c r="O4905" s="5"/>
      <c r="S4905" s="11"/>
    </row>
    <row r="4906" spans="1:22" customFormat="1" x14ac:dyDescent="0.45">
      <c r="A4906">
        <v>929749</v>
      </c>
      <c r="B4906" t="s">
        <v>25481</v>
      </c>
      <c r="C4906" t="s">
        <v>16331</v>
      </c>
      <c r="D4906">
        <v>1</v>
      </c>
      <c r="E4906" t="s">
        <v>16331</v>
      </c>
      <c r="F4906" s="126"/>
      <c r="K4906" s="3">
        <f t="shared" si="176"/>
        <v>0</v>
      </c>
      <c r="L4906" s="3"/>
      <c r="M4906" s="3">
        <f t="shared" si="177"/>
        <v>0</v>
      </c>
      <c r="O4906" s="5"/>
      <c r="S4906" s="11"/>
    </row>
    <row r="4907" spans="1:22" customFormat="1" x14ac:dyDescent="0.45">
      <c r="A4907">
        <v>929810</v>
      </c>
      <c r="B4907" t="s">
        <v>25482</v>
      </c>
      <c r="C4907" t="s">
        <v>25483</v>
      </c>
      <c r="D4907">
        <v>3</v>
      </c>
      <c r="F4907" s="126"/>
      <c r="K4907" s="3">
        <f t="shared" si="176"/>
        <v>0</v>
      </c>
      <c r="L4907" s="3"/>
      <c r="M4907" s="3">
        <f t="shared" si="177"/>
        <v>0</v>
      </c>
      <c r="O4907" s="5"/>
      <c r="S4907" s="11"/>
    </row>
    <row r="4908" spans="1:22" x14ac:dyDescent="0.45">
      <c r="A4908" s="124">
        <v>124537</v>
      </c>
      <c r="B4908" s="124" t="s">
        <v>25484</v>
      </c>
      <c r="C4908" s="124" t="s">
        <v>25485</v>
      </c>
      <c r="D4908" s="124">
        <v>341</v>
      </c>
      <c r="E4908" s="124" t="s">
        <v>16417</v>
      </c>
      <c r="F4908" s="126">
        <v>5.4999999999999997E-3</v>
      </c>
      <c r="G4908" s="126">
        <v>2.5000000000000001E-2</v>
      </c>
      <c r="H4908" s="135">
        <v>0</v>
      </c>
      <c r="I4908" s="127">
        <v>0</v>
      </c>
      <c r="J4908" s="127">
        <v>0</v>
      </c>
      <c r="K4908" s="126">
        <f t="shared" si="176"/>
        <v>2.5000000000000001E-2</v>
      </c>
      <c r="L4908" s="9"/>
      <c r="M4908" s="126">
        <f t="shared" si="177"/>
        <v>3.0499999999999999E-2</v>
      </c>
      <c r="N4908" s="135"/>
      <c r="O4908" s="125" t="s">
        <v>25460</v>
      </c>
      <c r="P4908" s="125" t="s">
        <v>25460</v>
      </c>
      <c r="Q4908" s="130">
        <v>414464000</v>
      </c>
      <c r="R4908" s="130" t="s">
        <v>16</v>
      </c>
      <c r="S4908" s="130">
        <v>210536000</v>
      </c>
      <c r="T4908" s="129">
        <f>S4908/Q4908</f>
        <v>0.50797174181593574</v>
      </c>
      <c r="U4908" s="130"/>
      <c r="V4908" s="124" t="s">
        <v>25486</v>
      </c>
    </row>
    <row r="4909" spans="1:22" customFormat="1" x14ac:dyDescent="0.45">
      <c r="A4909">
        <v>930071</v>
      </c>
      <c r="B4909" t="s">
        <v>25487</v>
      </c>
      <c r="C4909" t="s">
        <v>25488</v>
      </c>
      <c r="D4909">
        <v>8</v>
      </c>
      <c r="F4909" s="126"/>
      <c r="G4909" s="3">
        <v>0</v>
      </c>
      <c r="H4909" s="3">
        <v>0</v>
      </c>
      <c r="I4909" s="3">
        <v>0</v>
      </c>
      <c r="J4909" s="3">
        <v>0</v>
      </c>
      <c r="K4909" s="3">
        <f t="shared" si="176"/>
        <v>0</v>
      </c>
      <c r="L4909" s="3"/>
      <c r="M4909" s="3">
        <f t="shared" si="177"/>
        <v>0</v>
      </c>
      <c r="O4909" s="5"/>
      <c r="S4909" s="11"/>
    </row>
    <row r="4910" spans="1:22" customFormat="1" x14ac:dyDescent="0.45">
      <c r="A4910">
        <v>930109</v>
      </c>
      <c r="B4910" t="s">
        <v>25489</v>
      </c>
      <c r="C4910" t="s">
        <v>25490</v>
      </c>
      <c r="D4910">
        <v>4</v>
      </c>
      <c r="F4910" s="126"/>
      <c r="G4910" s="3">
        <v>0</v>
      </c>
      <c r="H4910" s="3">
        <v>0</v>
      </c>
      <c r="I4910" s="3">
        <v>0</v>
      </c>
      <c r="J4910" s="3">
        <v>0</v>
      </c>
      <c r="K4910" s="3">
        <f t="shared" si="176"/>
        <v>0</v>
      </c>
      <c r="L4910" s="3"/>
      <c r="M4910" s="3">
        <f t="shared" si="177"/>
        <v>0</v>
      </c>
      <c r="O4910" s="5"/>
      <c r="S4910" s="11"/>
    </row>
    <row r="4911" spans="1:22" customFormat="1" x14ac:dyDescent="0.45">
      <c r="A4911">
        <v>930257</v>
      </c>
      <c r="B4911" t="s">
        <v>25491</v>
      </c>
      <c r="C4911" t="s">
        <v>25492</v>
      </c>
      <c r="D4911">
        <v>1</v>
      </c>
      <c r="F4911" s="126"/>
      <c r="G4911" s="3">
        <v>0</v>
      </c>
      <c r="H4911" s="3">
        <v>0</v>
      </c>
      <c r="I4911" s="3">
        <v>0</v>
      </c>
      <c r="J4911" s="3">
        <v>0</v>
      </c>
      <c r="K4911" s="3">
        <f t="shared" si="176"/>
        <v>0</v>
      </c>
      <c r="L4911" s="3"/>
      <c r="M4911" s="3">
        <f t="shared" si="177"/>
        <v>0</v>
      </c>
      <c r="O4911" s="5"/>
      <c r="S4911" s="11"/>
    </row>
    <row r="4912" spans="1:22" customFormat="1" x14ac:dyDescent="0.45">
      <c r="A4912">
        <v>930272</v>
      </c>
      <c r="B4912" t="s">
        <v>25493</v>
      </c>
      <c r="C4912" t="s">
        <v>25494</v>
      </c>
      <c r="D4912">
        <v>2</v>
      </c>
      <c r="F4912" s="126"/>
      <c r="G4912" s="3">
        <v>0</v>
      </c>
      <c r="H4912" s="3">
        <v>0</v>
      </c>
      <c r="I4912" s="3">
        <v>0</v>
      </c>
      <c r="J4912" s="3">
        <v>0</v>
      </c>
      <c r="K4912" s="3">
        <f t="shared" si="176"/>
        <v>0</v>
      </c>
      <c r="L4912" s="3"/>
      <c r="M4912" s="3">
        <f t="shared" si="177"/>
        <v>0</v>
      </c>
      <c r="O4912" s="5"/>
      <c r="S4912" s="11"/>
    </row>
    <row r="4913" spans="1:22" x14ac:dyDescent="0.45">
      <c r="A4913" s="124">
        <v>452261</v>
      </c>
      <c r="B4913" s="124" t="s">
        <v>25495</v>
      </c>
      <c r="C4913" s="125" t="s">
        <v>25496</v>
      </c>
      <c r="D4913" s="124">
        <v>16</v>
      </c>
      <c r="E4913" s="124" t="s">
        <v>16417</v>
      </c>
      <c r="F4913" s="126">
        <v>5.0000000000000001E-3</v>
      </c>
      <c r="G4913" s="135">
        <v>0</v>
      </c>
      <c r="H4913" s="135">
        <v>0</v>
      </c>
      <c r="I4913" s="126">
        <v>1.6199999999999999E-2</v>
      </c>
      <c r="J4913" s="126">
        <v>1.0800000000000001E-2</v>
      </c>
      <c r="K4913" s="126">
        <f t="shared" si="176"/>
        <v>2.7E-2</v>
      </c>
      <c r="L4913" s="3"/>
      <c r="M4913" s="126">
        <f t="shared" si="177"/>
        <v>3.2000000000000001E-2</v>
      </c>
      <c r="O4913" s="125" t="s">
        <v>25497</v>
      </c>
      <c r="P4913" s="125" t="s">
        <v>25498</v>
      </c>
      <c r="Q4913" s="130">
        <f>1799002-13954</f>
        <v>1785048</v>
      </c>
      <c r="R4913" s="130" t="s">
        <v>16348</v>
      </c>
      <c r="S4913" s="130">
        <v>1413064</v>
      </c>
      <c r="T4913" s="129">
        <f>S4913/Q4913</f>
        <v>0.79161120597317269</v>
      </c>
      <c r="V4913" s="124" t="s">
        <v>25499</v>
      </c>
    </row>
    <row r="4914" spans="1:22" customFormat="1" x14ac:dyDescent="0.45">
      <c r="A4914">
        <v>930489</v>
      </c>
      <c r="B4914" t="s">
        <v>25500</v>
      </c>
      <c r="C4914" t="s">
        <v>25501</v>
      </c>
      <c r="D4914">
        <v>1</v>
      </c>
      <c r="F4914" s="126"/>
      <c r="G4914" s="3">
        <v>0</v>
      </c>
      <c r="H4914" s="3">
        <v>0</v>
      </c>
      <c r="I4914" s="3">
        <v>0</v>
      </c>
      <c r="J4914" s="3">
        <v>0</v>
      </c>
      <c r="K4914" s="3">
        <f t="shared" ref="K4914:K4977" si="178">SUM(G4914:J4914)</f>
        <v>0</v>
      </c>
      <c r="L4914" s="3"/>
      <c r="M4914" s="3">
        <f t="shared" ref="M4914:M4977" si="179">K4914+F4914</f>
        <v>0</v>
      </c>
      <c r="O4914" s="5"/>
      <c r="S4914" s="11"/>
    </row>
    <row r="4915" spans="1:22" customFormat="1" x14ac:dyDescent="0.45">
      <c r="A4915">
        <v>930699</v>
      </c>
      <c r="B4915" t="s">
        <v>25502</v>
      </c>
      <c r="C4915" t="s">
        <v>25503</v>
      </c>
      <c r="D4915">
        <v>1</v>
      </c>
      <c r="F4915" s="126"/>
      <c r="G4915" s="7">
        <v>0</v>
      </c>
      <c r="H4915" s="7">
        <v>0</v>
      </c>
      <c r="I4915" s="7">
        <v>0</v>
      </c>
      <c r="J4915" s="7">
        <v>0</v>
      </c>
      <c r="K4915" s="3">
        <f t="shared" si="178"/>
        <v>0</v>
      </c>
      <c r="L4915" s="3"/>
      <c r="M4915" s="3">
        <f t="shared" si="179"/>
        <v>0</v>
      </c>
      <c r="O4915" s="5"/>
      <c r="S4915" s="11"/>
    </row>
    <row r="4916" spans="1:22" customFormat="1" x14ac:dyDescent="0.45">
      <c r="A4916">
        <v>930918</v>
      </c>
      <c r="B4916" t="s">
        <v>25504</v>
      </c>
      <c r="C4916" t="s">
        <v>17108</v>
      </c>
      <c r="D4916">
        <v>1</v>
      </c>
      <c r="F4916" s="126"/>
      <c r="G4916" s="3">
        <v>0</v>
      </c>
      <c r="H4916" s="3">
        <v>0</v>
      </c>
      <c r="I4916" s="3">
        <v>0</v>
      </c>
      <c r="J4916" s="3">
        <v>0</v>
      </c>
      <c r="K4916" s="3">
        <f t="shared" si="178"/>
        <v>0</v>
      </c>
      <c r="L4916" s="3"/>
      <c r="M4916" s="3">
        <f t="shared" si="179"/>
        <v>0</v>
      </c>
      <c r="O4916" s="5"/>
      <c r="S4916" s="11"/>
    </row>
    <row r="4917" spans="1:22" customFormat="1" x14ac:dyDescent="0.45">
      <c r="A4917">
        <v>931067</v>
      </c>
      <c r="B4917" t="s">
        <v>25505</v>
      </c>
      <c r="C4917" t="s">
        <v>25506</v>
      </c>
      <c r="D4917">
        <v>1</v>
      </c>
      <c r="F4917" s="126"/>
      <c r="G4917" s="3">
        <v>0</v>
      </c>
      <c r="H4917" s="3">
        <v>0</v>
      </c>
      <c r="I4917" s="3">
        <v>0</v>
      </c>
      <c r="J4917" s="3">
        <v>0</v>
      </c>
      <c r="K4917" s="3">
        <f t="shared" si="178"/>
        <v>0</v>
      </c>
      <c r="L4917" s="3"/>
      <c r="M4917" s="3">
        <f t="shared" si="179"/>
        <v>0</v>
      </c>
      <c r="O4917" s="5"/>
      <c r="S4917" s="11"/>
    </row>
    <row r="4918" spans="1:22" customFormat="1" x14ac:dyDescent="0.45">
      <c r="A4918">
        <v>931135</v>
      </c>
      <c r="B4918" t="s">
        <v>25507</v>
      </c>
      <c r="C4918" t="s">
        <v>16331</v>
      </c>
      <c r="D4918">
        <v>2</v>
      </c>
      <c r="E4918" t="s">
        <v>16331</v>
      </c>
      <c r="F4918" s="126"/>
      <c r="G4918" s="7">
        <v>0</v>
      </c>
      <c r="H4918" s="7">
        <v>0</v>
      </c>
      <c r="I4918" s="7">
        <v>0</v>
      </c>
      <c r="J4918" s="7">
        <v>0</v>
      </c>
      <c r="K4918" s="3">
        <f t="shared" si="178"/>
        <v>0</v>
      </c>
      <c r="L4918" s="3"/>
      <c r="M4918" s="3">
        <f t="shared" si="179"/>
        <v>0</v>
      </c>
      <c r="O4918" s="5"/>
      <c r="S4918" s="11"/>
    </row>
    <row r="4919" spans="1:22" customFormat="1" x14ac:dyDescent="0.45">
      <c r="A4919">
        <v>931393</v>
      </c>
      <c r="B4919" t="s">
        <v>25508</v>
      </c>
      <c r="C4919" t="s">
        <v>16331</v>
      </c>
      <c r="D4919">
        <v>1</v>
      </c>
      <c r="E4919" t="s">
        <v>16331</v>
      </c>
      <c r="F4919" s="126"/>
      <c r="G4919" s="7">
        <v>0</v>
      </c>
      <c r="H4919" s="7">
        <v>0</v>
      </c>
      <c r="I4919" s="7">
        <v>0</v>
      </c>
      <c r="J4919" s="7">
        <v>0</v>
      </c>
      <c r="K4919" s="3">
        <f t="shared" si="178"/>
        <v>0</v>
      </c>
      <c r="L4919" s="3"/>
      <c r="M4919" s="3">
        <f t="shared" si="179"/>
        <v>0</v>
      </c>
      <c r="O4919" s="5"/>
      <c r="S4919" s="11"/>
    </row>
    <row r="4920" spans="1:22" customFormat="1" x14ac:dyDescent="0.45">
      <c r="A4920">
        <v>931450</v>
      </c>
      <c r="B4920" t="s">
        <v>25509</v>
      </c>
      <c r="C4920" t="s">
        <v>16331</v>
      </c>
      <c r="D4920">
        <v>1</v>
      </c>
      <c r="E4920" t="s">
        <v>16331</v>
      </c>
      <c r="F4920" s="126"/>
      <c r="G4920" s="7">
        <v>0</v>
      </c>
      <c r="H4920" s="7">
        <v>0</v>
      </c>
      <c r="I4920" s="7">
        <v>0</v>
      </c>
      <c r="J4920" s="7">
        <v>0</v>
      </c>
      <c r="K4920" s="3">
        <f t="shared" si="178"/>
        <v>0</v>
      </c>
      <c r="L4920" s="3"/>
      <c r="M4920" s="3">
        <f t="shared" si="179"/>
        <v>0</v>
      </c>
      <c r="O4920" s="5"/>
      <c r="S4920" s="11"/>
    </row>
    <row r="4921" spans="1:22" customFormat="1" x14ac:dyDescent="0.45">
      <c r="A4921">
        <v>931464</v>
      </c>
      <c r="B4921" t="s">
        <v>25510</v>
      </c>
      <c r="C4921" t="s">
        <v>25511</v>
      </c>
      <c r="D4921">
        <v>2</v>
      </c>
      <c r="F4921" s="126"/>
      <c r="G4921" s="3"/>
      <c r="H4921" s="3"/>
      <c r="I4921" s="3"/>
      <c r="J4921" s="3"/>
      <c r="K4921" s="3">
        <f t="shared" si="178"/>
        <v>0</v>
      </c>
      <c r="L4921" s="3"/>
      <c r="M4921" s="3">
        <f t="shared" si="179"/>
        <v>0</v>
      </c>
      <c r="O4921" s="5"/>
      <c r="S4921" s="11"/>
    </row>
    <row r="4922" spans="1:22" customFormat="1" x14ac:dyDescent="0.45">
      <c r="A4922">
        <v>931893</v>
      </c>
      <c r="B4922" t="s">
        <v>25512</v>
      </c>
      <c r="C4922" t="s">
        <v>25513</v>
      </c>
      <c r="D4922">
        <v>1</v>
      </c>
      <c r="F4922" s="126"/>
      <c r="G4922" s="3">
        <v>0</v>
      </c>
      <c r="H4922" s="3">
        <v>0</v>
      </c>
      <c r="I4922" s="3">
        <v>0</v>
      </c>
      <c r="J4922" s="3">
        <v>0</v>
      </c>
      <c r="K4922" s="3">
        <f t="shared" si="178"/>
        <v>0</v>
      </c>
      <c r="L4922" s="3"/>
      <c r="M4922" s="3">
        <f t="shared" si="179"/>
        <v>0</v>
      </c>
      <c r="O4922" s="5"/>
      <c r="S4922" s="11"/>
    </row>
    <row r="4923" spans="1:22" customFormat="1" x14ac:dyDescent="0.45">
      <c r="A4923">
        <v>932404</v>
      </c>
      <c r="B4923" t="s">
        <v>25514</v>
      </c>
      <c r="C4923" t="s">
        <v>16331</v>
      </c>
      <c r="D4923">
        <v>1</v>
      </c>
      <c r="E4923" t="s">
        <v>16331</v>
      </c>
      <c r="F4923" s="126"/>
      <c r="G4923" s="7">
        <v>0</v>
      </c>
      <c r="H4923" s="7">
        <v>0</v>
      </c>
      <c r="I4923" s="7">
        <v>0</v>
      </c>
      <c r="J4923" s="7">
        <v>0</v>
      </c>
      <c r="K4923" s="3">
        <f t="shared" si="178"/>
        <v>0</v>
      </c>
      <c r="L4923" s="3"/>
      <c r="M4923" s="3">
        <f t="shared" si="179"/>
        <v>0</v>
      </c>
      <c r="O4923" s="5"/>
      <c r="S4923" s="11"/>
    </row>
    <row r="4924" spans="1:22" customFormat="1" x14ac:dyDescent="0.45">
      <c r="A4924">
        <v>932482</v>
      </c>
      <c r="B4924" t="s">
        <v>25515</v>
      </c>
      <c r="C4924" t="s">
        <v>25516</v>
      </c>
      <c r="D4924">
        <v>1</v>
      </c>
      <c r="F4924" s="126"/>
      <c r="G4924" s="3">
        <v>0</v>
      </c>
      <c r="H4924" s="3">
        <v>0</v>
      </c>
      <c r="I4924" s="3">
        <v>0</v>
      </c>
      <c r="J4924" s="3">
        <v>0</v>
      </c>
      <c r="K4924" s="3">
        <f t="shared" si="178"/>
        <v>0</v>
      </c>
      <c r="L4924" s="3"/>
      <c r="M4924" s="3">
        <f t="shared" si="179"/>
        <v>0</v>
      </c>
      <c r="O4924" s="5"/>
      <c r="S4924" s="11"/>
    </row>
    <row r="4925" spans="1:22" customFormat="1" x14ac:dyDescent="0.45">
      <c r="A4925">
        <v>933340</v>
      </c>
      <c r="B4925" t="s">
        <v>25517</v>
      </c>
      <c r="C4925" t="s">
        <v>25518</v>
      </c>
      <c r="D4925">
        <v>1</v>
      </c>
      <c r="F4925" s="126"/>
      <c r="G4925" s="3">
        <v>0</v>
      </c>
      <c r="H4925" s="3">
        <v>0</v>
      </c>
      <c r="I4925" s="3">
        <v>0</v>
      </c>
      <c r="J4925" s="3">
        <v>0</v>
      </c>
      <c r="K4925" s="3">
        <f t="shared" si="178"/>
        <v>0</v>
      </c>
      <c r="L4925" s="3"/>
      <c r="M4925" s="3">
        <f t="shared" si="179"/>
        <v>0</v>
      </c>
      <c r="O4925" s="5"/>
      <c r="S4925" s="11"/>
    </row>
    <row r="4926" spans="1:22" customFormat="1" x14ac:dyDescent="0.45">
      <c r="A4926">
        <v>933488</v>
      </c>
      <c r="B4926" t="s">
        <v>25519</v>
      </c>
      <c r="C4926" t="s">
        <v>25520</v>
      </c>
      <c r="D4926">
        <v>1</v>
      </c>
      <c r="F4926" s="126"/>
      <c r="G4926" s="3">
        <v>0</v>
      </c>
      <c r="H4926" s="3">
        <v>0</v>
      </c>
      <c r="I4926" s="3">
        <v>0</v>
      </c>
      <c r="J4926" s="3">
        <v>0</v>
      </c>
      <c r="K4926" s="3">
        <f t="shared" si="178"/>
        <v>0</v>
      </c>
      <c r="L4926" s="3"/>
      <c r="M4926" s="3">
        <f t="shared" si="179"/>
        <v>0</v>
      </c>
      <c r="O4926" s="5"/>
      <c r="S4926" s="11"/>
    </row>
    <row r="4927" spans="1:22" customFormat="1" x14ac:dyDescent="0.45">
      <c r="A4927">
        <v>933688</v>
      </c>
      <c r="B4927" t="s">
        <v>25521</v>
      </c>
      <c r="C4927" t="s">
        <v>25522</v>
      </c>
      <c r="D4927">
        <v>4</v>
      </c>
      <c r="F4927" s="126"/>
      <c r="G4927" s="3">
        <v>0</v>
      </c>
      <c r="H4927" s="3">
        <v>0</v>
      </c>
      <c r="I4927" s="3">
        <v>0</v>
      </c>
      <c r="J4927" s="3">
        <v>0</v>
      </c>
      <c r="K4927" s="3">
        <f t="shared" si="178"/>
        <v>0</v>
      </c>
      <c r="L4927" s="3"/>
      <c r="M4927" s="3">
        <f t="shared" si="179"/>
        <v>0</v>
      </c>
      <c r="O4927" s="5"/>
      <c r="S4927" s="11"/>
    </row>
    <row r="4928" spans="1:22" customFormat="1" x14ac:dyDescent="0.45">
      <c r="A4928">
        <v>933757</v>
      </c>
      <c r="B4928" t="s">
        <v>25523</v>
      </c>
      <c r="C4928" t="s">
        <v>25524</v>
      </c>
      <c r="D4928">
        <v>8</v>
      </c>
      <c r="F4928" s="126"/>
      <c r="G4928" s="7">
        <v>0</v>
      </c>
      <c r="H4928" s="7">
        <v>0</v>
      </c>
      <c r="I4928" s="7">
        <v>0</v>
      </c>
      <c r="J4928" s="7">
        <v>0</v>
      </c>
      <c r="K4928" s="3">
        <f t="shared" si="178"/>
        <v>0</v>
      </c>
      <c r="L4928" s="3"/>
      <c r="M4928" s="3">
        <f t="shared" si="179"/>
        <v>0</v>
      </c>
      <c r="N4928" s="7"/>
      <c r="O4928" s="5"/>
      <c r="S4928" s="11"/>
    </row>
    <row r="4929" spans="1:19" customFormat="1" x14ac:dyDescent="0.45">
      <c r="A4929">
        <v>934368</v>
      </c>
      <c r="B4929" t="s">
        <v>25525</v>
      </c>
      <c r="C4929" t="s">
        <v>25526</v>
      </c>
      <c r="D4929">
        <v>4</v>
      </c>
      <c r="F4929" s="126"/>
      <c r="K4929" s="3">
        <f t="shared" si="178"/>
        <v>0</v>
      </c>
      <c r="L4929" s="3"/>
      <c r="M4929" s="3">
        <f t="shared" si="179"/>
        <v>0</v>
      </c>
      <c r="O4929" s="5"/>
      <c r="S4929" s="11"/>
    </row>
    <row r="4930" spans="1:19" customFormat="1" x14ac:dyDescent="0.45">
      <c r="A4930">
        <v>934686</v>
      </c>
      <c r="B4930" t="s">
        <v>25527</v>
      </c>
      <c r="C4930" t="s">
        <v>25528</v>
      </c>
      <c r="D4930">
        <v>1</v>
      </c>
      <c r="F4930" s="126"/>
      <c r="G4930" s="3">
        <v>0</v>
      </c>
      <c r="H4930" s="3">
        <v>0</v>
      </c>
      <c r="I4930" s="3">
        <v>0</v>
      </c>
      <c r="J4930" s="3">
        <v>0</v>
      </c>
      <c r="K4930" s="3">
        <f t="shared" si="178"/>
        <v>0</v>
      </c>
      <c r="L4930" s="3"/>
      <c r="M4930" s="3">
        <f t="shared" si="179"/>
        <v>0</v>
      </c>
      <c r="O4930" s="5"/>
      <c r="S4930" s="11"/>
    </row>
    <row r="4931" spans="1:19" customFormat="1" x14ac:dyDescent="0.45">
      <c r="A4931">
        <v>934787</v>
      </c>
      <c r="B4931" t="s">
        <v>25529</v>
      </c>
      <c r="C4931" t="s">
        <v>25530</v>
      </c>
      <c r="D4931">
        <v>2</v>
      </c>
      <c r="F4931" s="126"/>
      <c r="G4931" s="7">
        <v>0</v>
      </c>
      <c r="H4931" s="7">
        <v>0</v>
      </c>
      <c r="I4931" s="7">
        <v>0</v>
      </c>
      <c r="J4931" s="7">
        <v>0</v>
      </c>
      <c r="K4931" s="3">
        <f t="shared" si="178"/>
        <v>0</v>
      </c>
      <c r="L4931" s="3"/>
      <c r="M4931" s="3">
        <f t="shared" si="179"/>
        <v>0</v>
      </c>
      <c r="O4931" s="5"/>
      <c r="S4931" s="11"/>
    </row>
    <row r="4932" spans="1:19" customFormat="1" x14ac:dyDescent="0.45">
      <c r="A4932">
        <v>934844</v>
      </c>
      <c r="B4932" t="s">
        <v>25531</v>
      </c>
      <c r="C4932" t="s">
        <v>25532</v>
      </c>
      <c r="D4932">
        <v>1</v>
      </c>
      <c r="F4932" s="126"/>
      <c r="K4932" s="3">
        <f t="shared" si="178"/>
        <v>0</v>
      </c>
      <c r="L4932" s="3"/>
      <c r="M4932" s="3">
        <f t="shared" si="179"/>
        <v>0</v>
      </c>
      <c r="O4932" s="5"/>
      <c r="S4932" s="11"/>
    </row>
    <row r="4933" spans="1:19" customFormat="1" x14ac:dyDescent="0.45">
      <c r="A4933">
        <v>934946</v>
      </c>
      <c r="B4933" t="s">
        <v>25533</v>
      </c>
      <c r="C4933" t="s">
        <v>25534</v>
      </c>
      <c r="D4933">
        <v>0</v>
      </c>
      <c r="E4933" t="s">
        <v>16561</v>
      </c>
      <c r="F4933" s="126"/>
      <c r="G4933" s="3">
        <v>0</v>
      </c>
      <c r="H4933" s="3">
        <v>0</v>
      </c>
      <c r="I4933" s="3">
        <v>0</v>
      </c>
      <c r="J4933" s="3">
        <v>0</v>
      </c>
      <c r="K4933" s="3">
        <f t="shared" si="178"/>
        <v>0</v>
      </c>
      <c r="L4933" s="3"/>
      <c r="M4933" s="3">
        <f t="shared" si="179"/>
        <v>0</v>
      </c>
      <c r="O4933" s="5"/>
      <c r="S4933" s="11"/>
    </row>
    <row r="4934" spans="1:19" customFormat="1" x14ac:dyDescent="0.45">
      <c r="A4934">
        <v>935116</v>
      </c>
      <c r="B4934" t="s">
        <v>25535</v>
      </c>
      <c r="C4934" t="s">
        <v>25536</v>
      </c>
      <c r="D4934">
        <v>1</v>
      </c>
      <c r="F4934" s="126"/>
      <c r="G4934" s="3">
        <v>0</v>
      </c>
      <c r="H4934" s="3">
        <v>0</v>
      </c>
      <c r="I4934" s="3">
        <v>0</v>
      </c>
      <c r="J4934" s="3">
        <v>0</v>
      </c>
      <c r="K4934" s="3">
        <f t="shared" si="178"/>
        <v>0</v>
      </c>
      <c r="L4934" s="3"/>
      <c r="M4934" s="3">
        <f t="shared" si="179"/>
        <v>0</v>
      </c>
      <c r="O4934" s="5"/>
      <c r="S4934" s="11"/>
    </row>
    <row r="4935" spans="1:19" customFormat="1" x14ac:dyDescent="0.45">
      <c r="A4935">
        <v>935219</v>
      </c>
      <c r="B4935" t="s">
        <v>25537</v>
      </c>
      <c r="C4935" t="s">
        <v>16331</v>
      </c>
      <c r="D4935">
        <v>1</v>
      </c>
      <c r="E4935" t="s">
        <v>16331</v>
      </c>
      <c r="F4935" s="126"/>
      <c r="G4935" s="7">
        <v>0</v>
      </c>
      <c r="H4935" s="7">
        <v>0</v>
      </c>
      <c r="I4935" s="7">
        <v>0</v>
      </c>
      <c r="J4935" s="7">
        <v>0</v>
      </c>
      <c r="K4935" s="3">
        <f t="shared" si="178"/>
        <v>0</v>
      </c>
      <c r="L4935" s="3"/>
      <c r="M4935" s="3">
        <f t="shared" si="179"/>
        <v>0</v>
      </c>
      <c r="N4935" s="7"/>
      <c r="O4935" s="5"/>
      <c r="S4935" s="11"/>
    </row>
    <row r="4936" spans="1:19" customFormat="1" x14ac:dyDescent="0.45">
      <c r="A4936">
        <v>935827</v>
      </c>
      <c r="B4936" t="s">
        <v>25538</v>
      </c>
      <c r="C4936" t="s">
        <v>16331</v>
      </c>
      <c r="D4936">
        <v>2</v>
      </c>
      <c r="E4936" t="s">
        <v>16331</v>
      </c>
      <c r="F4936" s="126"/>
      <c r="G4936" s="7">
        <v>0</v>
      </c>
      <c r="H4936" s="7">
        <v>0</v>
      </c>
      <c r="I4936" s="7">
        <v>0</v>
      </c>
      <c r="J4936" s="7">
        <v>0</v>
      </c>
      <c r="K4936" s="3">
        <f t="shared" si="178"/>
        <v>0</v>
      </c>
      <c r="L4936" s="3"/>
      <c r="M4936" s="3">
        <f t="shared" si="179"/>
        <v>0</v>
      </c>
      <c r="O4936" s="5"/>
      <c r="S4936" s="11"/>
    </row>
    <row r="4937" spans="1:19" customFormat="1" x14ac:dyDescent="0.45">
      <c r="A4937">
        <v>936085</v>
      </c>
      <c r="B4937" t="s">
        <v>25539</v>
      </c>
      <c r="C4937" t="s">
        <v>25540</v>
      </c>
      <c r="D4937">
        <v>0</v>
      </c>
      <c r="E4937" t="s">
        <v>16561</v>
      </c>
      <c r="F4937" s="126"/>
      <c r="G4937" s="7">
        <v>0</v>
      </c>
      <c r="H4937" s="7">
        <v>0</v>
      </c>
      <c r="I4937" s="7">
        <v>0</v>
      </c>
      <c r="J4937" s="7">
        <v>0</v>
      </c>
      <c r="K4937" s="3">
        <f t="shared" si="178"/>
        <v>0</v>
      </c>
      <c r="L4937" s="3"/>
      <c r="M4937" s="3">
        <f t="shared" si="179"/>
        <v>0</v>
      </c>
      <c r="O4937" s="5"/>
      <c r="S4937" s="11"/>
    </row>
    <row r="4938" spans="1:19" customFormat="1" x14ac:dyDescent="0.45">
      <c r="A4938">
        <v>936168</v>
      </c>
      <c r="B4938" t="s">
        <v>25541</v>
      </c>
      <c r="C4938" t="s">
        <v>25542</v>
      </c>
      <c r="D4938">
        <v>1</v>
      </c>
      <c r="F4938" s="126"/>
      <c r="G4938" s="3">
        <v>0</v>
      </c>
      <c r="H4938" s="3">
        <v>0</v>
      </c>
      <c r="I4938" s="3">
        <v>0</v>
      </c>
      <c r="J4938" s="3">
        <v>0</v>
      </c>
      <c r="K4938" s="3">
        <f t="shared" si="178"/>
        <v>0</v>
      </c>
      <c r="L4938" s="3"/>
      <c r="M4938" s="3">
        <f t="shared" si="179"/>
        <v>0</v>
      </c>
      <c r="O4938" s="5"/>
      <c r="S4938" s="11"/>
    </row>
    <row r="4939" spans="1:19" customFormat="1" x14ac:dyDescent="0.45">
      <c r="A4939">
        <v>936586</v>
      </c>
      <c r="B4939" t="s">
        <v>25543</v>
      </c>
      <c r="C4939" t="s">
        <v>25544</v>
      </c>
      <c r="D4939">
        <v>0</v>
      </c>
      <c r="E4939" t="s">
        <v>16561</v>
      </c>
      <c r="F4939" s="126"/>
      <c r="G4939" s="7">
        <v>0</v>
      </c>
      <c r="H4939" s="7">
        <v>0</v>
      </c>
      <c r="I4939" s="7">
        <v>0</v>
      </c>
      <c r="J4939" s="7">
        <v>0</v>
      </c>
      <c r="K4939" s="3">
        <f t="shared" si="178"/>
        <v>0</v>
      </c>
      <c r="L4939" s="3"/>
      <c r="M4939" s="3">
        <f t="shared" si="179"/>
        <v>0</v>
      </c>
      <c r="N4939" s="7"/>
      <c r="O4939" s="5"/>
      <c r="S4939" s="11"/>
    </row>
    <row r="4940" spans="1:19" customFormat="1" x14ac:dyDescent="0.45">
      <c r="A4940">
        <v>936681</v>
      </c>
      <c r="B4940" t="s">
        <v>25545</v>
      </c>
      <c r="C4940" t="s">
        <v>25546</v>
      </c>
      <c r="D4940">
        <v>3</v>
      </c>
      <c r="F4940" s="126"/>
      <c r="G4940" s="7">
        <v>0</v>
      </c>
      <c r="H4940" s="7">
        <v>0</v>
      </c>
      <c r="I4940" s="7">
        <v>0</v>
      </c>
      <c r="J4940" s="7">
        <v>0</v>
      </c>
      <c r="K4940" s="3">
        <f t="shared" si="178"/>
        <v>0</v>
      </c>
      <c r="L4940" s="3"/>
      <c r="M4940" s="3">
        <f t="shared" si="179"/>
        <v>0</v>
      </c>
      <c r="O4940" s="5"/>
      <c r="S4940" s="11"/>
    </row>
    <row r="4941" spans="1:19" customFormat="1" x14ac:dyDescent="0.45">
      <c r="A4941">
        <v>936711</v>
      </c>
      <c r="B4941" t="s">
        <v>25547</v>
      </c>
      <c r="C4941" t="s">
        <v>16331</v>
      </c>
      <c r="D4941">
        <v>1</v>
      </c>
      <c r="E4941" t="s">
        <v>16331</v>
      </c>
      <c r="F4941" s="126"/>
      <c r="G4941" s="7">
        <v>0</v>
      </c>
      <c r="H4941" s="7">
        <v>0</v>
      </c>
      <c r="I4941" s="7">
        <v>0</v>
      </c>
      <c r="J4941" s="7">
        <v>0</v>
      </c>
      <c r="K4941" s="3">
        <f t="shared" si="178"/>
        <v>0</v>
      </c>
      <c r="L4941" s="3"/>
      <c r="M4941" s="3">
        <f t="shared" si="179"/>
        <v>0</v>
      </c>
      <c r="O4941" s="5"/>
      <c r="S4941" s="11"/>
    </row>
    <row r="4942" spans="1:19" customFormat="1" x14ac:dyDescent="0.45">
      <c r="A4942">
        <v>936766</v>
      </c>
      <c r="B4942" t="s">
        <v>25548</v>
      </c>
      <c r="C4942" t="s">
        <v>25549</v>
      </c>
      <c r="D4942">
        <v>0</v>
      </c>
      <c r="E4942" t="s">
        <v>16561</v>
      </c>
      <c r="F4942" s="126"/>
      <c r="G4942" s="7">
        <v>0</v>
      </c>
      <c r="H4942" s="7">
        <v>0</v>
      </c>
      <c r="I4942" s="7">
        <v>0</v>
      </c>
      <c r="J4942" s="7">
        <v>0</v>
      </c>
      <c r="K4942" s="3">
        <f t="shared" si="178"/>
        <v>0</v>
      </c>
      <c r="L4942" s="3"/>
      <c r="M4942" s="3">
        <f t="shared" si="179"/>
        <v>0</v>
      </c>
      <c r="O4942" s="5"/>
      <c r="S4942" s="11"/>
    </row>
    <row r="4943" spans="1:19" customFormat="1" x14ac:dyDescent="0.45">
      <c r="A4943">
        <v>936831</v>
      </c>
      <c r="B4943" t="s">
        <v>25550</v>
      </c>
      <c r="C4943" t="s">
        <v>25551</v>
      </c>
      <c r="D4943">
        <v>2</v>
      </c>
      <c r="F4943" s="126"/>
      <c r="G4943" s="7">
        <v>0</v>
      </c>
      <c r="H4943" s="7">
        <v>0</v>
      </c>
      <c r="I4943" s="7">
        <v>0</v>
      </c>
      <c r="J4943" s="7">
        <v>0</v>
      </c>
      <c r="K4943" s="3">
        <f t="shared" si="178"/>
        <v>0</v>
      </c>
      <c r="L4943" s="3"/>
      <c r="M4943" s="3">
        <f t="shared" si="179"/>
        <v>0</v>
      </c>
      <c r="O4943" s="5"/>
      <c r="S4943" s="11"/>
    </row>
    <row r="4944" spans="1:19" customFormat="1" x14ac:dyDescent="0.45">
      <c r="A4944">
        <v>936859</v>
      </c>
      <c r="B4944" t="s">
        <v>25552</v>
      </c>
      <c r="C4944" t="s">
        <v>25553</v>
      </c>
      <c r="D4944">
        <v>1</v>
      </c>
      <c r="F4944" s="126"/>
      <c r="G4944" s="3">
        <v>0</v>
      </c>
      <c r="H4944" s="3">
        <v>0</v>
      </c>
      <c r="I4944" s="3">
        <v>0</v>
      </c>
      <c r="J4944" s="3">
        <v>0</v>
      </c>
      <c r="K4944" s="3">
        <f t="shared" si="178"/>
        <v>0</v>
      </c>
      <c r="L4944" s="3"/>
      <c r="M4944" s="3">
        <f t="shared" si="179"/>
        <v>0</v>
      </c>
      <c r="O4944" s="5"/>
      <c r="S4944" s="11"/>
    </row>
    <row r="4945" spans="1:22" customFormat="1" x14ac:dyDescent="0.45">
      <c r="A4945">
        <v>936903</v>
      </c>
      <c r="B4945" t="s">
        <v>25554</v>
      </c>
      <c r="C4945" t="s">
        <v>16331</v>
      </c>
      <c r="D4945">
        <v>1</v>
      </c>
      <c r="E4945" t="s">
        <v>16331</v>
      </c>
      <c r="F4945" s="126"/>
      <c r="G4945" s="7">
        <v>0</v>
      </c>
      <c r="H4945" s="7">
        <v>0</v>
      </c>
      <c r="I4945" s="7">
        <v>0</v>
      </c>
      <c r="J4945" s="7">
        <v>0</v>
      </c>
      <c r="K4945" s="3">
        <f t="shared" si="178"/>
        <v>0</v>
      </c>
      <c r="L4945" s="3"/>
      <c r="M4945" s="3">
        <f t="shared" si="179"/>
        <v>0</v>
      </c>
      <c r="O4945" s="5"/>
      <c r="S4945" s="11"/>
    </row>
    <row r="4946" spans="1:22" customFormat="1" x14ac:dyDescent="0.45">
      <c r="A4946">
        <v>936948</v>
      </c>
      <c r="B4946" t="s">
        <v>25555</v>
      </c>
      <c r="C4946" t="s">
        <v>16331</v>
      </c>
      <c r="D4946">
        <v>1</v>
      </c>
      <c r="E4946" t="s">
        <v>16331</v>
      </c>
      <c r="F4946" s="126"/>
      <c r="G4946" s="7">
        <v>0</v>
      </c>
      <c r="H4946" s="7">
        <v>0</v>
      </c>
      <c r="I4946" s="7">
        <v>0</v>
      </c>
      <c r="J4946" s="7">
        <v>0</v>
      </c>
      <c r="K4946" s="3">
        <f t="shared" si="178"/>
        <v>0</v>
      </c>
      <c r="L4946" s="3"/>
      <c r="M4946" s="3">
        <f t="shared" si="179"/>
        <v>0</v>
      </c>
      <c r="O4946" s="5"/>
      <c r="S4946" s="11"/>
    </row>
    <row r="4947" spans="1:22" customFormat="1" x14ac:dyDescent="0.45">
      <c r="A4947">
        <v>937127</v>
      </c>
      <c r="B4947" t="s">
        <v>25556</v>
      </c>
      <c r="C4947" t="s">
        <v>25557</v>
      </c>
      <c r="D4947">
        <v>6</v>
      </c>
      <c r="F4947" s="126"/>
      <c r="G4947" s="7">
        <v>0</v>
      </c>
      <c r="H4947" s="7">
        <v>0</v>
      </c>
      <c r="I4947" s="7">
        <v>0</v>
      </c>
      <c r="J4947" s="7">
        <v>0</v>
      </c>
      <c r="K4947" s="3">
        <f t="shared" si="178"/>
        <v>0</v>
      </c>
      <c r="L4947" s="3"/>
      <c r="M4947" s="3">
        <f t="shared" si="179"/>
        <v>0</v>
      </c>
      <c r="N4947" s="7"/>
      <c r="O4947" s="5"/>
      <c r="S4947" s="11"/>
    </row>
    <row r="4948" spans="1:22" customFormat="1" x14ac:dyDescent="0.45">
      <c r="A4948">
        <v>937280</v>
      </c>
      <c r="B4948" t="s">
        <v>25558</v>
      </c>
      <c r="C4948" t="s">
        <v>25559</v>
      </c>
      <c r="D4948">
        <v>2</v>
      </c>
      <c r="F4948" s="126"/>
      <c r="G4948" s="7">
        <v>0</v>
      </c>
      <c r="H4948" s="3">
        <v>0</v>
      </c>
      <c r="I4948" s="3">
        <v>0</v>
      </c>
      <c r="J4948">
        <v>0</v>
      </c>
      <c r="K4948" s="3">
        <f t="shared" si="178"/>
        <v>0</v>
      </c>
      <c r="L4948" s="3"/>
      <c r="M4948" s="3">
        <f t="shared" si="179"/>
        <v>0</v>
      </c>
      <c r="O4948" s="5"/>
      <c r="S4948" s="11"/>
    </row>
    <row r="4949" spans="1:22" customFormat="1" x14ac:dyDescent="0.45">
      <c r="A4949">
        <v>937373</v>
      </c>
      <c r="B4949" t="s">
        <v>25560</v>
      </c>
      <c r="C4949" t="s">
        <v>25561</v>
      </c>
      <c r="D4949">
        <v>2</v>
      </c>
      <c r="F4949" s="126"/>
      <c r="G4949" s="7">
        <v>0</v>
      </c>
      <c r="H4949" s="7">
        <v>0</v>
      </c>
      <c r="I4949" s="7">
        <v>0</v>
      </c>
      <c r="J4949" s="7">
        <v>0</v>
      </c>
      <c r="K4949" s="3">
        <f t="shared" si="178"/>
        <v>0</v>
      </c>
      <c r="L4949" s="3"/>
      <c r="M4949" s="3">
        <f t="shared" si="179"/>
        <v>0</v>
      </c>
      <c r="O4949" s="5"/>
      <c r="S4949" s="11"/>
    </row>
    <row r="4950" spans="1:22" x14ac:dyDescent="0.45">
      <c r="A4950" s="124">
        <v>776977</v>
      </c>
      <c r="B4950" s="124" t="s">
        <v>25562</v>
      </c>
      <c r="C4950" s="125" t="s">
        <v>25496</v>
      </c>
      <c r="D4950" s="124">
        <v>6</v>
      </c>
      <c r="E4950" s="124" t="s">
        <v>16417</v>
      </c>
      <c r="F4950" s="126">
        <v>5.0000000000000001E-3</v>
      </c>
      <c r="G4950" s="135">
        <v>0</v>
      </c>
      <c r="H4950" s="135">
        <v>0</v>
      </c>
      <c r="I4950" s="126">
        <v>1.6199999999999999E-2</v>
      </c>
      <c r="J4950" s="126">
        <v>1.0800000000000001E-2</v>
      </c>
      <c r="K4950" s="126">
        <f t="shared" si="178"/>
        <v>2.7E-2</v>
      </c>
      <c r="L4950" s="30"/>
      <c r="M4950" s="126">
        <f t="shared" si="179"/>
        <v>3.2000000000000001E-2</v>
      </c>
      <c r="O4950" s="125" t="s">
        <v>25497</v>
      </c>
      <c r="P4950" s="125" t="s">
        <v>25498</v>
      </c>
      <c r="Q4950" s="130">
        <v>1352967</v>
      </c>
      <c r="R4950" s="130" t="s">
        <v>16348</v>
      </c>
      <c r="S4950" s="130">
        <v>1180790</v>
      </c>
      <c r="T4950" s="129">
        <f>S4950/Q4950</f>
        <v>0.87274116811422597</v>
      </c>
      <c r="V4950" s="125" t="s">
        <v>25563</v>
      </c>
    </row>
    <row r="4951" spans="1:22" customFormat="1" x14ac:dyDescent="0.45">
      <c r="A4951">
        <v>937655</v>
      </c>
      <c r="B4951" t="s">
        <v>25564</v>
      </c>
      <c r="C4951" t="s">
        <v>25565</v>
      </c>
      <c r="D4951">
        <v>9</v>
      </c>
      <c r="F4951" s="126"/>
      <c r="G4951" s="3"/>
      <c r="H4951" s="3"/>
      <c r="I4951" s="3"/>
      <c r="J4951" s="3"/>
      <c r="K4951" s="3">
        <f t="shared" si="178"/>
        <v>0</v>
      </c>
      <c r="L4951" s="3"/>
      <c r="M4951" s="3">
        <f t="shared" si="179"/>
        <v>0</v>
      </c>
      <c r="O4951" s="5"/>
      <c r="S4951" s="11"/>
    </row>
    <row r="4952" spans="1:22" customFormat="1" x14ac:dyDescent="0.45">
      <c r="A4952">
        <v>937741</v>
      </c>
      <c r="B4952" t="s">
        <v>25566</v>
      </c>
      <c r="C4952" t="s">
        <v>25567</v>
      </c>
      <c r="D4952">
        <v>1</v>
      </c>
      <c r="F4952" s="126"/>
      <c r="G4952" s="7">
        <v>0</v>
      </c>
      <c r="H4952" s="7">
        <v>0</v>
      </c>
      <c r="I4952" s="7">
        <v>0</v>
      </c>
      <c r="J4952" s="7">
        <v>0</v>
      </c>
      <c r="K4952" s="3">
        <f t="shared" si="178"/>
        <v>0</v>
      </c>
      <c r="L4952" s="3"/>
      <c r="M4952" s="3">
        <f t="shared" si="179"/>
        <v>0</v>
      </c>
      <c r="N4952" s="7"/>
      <c r="O4952" s="5"/>
      <c r="S4952" s="11"/>
    </row>
    <row r="4953" spans="1:22" customFormat="1" x14ac:dyDescent="0.45">
      <c r="A4953">
        <v>937742</v>
      </c>
      <c r="B4953" t="s">
        <v>25568</v>
      </c>
      <c r="C4953" t="s">
        <v>25569</v>
      </c>
      <c r="D4953">
        <v>1</v>
      </c>
      <c r="F4953" s="126"/>
      <c r="G4953" s="3">
        <v>0</v>
      </c>
      <c r="H4953" s="3">
        <v>0</v>
      </c>
      <c r="I4953" s="3">
        <v>0</v>
      </c>
      <c r="J4953" s="3">
        <v>0</v>
      </c>
      <c r="K4953" s="3">
        <f t="shared" si="178"/>
        <v>0</v>
      </c>
      <c r="L4953" s="3"/>
      <c r="M4953" s="3">
        <f t="shared" si="179"/>
        <v>0</v>
      </c>
      <c r="O4953" s="5"/>
      <c r="S4953" s="11"/>
    </row>
    <row r="4954" spans="1:22" customFormat="1" x14ac:dyDescent="0.45">
      <c r="A4954">
        <v>937938</v>
      </c>
      <c r="B4954" t="s">
        <v>25570</v>
      </c>
      <c r="C4954" t="s">
        <v>16331</v>
      </c>
      <c r="D4954">
        <v>0</v>
      </c>
      <c r="E4954" t="s">
        <v>16331</v>
      </c>
      <c r="F4954" s="126"/>
      <c r="K4954" s="3">
        <f t="shared" si="178"/>
        <v>0</v>
      </c>
      <c r="L4954" s="3"/>
      <c r="M4954" s="3">
        <f t="shared" si="179"/>
        <v>0</v>
      </c>
      <c r="O4954" s="5"/>
      <c r="S4954" s="11"/>
    </row>
    <row r="4955" spans="1:22" customFormat="1" x14ac:dyDescent="0.45">
      <c r="A4955">
        <v>938221</v>
      </c>
      <c r="B4955" t="s">
        <v>25571</v>
      </c>
      <c r="C4955" t="s">
        <v>16331</v>
      </c>
      <c r="D4955">
        <v>1</v>
      </c>
      <c r="E4955" t="s">
        <v>16331</v>
      </c>
      <c r="F4955" s="126"/>
      <c r="K4955" s="3">
        <f t="shared" si="178"/>
        <v>0</v>
      </c>
      <c r="L4955" s="3"/>
      <c r="M4955" s="3">
        <f t="shared" si="179"/>
        <v>0</v>
      </c>
      <c r="O4955" s="5"/>
      <c r="S4955" s="11"/>
    </row>
    <row r="4956" spans="1:22" customFormat="1" x14ac:dyDescent="0.45">
      <c r="A4956">
        <v>938243</v>
      </c>
      <c r="B4956" t="s">
        <v>25572</v>
      </c>
      <c r="C4956" t="s">
        <v>25573</v>
      </c>
      <c r="D4956">
        <v>1</v>
      </c>
      <c r="F4956" s="126"/>
      <c r="G4956" s="3">
        <v>0</v>
      </c>
      <c r="H4956" s="3">
        <v>0</v>
      </c>
      <c r="I4956" s="3">
        <v>0</v>
      </c>
      <c r="J4956" s="3">
        <v>0</v>
      </c>
      <c r="K4956" s="3">
        <f t="shared" si="178"/>
        <v>0</v>
      </c>
      <c r="L4956" s="3"/>
      <c r="M4956" s="3">
        <f t="shared" si="179"/>
        <v>0</v>
      </c>
      <c r="O4956" s="5"/>
      <c r="S4956" s="11"/>
    </row>
    <row r="4957" spans="1:22" customFormat="1" x14ac:dyDescent="0.45">
      <c r="A4957">
        <v>938269</v>
      </c>
      <c r="B4957" t="s">
        <v>25574</v>
      </c>
      <c r="C4957" t="s">
        <v>25575</v>
      </c>
      <c r="D4957">
        <v>1</v>
      </c>
      <c r="F4957" s="126"/>
      <c r="G4957" s="3">
        <v>0</v>
      </c>
      <c r="H4957" s="3">
        <v>0</v>
      </c>
      <c r="I4957" s="3">
        <v>0</v>
      </c>
      <c r="J4957" s="3">
        <v>0</v>
      </c>
      <c r="K4957" s="3">
        <f t="shared" si="178"/>
        <v>0</v>
      </c>
      <c r="L4957" s="3"/>
      <c r="M4957" s="3">
        <f t="shared" si="179"/>
        <v>0</v>
      </c>
      <c r="O4957" s="5"/>
      <c r="S4957" s="11"/>
    </row>
    <row r="4958" spans="1:22" x14ac:dyDescent="0.45">
      <c r="A4958" s="124">
        <v>143286</v>
      </c>
      <c r="B4958" s="124" t="s">
        <v>25576</v>
      </c>
      <c r="C4958" s="125" t="s">
        <v>22035</v>
      </c>
      <c r="D4958" s="124">
        <v>23</v>
      </c>
      <c r="E4958" s="124" t="s">
        <v>16417</v>
      </c>
      <c r="F4958" s="126">
        <v>5.1999999999999998E-3</v>
      </c>
      <c r="G4958" s="126">
        <f>1.75%+0.8%</f>
        <v>2.5500000000000002E-2</v>
      </c>
      <c r="H4958" s="126">
        <v>8.8000000000000005E-3</v>
      </c>
      <c r="I4958" s="127"/>
      <c r="J4958" s="127"/>
      <c r="K4958" s="126">
        <f t="shared" si="178"/>
        <v>3.4300000000000004E-2</v>
      </c>
      <c r="L4958" s="3"/>
      <c r="M4958" s="126">
        <f t="shared" si="179"/>
        <v>3.9500000000000007E-2</v>
      </c>
      <c r="O4958" s="131" t="s">
        <v>25577</v>
      </c>
      <c r="Q4958" s="130">
        <f>7544963+681934</f>
        <v>8226897</v>
      </c>
      <c r="R4958" s="124" t="s">
        <v>16348</v>
      </c>
      <c r="S4958" s="132">
        <v>5289820</v>
      </c>
      <c r="T4958" s="129">
        <f>S4958/Q4958</f>
        <v>0.64299091139709175</v>
      </c>
      <c r="V4958" s="125" t="s">
        <v>25578</v>
      </c>
    </row>
    <row r="4959" spans="1:22" customFormat="1" x14ac:dyDescent="0.45">
      <c r="A4959">
        <v>938401</v>
      </c>
      <c r="B4959" t="s">
        <v>25579</v>
      </c>
      <c r="C4959" t="s">
        <v>25580</v>
      </c>
      <c r="D4959">
        <v>1</v>
      </c>
      <c r="F4959" s="126"/>
      <c r="G4959" s="7">
        <v>0</v>
      </c>
      <c r="H4959" s="7">
        <v>0</v>
      </c>
      <c r="I4959" s="7">
        <v>0</v>
      </c>
      <c r="J4959" s="7">
        <v>0</v>
      </c>
      <c r="K4959" s="3">
        <f t="shared" si="178"/>
        <v>0</v>
      </c>
      <c r="L4959" s="3"/>
      <c r="M4959" s="3">
        <f t="shared" si="179"/>
        <v>0</v>
      </c>
      <c r="O4959" s="5"/>
      <c r="S4959" s="11"/>
    </row>
    <row r="4960" spans="1:22" customFormat="1" x14ac:dyDescent="0.45">
      <c r="A4960">
        <v>938409</v>
      </c>
      <c r="B4960" t="s">
        <v>25581</v>
      </c>
      <c r="C4960" t="s">
        <v>16331</v>
      </c>
      <c r="D4960">
        <v>1</v>
      </c>
      <c r="E4960" t="s">
        <v>16331</v>
      </c>
      <c r="F4960" s="126"/>
      <c r="G4960" s="7">
        <v>0</v>
      </c>
      <c r="H4960" s="7">
        <v>0</v>
      </c>
      <c r="I4960" s="7">
        <v>0</v>
      </c>
      <c r="J4960" s="7">
        <v>0</v>
      </c>
      <c r="K4960" s="3">
        <f t="shared" si="178"/>
        <v>0</v>
      </c>
      <c r="L4960" s="3"/>
      <c r="M4960" s="3">
        <f t="shared" si="179"/>
        <v>0</v>
      </c>
      <c r="O4960" s="5"/>
      <c r="S4960" s="11"/>
    </row>
    <row r="4961" spans="1:19" customFormat="1" x14ac:dyDescent="0.45">
      <c r="A4961">
        <v>938619</v>
      </c>
      <c r="B4961" t="s">
        <v>25582</v>
      </c>
      <c r="C4961" t="s">
        <v>16331</v>
      </c>
      <c r="D4961">
        <v>1</v>
      </c>
      <c r="E4961" t="s">
        <v>16331</v>
      </c>
      <c r="F4961" s="126"/>
      <c r="K4961" s="3">
        <f t="shared" si="178"/>
        <v>0</v>
      </c>
      <c r="L4961" s="3"/>
      <c r="M4961" s="3">
        <f t="shared" si="179"/>
        <v>0</v>
      </c>
      <c r="O4961" s="5"/>
      <c r="S4961" s="11"/>
    </row>
    <row r="4962" spans="1:19" customFormat="1" x14ac:dyDescent="0.45">
      <c r="A4962">
        <v>938688</v>
      </c>
      <c r="B4962" t="s">
        <v>25583</v>
      </c>
      <c r="C4962" t="s">
        <v>25584</v>
      </c>
      <c r="D4962">
        <v>4</v>
      </c>
      <c r="F4962" s="126"/>
      <c r="G4962" s="3">
        <v>0</v>
      </c>
      <c r="H4962" s="3">
        <v>0</v>
      </c>
      <c r="I4962" s="3">
        <v>0</v>
      </c>
      <c r="J4962" s="3">
        <v>0</v>
      </c>
      <c r="K4962" s="3">
        <f t="shared" si="178"/>
        <v>0</v>
      </c>
      <c r="L4962" s="3"/>
      <c r="M4962" s="3">
        <f t="shared" si="179"/>
        <v>0</v>
      </c>
      <c r="O4962" s="5"/>
      <c r="S4962" s="11"/>
    </row>
    <row r="4963" spans="1:19" customFormat="1" x14ac:dyDescent="0.45">
      <c r="A4963">
        <v>938844</v>
      </c>
      <c r="B4963" t="s">
        <v>25585</v>
      </c>
      <c r="C4963" t="s">
        <v>25586</v>
      </c>
      <c r="D4963">
        <v>1</v>
      </c>
      <c r="F4963" s="126"/>
      <c r="G4963" s="3">
        <v>0</v>
      </c>
      <c r="H4963" s="3">
        <v>0</v>
      </c>
      <c r="I4963" s="3">
        <v>0</v>
      </c>
      <c r="J4963" s="3">
        <v>0</v>
      </c>
      <c r="K4963" s="3">
        <f t="shared" si="178"/>
        <v>0</v>
      </c>
      <c r="L4963" s="3"/>
      <c r="M4963" s="3">
        <f t="shared" si="179"/>
        <v>0</v>
      </c>
      <c r="O4963" s="5"/>
      <c r="S4963" s="11"/>
    </row>
    <row r="4964" spans="1:19" customFormat="1" x14ac:dyDescent="0.45">
      <c r="A4964">
        <v>938877</v>
      </c>
      <c r="B4964" t="s">
        <v>25587</v>
      </c>
      <c r="C4964" s="2" t="s">
        <v>25588</v>
      </c>
      <c r="D4964">
        <v>1</v>
      </c>
      <c r="F4964" s="126"/>
      <c r="G4964" s="3">
        <v>0</v>
      </c>
      <c r="H4964" s="3">
        <v>0</v>
      </c>
      <c r="I4964" s="3">
        <v>0</v>
      </c>
      <c r="J4964" s="3">
        <v>0</v>
      </c>
      <c r="K4964" s="3">
        <f t="shared" si="178"/>
        <v>0</v>
      </c>
      <c r="L4964" s="3"/>
      <c r="M4964" s="3">
        <f t="shared" si="179"/>
        <v>0</v>
      </c>
      <c r="O4964" s="5"/>
      <c r="S4964" s="11"/>
    </row>
    <row r="4965" spans="1:19" customFormat="1" x14ac:dyDescent="0.45">
      <c r="A4965">
        <v>938967</v>
      </c>
      <c r="B4965" t="s">
        <v>25589</v>
      </c>
      <c r="C4965" t="s">
        <v>16331</v>
      </c>
      <c r="D4965">
        <v>1</v>
      </c>
      <c r="E4965" t="s">
        <v>16331</v>
      </c>
      <c r="F4965" s="126"/>
      <c r="G4965" s="7">
        <v>0</v>
      </c>
      <c r="H4965" s="7">
        <v>0</v>
      </c>
      <c r="I4965" s="7">
        <v>0</v>
      </c>
      <c r="J4965" s="7">
        <v>0</v>
      </c>
      <c r="K4965" s="3">
        <f t="shared" si="178"/>
        <v>0</v>
      </c>
      <c r="L4965" s="3"/>
      <c r="M4965" s="3">
        <f t="shared" si="179"/>
        <v>0</v>
      </c>
      <c r="O4965" s="5"/>
      <c r="S4965" s="11"/>
    </row>
    <row r="4966" spans="1:19" customFormat="1" x14ac:dyDescent="0.45">
      <c r="A4966">
        <v>939118</v>
      </c>
      <c r="B4966" t="s">
        <v>25590</v>
      </c>
      <c r="C4966" t="s">
        <v>25591</v>
      </c>
      <c r="D4966">
        <v>1</v>
      </c>
      <c r="F4966" s="126"/>
      <c r="G4966" s="7">
        <v>0</v>
      </c>
      <c r="H4966" s="7">
        <v>0</v>
      </c>
      <c r="I4966" s="7">
        <v>0</v>
      </c>
      <c r="J4966" s="7">
        <v>0</v>
      </c>
      <c r="K4966" s="3">
        <f t="shared" si="178"/>
        <v>0</v>
      </c>
      <c r="L4966" s="3"/>
      <c r="M4966" s="3">
        <f t="shared" si="179"/>
        <v>0</v>
      </c>
      <c r="O4966" s="5"/>
      <c r="S4966" s="11"/>
    </row>
    <row r="4967" spans="1:19" customFormat="1" x14ac:dyDescent="0.45">
      <c r="A4967">
        <v>939397</v>
      </c>
      <c r="B4967" t="s">
        <v>25592</v>
      </c>
      <c r="C4967" t="s">
        <v>25593</v>
      </c>
      <c r="D4967">
        <v>1</v>
      </c>
      <c r="F4967" s="126"/>
      <c r="G4967" s="3">
        <v>0</v>
      </c>
      <c r="H4967" s="3">
        <v>0</v>
      </c>
      <c r="I4967" s="3">
        <v>0</v>
      </c>
      <c r="J4967" s="3">
        <v>0</v>
      </c>
      <c r="K4967" s="3">
        <f t="shared" si="178"/>
        <v>0</v>
      </c>
      <c r="L4967" s="3"/>
      <c r="M4967" s="3">
        <f t="shared" si="179"/>
        <v>0</v>
      </c>
      <c r="O4967" s="5"/>
      <c r="S4967" s="11"/>
    </row>
    <row r="4968" spans="1:19" customFormat="1" x14ac:dyDescent="0.45">
      <c r="A4968">
        <v>939415</v>
      </c>
      <c r="B4968" t="s">
        <v>25594</v>
      </c>
      <c r="C4968" t="s">
        <v>16331</v>
      </c>
      <c r="D4968">
        <v>1</v>
      </c>
      <c r="E4968" t="s">
        <v>16331</v>
      </c>
      <c r="F4968" s="126"/>
      <c r="G4968" s="7">
        <v>0</v>
      </c>
      <c r="H4968" s="7">
        <v>0</v>
      </c>
      <c r="I4968" s="7">
        <v>0</v>
      </c>
      <c r="J4968" s="7">
        <v>0</v>
      </c>
      <c r="K4968" s="3">
        <f t="shared" si="178"/>
        <v>0</v>
      </c>
      <c r="L4968" s="3"/>
      <c r="M4968" s="3">
        <f t="shared" si="179"/>
        <v>0</v>
      </c>
      <c r="O4968" s="5"/>
      <c r="S4968" s="11"/>
    </row>
    <row r="4969" spans="1:19" customFormat="1" x14ac:dyDescent="0.45">
      <c r="A4969">
        <v>939595</v>
      </c>
      <c r="B4969" t="s">
        <v>25595</v>
      </c>
      <c r="C4969" t="s">
        <v>25596</v>
      </c>
      <c r="D4969">
        <v>2</v>
      </c>
      <c r="F4969" s="126"/>
      <c r="G4969" s="3">
        <v>0</v>
      </c>
      <c r="H4969" s="3">
        <v>0</v>
      </c>
      <c r="I4969" s="3">
        <v>0</v>
      </c>
      <c r="J4969" s="3">
        <v>0</v>
      </c>
      <c r="K4969" s="3">
        <f t="shared" si="178"/>
        <v>0</v>
      </c>
      <c r="L4969" s="3"/>
      <c r="M4969" s="3">
        <f t="shared" si="179"/>
        <v>0</v>
      </c>
      <c r="O4969" s="5"/>
      <c r="S4969" s="11"/>
    </row>
    <row r="4970" spans="1:19" customFormat="1" x14ac:dyDescent="0.45">
      <c r="A4970">
        <v>940374</v>
      </c>
      <c r="B4970" t="s">
        <v>25597</v>
      </c>
      <c r="C4970" t="s">
        <v>16331</v>
      </c>
      <c r="D4970">
        <v>0</v>
      </c>
      <c r="E4970" t="s">
        <v>16331</v>
      </c>
      <c r="F4970" s="126"/>
      <c r="G4970" s="7">
        <v>0</v>
      </c>
      <c r="H4970" s="7">
        <v>0</v>
      </c>
      <c r="I4970" s="7">
        <v>0</v>
      </c>
      <c r="J4970" s="7">
        <v>0</v>
      </c>
      <c r="K4970" s="3">
        <f t="shared" si="178"/>
        <v>0</v>
      </c>
      <c r="L4970" s="3"/>
      <c r="M4970" s="3">
        <f t="shared" si="179"/>
        <v>0</v>
      </c>
      <c r="O4970" s="5"/>
      <c r="S4970" s="11"/>
    </row>
    <row r="4971" spans="1:19" customFormat="1" x14ac:dyDescent="0.45">
      <c r="A4971">
        <v>940407</v>
      </c>
      <c r="B4971" t="s">
        <v>25598</v>
      </c>
      <c r="C4971" t="s">
        <v>25599</v>
      </c>
      <c r="D4971">
        <v>0</v>
      </c>
      <c r="E4971" t="s">
        <v>16561</v>
      </c>
      <c r="F4971" s="126"/>
      <c r="G4971" s="7">
        <v>0</v>
      </c>
      <c r="H4971" s="7">
        <v>0</v>
      </c>
      <c r="I4971" s="7">
        <v>0</v>
      </c>
      <c r="J4971" s="7">
        <v>0</v>
      </c>
      <c r="K4971" s="3">
        <f t="shared" si="178"/>
        <v>0</v>
      </c>
      <c r="L4971" s="3"/>
      <c r="M4971" s="3">
        <f t="shared" si="179"/>
        <v>0</v>
      </c>
      <c r="N4971" s="7"/>
      <c r="O4971" s="5"/>
      <c r="S4971" s="11"/>
    </row>
    <row r="4972" spans="1:19" customFormat="1" x14ac:dyDescent="0.45">
      <c r="A4972">
        <v>940511</v>
      </c>
      <c r="B4972" t="s">
        <v>25600</v>
      </c>
      <c r="C4972" t="s">
        <v>16331</v>
      </c>
      <c r="D4972">
        <v>1</v>
      </c>
      <c r="E4972" t="s">
        <v>16331</v>
      </c>
      <c r="F4972" s="126"/>
      <c r="G4972" s="7">
        <v>0</v>
      </c>
      <c r="H4972" s="7">
        <v>0</v>
      </c>
      <c r="I4972" s="7">
        <v>0</v>
      </c>
      <c r="J4972" s="7">
        <v>0</v>
      </c>
      <c r="K4972" s="3">
        <f t="shared" si="178"/>
        <v>0</v>
      </c>
      <c r="L4972" s="3"/>
      <c r="M4972" s="3">
        <f t="shared" si="179"/>
        <v>0</v>
      </c>
      <c r="O4972" s="5"/>
      <c r="S4972" s="11"/>
    </row>
    <row r="4973" spans="1:19" customFormat="1" x14ac:dyDescent="0.45">
      <c r="A4973">
        <v>940607</v>
      </c>
      <c r="B4973" t="s">
        <v>25601</v>
      </c>
      <c r="C4973" t="s">
        <v>25602</v>
      </c>
      <c r="D4973">
        <v>1</v>
      </c>
      <c r="F4973" s="126"/>
      <c r="G4973" s="3">
        <v>0</v>
      </c>
      <c r="H4973" s="3">
        <v>0</v>
      </c>
      <c r="I4973" s="3">
        <v>0</v>
      </c>
      <c r="J4973" s="3">
        <v>0</v>
      </c>
      <c r="K4973" s="3">
        <f t="shared" si="178"/>
        <v>0</v>
      </c>
      <c r="L4973" s="3"/>
      <c r="M4973" s="3">
        <f t="shared" si="179"/>
        <v>0</v>
      </c>
      <c r="O4973" s="5"/>
      <c r="S4973" s="11"/>
    </row>
    <row r="4974" spans="1:19" customFormat="1" x14ac:dyDescent="0.45">
      <c r="A4974">
        <v>940694</v>
      </c>
      <c r="B4974" t="s">
        <v>25603</v>
      </c>
      <c r="C4974" t="s">
        <v>16331</v>
      </c>
      <c r="D4974">
        <v>1</v>
      </c>
      <c r="E4974" t="s">
        <v>16331</v>
      </c>
      <c r="F4974" s="126"/>
      <c r="G4974" s="7">
        <v>0</v>
      </c>
      <c r="H4974" s="7">
        <v>0</v>
      </c>
      <c r="I4974" s="7">
        <v>0</v>
      </c>
      <c r="J4974" s="7">
        <v>0</v>
      </c>
      <c r="K4974" s="3">
        <f t="shared" si="178"/>
        <v>0</v>
      </c>
      <c r="L4974" s="3"/>
      <c r="M4974" s="3">
        <f t="shared" si="179"/>
        <v>0</v>
      </c>
      <c r="O4974" s="5"/>
      <c r="S4974" s="11"/>
    </row>
    <row r="4975" spans="1:19" customFormat="1" x14ac:dyDescent="0.45">
      <c r="A4975">
        <v>940788</v>
      </c>
      <c r="B4975" t="s">
        <v>25604</v>
      </c>
      <c r="C4975" t="s">
        <v>25605</v>
      </c>
      <c r="D4975">
        <v>1</v>
      </c>
      <c r="F4975" s="126"/>
      <c r="G4975" s="7">
        <v>0</v>
      </c>
      <c r="H4975" s="7">
        <v>0</v>
      </c>
      <c r="I4975" s="7">
        <v>0</v>
      </c>
      <c r="J4975" s="7">
        <v>0</v>
      </c>
      <c r="K4975" s="3">
        <f t="shared" si="178"/>
        <v>0</v>
      </c>
      <c r="L4975" s="3"/>
      <c r="M4975" s="3">
        <f t="shared" si="179"/>
        <v>0</v>
      </c>
      <c r="O4975" s="5"/>
      <c r="S4975" s="11"/>
    </row>
    <row r="4976" spans="1:19" customFormat="1" x14ac:dyDescent="0.45">
      <c r="A4976">
        <v>941061</v>
      </c>
      <c r="B4976" t="s">
        <v>25606</v>
      </c>
      <c r="C4976" t="s">
        <v>25607</v>
      </c>
      <c r="D4976">
        <v>2</v>
      </c>
      <c r="F4976" s="126"/>
      <c r="G4976" s="3">
        <v>0</v>
      </c>
      <c r="H4976" s="3">
        <v>0</v>
      </c>
      <c r="I4976" s="3">
        <v>0</v>
      </c>
      <c r="J4976" s="3">
        <v>0</v>
      </c>
      <c r="K4976" s="3">
        <f t="shared" si="178"/>
        <v>0</v>
      </c>
      <c r="L4976" s="3"/>
      <c r="M4976" s="3">
        <f t="shared" si="179"/>
        <v>0</v>
      </c>
      <c r="O4976" s="5"/>
      <c r="S4976" s="11"/>
    </row>
    <row r="4977" spans="1:22" customFormat="1" x14ac:dyDescent="0.45">
      <c r="A4977">
        <v>941150</v>
      </c>
      <c r="B4977" t="s">
        <v>25608</v>
      </c>
      <c r="C4977" t="s">
        <v>25609</v>
      </c>
      <c r="D4977">
        <v>2</v>
      </c>
      <c r="F4977" s="126"/>
      <c r="G4977" s="3">
        <v>0</v>
      </c>
      <c r="H4977" s="3">
        <v>0</v>
      </c>
      <c r="I4977" s="3">
        <v>0</v>
      </c>
      <c r="J4977" s="3">
        <v>0</v>
      </c>
      <c r="K4977" s="3">
        <f t="shared" si="178"/>
        <v>0</v>
      </c>
      <c r="L4977" s="3"/>
      <c r="M4977" s="3">
        <f t="shared" si="179"/>
        <v>0</v>
      </c>
      <c r="O4977" s="5"/>
      <c r="S4977" s="11"/>
    </row>
    <row r="4978" spans="1:22" customFormat="1" x14ac:dyDescent="0.45">
      <c r="A4978">
        <v>941258</v>
      </c>
      <c r="B4978" t="s">
        <v>25610</v>
      </c>
      <c r="C4978" t="s">
        <v>25611</v>
      </c>
      <c r="D4978">
        <v>1</v>
      </c>
      <c r="F4978" s="126"/>
      <c r="G4978" s="3">
        <v>0</v>
      </c>
      <c r="H4978" s="3">
        <v>0</v>
      </c>
      <c r="I4978" s="3">
        <v>0</v>
      </c>
      <c r="J4978" s="3">
        <v>0</v>
      </c>
      <c r="K4978" s="3">
        <f t="shared" ref="K4978:K5003" si="180">SUM(G4978:J4978)</f>
        <v>0</v>
      </c>
      <c r="L4978" s="3"/>
      <c r="M4978" s="3">
        <f t="shared" ref="M4978:M5041" si="181">K4978+F4978</f>
        <v>0</v>
      </c>
      <c r="O4978" s="5"/>
      <c r="S4978" s="11"/>
    </row>
    <row r="4979" spans="1:22" customFormat="1" x14ac:dyDescent="0.45">
      <c r="A4979">
        <v>941341</v>
      </c>
      <c r="B4979" t="s">
        <v>25612</v>
      </c>
      <c r="C4979" t="s">
        <v>25613</v>
      </c>
      <c r="D4979">
        <v>2</v>
      </c>
      <c r="F4979" s="126"/>
      <c r="G4979" s="7">
        <v>0</v>
      </c>
      <c r="H4979" s="3">
        <v>0</v>
      </c>
      <c r="I4979" s="3">
        <v>0</v>
      </c>
      <c r="J4979">
        <v>0</v>
      </c>
      <c r="K4979" s="3">
        <f t="shared" si="180"/>
        <v>0</v>
      </c>
      <c r="L4979" s="3"/>
      <c r="M4979" s="3">
        <f t="shared" si="181"/>
        <v>0</v>
      </c>
      <c r="O4979" s="5"/>
      <c r="S4979" s="11"/>
    </row>
    <row r="4980" spans="1:22" customFormat="1" x14ac:dyDescent="0.45">
      <c r="A4980">
        <v>941420</v>
      </c>
      <c r="B4980" t="s">
        <v>25614</v>
      </c>
      <c r="C4980" t="s">
        <v>25615</v>
      </c>
      <c r="D4980">
        <v>2</v>
      </c>
      <c r="F4980" s="126"/>
      <c r="G4980" s="7">
        <v>0</v>
      </c>
      <c r="H4980" s="7">
        <v>0</v>
      </c>
      <c r="I4980" s="7">
        <v>0</v>
      </c>
      <c r="J4980" s="7">
        <v>0</v>
      </c>
      <c r="K4980" s="3">
        <f t="shared" si="180"/>
        <v>0</v>
      </c>
      <c r="L4980" s="3"/>
      <c r="M4980" s="3">
        <f t="shared" si="181"/>
        <v>0</v>
      </c>
      <c r="O4980" s="5"/>
      <c r="S4980" s="11"/>
    </row>
    <row r="4981" spans="1:22" customFormat="1" x14ac:dyDescent="0.45">
      <c r="A4981">
        <v>941435</v>
      </c>
      <c r="B4981" t="s">
        <v>25616</v>
      </c>
      <c r="C4981" t="s">
        <v>25617</v>
      </c>
      <c r="D4981">
        <v>8</v>
      </c>
      <c r="F4981" s="126"/>
      <c r="G4981" s="3"/>
      <c r="H4981" s="3"/>
      <c r="I4981" s="3"/>
      <c r="J4981" s="3"/>
      <c r="K4981" s="3">
        <f t="shared" si="180"/>
        <v>0</v>
      </c>
      <c r="L4981" s="3"/>
      <c r="M4981" s="3">
        <f t="shared" si="181"/>
        <v>0</v>
      </c>
      <c r="O4981" s="5"/>
      <c r="S4981" s="11"/>
    </row>
    <row r="4982" spans="1:22" customFormat="1" x14ac:dyDescent="0.45">
      <c r="A4982">
        <v>941692</v>
      </c>
      <c r="B4982" t="s">
        <v>25618</v>
      </c>
      <c r="C4982" t="s">
        <v>16331</v>
      </c>
      <c r="D4982">
        <v>1</v>
      </c>
      <c r="E4982" t="s">
        <v>16331</v>
      </c>
      <c r="F4982" s="126"/>
      <c r="G4982" s="7">
        <v>0</v>
      </c>
      <c r="H4982" s="7">
        <v>0</v>
      </c>
      <c r="I4982" s="7">
        <v>0</v>
      </c>
      <c r="J4982" s="7">
        <v>0</v>
      </c>
      <c r="K4982" s="3">
        <f t="shared" si="180"/>
        <v>0</v>
      </c>
      <c r="L4982" s="3"/>
      <c r="M4982" s="3">
        <f t="shared" si="181"/>
        <v>0</v>
      </c>
      <c r="O4982" s="5"/>
      <c r="S4982" s="11"/>
    </row>
    <row r="4983" spans="1:22" customFormat="1" x14ac:dyDescent="0.45">
      <c r="A4983">
        <v>941765</v>
      </c>
      <c r="B4983" t="s">
        <v>25619</v>
      </c>
      <c r="C4983" t="s">
        <v>25620</v>
      </c>
      <c r="D4983">
        <v>1</v>
      </c>
      <c r="F4983" s="126"/>
      <c r="G4983" s="3">
        <v>0</v>
      </c>
      <c r="H4983" s="3">
        <v>0</v>
      </c>
      <c r="I4983" s="3">
        <v>0</v>
      </c>
      <c r="J4983" s="3">
        <v>0</v>
      </c>
      <c r="K4983" s="3">
        <f t="shared" si="180"/>
        <v>0</v>
      </c>
      <c r="L4983" s="3"/>
      <c r="M4983" s="3">
        <f t="shared" si="181"/>
        <v>0</v>
      </c>
      <c r="O4983" s="5"/>
      <c r="S4983" s="11"/>
    </row>
    <row r="4984" spans="1:22" customFormat="1" x14ac:dyDescent="0.45">
      <c r="A4984">
        <v>941825</v>
      </c>
      <c r="B4984" t="s">
        <v>25621</v>
      </c>
      <c r="C4984" t="s">
        <v>25622</v>
      </c>
      <c r="D4984">
        <v>3</v>
      </c>
      <c r="F4984" s="126"/>
      <c r="G4984" s="3">
        <v>0</v>
      </c>
      <c r="H4984" s="3">
        <v>0</v>
      </c>
      <c r="I4984" s="3">
        <v>0</v>
      </c>
      <c r="J4984" s="3">
        <v>0</v>
      </c>
      <c r="K4984" s="3">
        <f t="shared" si="180"/>
        <v>0</v>
      </c>
      <c r="L4984" s="3"/>
      <c r="M4984" s="3">
        <f t="shared" si="181"/>
        <v>0</v>
      </c>
      <c r="O4984" s="5"/>
      <c r="S4984" s="11"/>
    </row>
    <row r="4985" spans="1:22" customFormat="1" x14ac:dyDescent="0.45">
      <c r="A4985">
        <v>941826</v>
      </c>
      <c r="B4985" t="s">
        <v>25623</v>
      </c>
      <c r="C4985" t="s">
        <v>25624</v>
      </c>
      <c r="D4985">
        <v>1</v>
      </c>
      <c r="F4985" s="126"/>
      <c r="G4985" s="3">
        <v>0</v>
      </c>
      <c r="H4985" s="3">
        <v>0</v>
      </c>
      <c r="I4985" s="3">
        <v>0</v>
      </c>
      <c r="J4985" s="3">
        <v>0</v>
      </c>
      <c r="K4985" s="3">
        <f t="shared" si="180"/>
        <v>0</v>
      </c>
      <c r="L4985" s="3"/>
      <c r="M4985" s="3">
        <f t="shared" si="181"/>
        <v>0</v>
      </c>
      <c r="O4985" s="5"/>
      <c r="S4985" s="11"/>
    </row>
    <row r="4986" spans="1:22" customFormat="1" x14ac:dyDescent="0.45">
      <c r="A4986">
        <v>941828</v>
      </c>
      <c r="B4986" t="s">
        <v>25625</v>
      </c>
      <c r="C4986" t="s">
        <v>25626</v>
      </c>
      <c r="D4986">
        <v>1</v>
      </c>
      <c r="F4986" s="126"/>
      <c r="G4986" s="7">
        <v>0</v>
      </c>
      <c r="H4986" s="7">
        <v>0</v>
      </c>
      <c r="I4986" s="7">
        <v>0</v>
      </c>
      <c r="J4986" s="7">
        <v>0</v>
      </c>
      <c r="K4986" s="3">
        <f t="shared" si="180"/>
        <v>0</v>
      </c>
      <c r="L4986" s="3"/>
      <c r="M4986" s="3">
        <f t="shared" si="181"/>
        <v>0</v>
      </c>
      <c r="O4986" s="5"/>
      <c r="S4986" s="11"/>
    </row>
    <row r="4987" spans="1:22" customFormat="1" x14ac:dyDescent="0.45">
      <c r="A4987">
        <v>942580</v>
      </c>
      <c r="B4987" t="s">
        <v>25627</v>
      </c>
      <c r="C4987" t="s">
        <v>25628</v>
      </c>
      <c r="D4987">
        <v>2</v>
      </c>
      <c r="F4987" s="126"/>
      <c r="G4987" s="7">
        <v>0</v>
      </c>
      <c r="H4987" s="7">
        <v>0</v>
      </c>
      <c r="I4987" s="7">
        <v>0</v>
      </c>
      <c r="J4987" s="7">
        <v>0</v>
      </c>
      <c r="K4987" s="3">
        <f t="shared" si="180"/>
        <v>0</v>
      </c>
      <c r="L4987" s="3"/>
      <c r="M4987" s="3">
        <f t="shared" si="181"/>
        <v>0</v>
      </c>
      <c r="N4987" s="7"/>
      <c r="O4987" s="5"/>
      <c r="S4987" s="11"/>
    </row>
    <row r="4988" spans="1:22" x14ac:dyDescent="0.45">
      <c r="A4988" s="124">
        <v>125177</v>
      </c>
      <c r="B4988" s="124" t="s">
        <v>25629</v>
      </c>
      <c r="C4988" s="125" t="s">
        <v>25630</v>
      </c>
      <c r="D4988" s="124">
        <v>2</v>
      </c>
      <c r="E4988" s="124" t="s">
        <v>16334</v>
      </c>
      <c r="F4988" s="126">
        <v>1.6999999999999999E-3</v>
      </c>
      <c r="G4988" s="126"/>
      <c r="H4988" s="126"/>
      <c r="I4988" s="127">
        <v>0.02</v>
      </c>
      <c r="J4988" s="127">
        <v>8.5000000000000006E-3</v>
      </c>
      <c r="K4988" s="126">
        <f t="shared" si="180"/>
        <v>2.8500000000000001E-2</v>
      </c>
      <c r="L4988" s="3"/>
      <c r="M4988" s="126">
        <f t="shared" si="181"/>
        <v>3.0200000000000001E-2</v>
      </c>
      <c r="N4988" s="125" t="s">
        <v>25631</v>
      </c>
      <c r="O4988" s="125" t="s">
        <v>25631</v>
      </c>
      <c r="P4988" s="128" t="s">
        <v>26918</v>
      </c>
      <c r="Q4988" s="124">
        <v>479302</v>
      </c>
      <c r="R4988" s="124" t="s">
        <v>16348</v>
      </c>
      <c r="S4988" s="130">
        <v>185878</v>
      </c>
      <c r="T4988" s="129">
        <f>S4988/Q4988</f>
        <v>0.3878097733787883</v>
      </c>
      <c r="V4988" s="125" t="s">
        <v>25632</v>
      </c>
    </row>
    <row r="4989" spans="1:22" customFormat="1" x14ac:dyDescent="0.45">
      <c r="A4989">
        <v>942692</v>
      </c>
      <c r="B4989" t="s">
        <v>25633</v>
      </c>
      <c r="C4989" t="s">
        <v>25634</v>
      </c>
      <c r="D4989">
        <v>1</v>
      </c>
      <c r="F4989" s="126"/>
      <c r="G4989" s="7">
        <v>0</v>
      </c>
      <c r="H4989" s="3">
        <v>0</v>
      </c>
      <c r="I4989" s="3">
        <v>0</v>
      </c>
      <c r="J4989">
        <v>0</v>
      </c>
      <c r="K4989" s="3">
        <f t="shared" si="180"/>
        <v>0</v>
      </c>
      <c r="L4989" s="3"/>
      <c r="M4989" s="3">
        <f t="shared" si="181"/>
        <v>0</v>
      </c>
      <c r="O4989" s="5"/>
      <c r="S4989" s="11"/>
    </row>
    <row r="4990" spans="1:22" customFormat="1" x14ac:dyDescent="0.45">
      <c r="A4990">
        <v>942693</v>
      </c>
      <c r="B4990" t="s">
        <v>25635</v>
      </c>
      <c r="C4990" t="s">
        <v>16331</v>
      </c>
      <c r="D4990">
        <v>1</v>
      </c>
      <c r="E4990" t="s">
        <v>16331</v>
      </c>
      <c r="F4990" s="126"/>
      <c r="G4990" s="7">
        <v>0</v>
      </c>
      <c r="H4990" s="7">
        <v>0</v>
      </c>
      <c r="I4990" s="7">
        <v>0</v>
      </c>
      <c r="J4990" s="7">
        <v>0</v>
      </c>
      <c r="K4990" s="3">
        <f t="shared" si="180"/>
        <v>0</v>
      </c>
      <c r="L4990" s="3"/>
      <c r="M4990" s="3">
        <f t="shared" si="181"/>
        <v>0</v>
      </c>
      <c r="O4990" s="5"/>
      <c r="S4990" s="11"/>
    </row>
    <row r="4991" spans="1:22" customFormat="1" x14ac:dyDescent="0.45">
      <c r="A4991">
        <v>942822</v>
      </c>
      <c r="B4991" t="s">
        <v>25636</v>
      </c>
      <c r="C4991" t="s">
        <v>16331</v>
      </c>
      <c r="D4991">
        <v>2</v>
      </c>
      <c r="E4991" t="s">
        <v>16331</v>
      </c>
      <c r="F4991" s="126"/>
      <c r="G4991" s="7">
        <v>0</v>
      </c>
      <c r="H4991" s="7">
        <v>0</v>
      </c>
      <c r="I4991" s="7">
        <v>0</v>
      </c>
      <c r="J4991" s="7">
        <v>0</v>
      </c>
      <c r="K4991" s="3">
        <f t="shared" si="180"/>
        <v>0</v>
      </c>
      <c r="L4991" s="3"/>
      <c r="M4991" s="3">
        <f t="shared" si="181"/>
        <v>0</v>
      </c>
      <c r="O4991" s="5"/>
      <c r="S4991" s="11"/>
    </row>
    <row r="4992" spans="1:22" customFormat="1" x14ac:dyDescent="0.45">
      <c r="A4992">
        <v>942824</v>
      </c>
      <c r="B4992" t="s">
        <v>25637</v>
      </c>
      <c r="C4992" t="s">
        <v>25638</v>
      </c>
      <c r="D4992">
        <v>1</v>
      </c>
      <c r="F4992" s="126"/>
      <c r="G4992" s="7">
        <v>0</v>
      </c>
      <c r="H4992" s="7">
        <v>0</v>
      </c>
      <c r="I4992" s="7">
        <v>0</v>
      </c>
      <c r="J4992" s="7">
        <v>0</v>
      </c>
      <c r="K4992" s="3">
        <f t="shared" si="180"/>
        <v>0</v>
      </c>
      <c r="L4992" s="3"/>
      <c r="M4992" s="3">
        <f t="shared" si="181"/>
        <v>0</v>
      </c>
      <c r="O4992" s="5"/>
      <c r="S4992" s="11"/>
    </row>
    <row r="4993" spans="1:23" customFormat="1" x14ac:dyDescent="0.45">
      <c r="A4993">
        <v>942872</v>
      </c>
      <c r="B4993" t="s">
        <v>25639</v>
      </c>
      <c r="C4993" t="s">
        <v>25640</v>
      </c>
      <c r="D4993">
        <v>1</v>
      </c>
      <c r="F4993" s="126"/>
      <c r="G4993" s="3">
        <v>0</v>
      </c>
      <c r="H4993" s="3">
        <v>0</v>
      </c>
      <c r="I4993" s="3">
        <v>0</v>
      </c>
      <c r="J4993" s="3">
        <v>0</v>
      </c>
      <c r="K4993" s="3">
        <f t="shared" si="180"/>
        <v>0</v>
      </c>
      <c r="L4993" s="3"/>
      <c r="M4993" s="3">
        <f t="shared" si="181"/>
        <v>0</v>
      </c>
      <c r="O4993" s="5"/>
      <c r="S4993" s="11"/>
    </row>
    <row r="4994" spans="1:23" customFormat="1" x14ac:dyDescent="0.45">
      <c r="A4994">
        <v>942874</v>
      </c>
      <c r="B4994" t="s">
        <v>25641</v>
      </c>
      <c r="C4994" t="s">
        <v>25642</v>
      </c>
      <c r="D4994">
        <v>1</v>
      </c>
      <c r="F4994" s="126"/>
      <c r="G4994" s="3">
        <v>0</v>
      </c>
      <c r="H4994" s="3">
        <v>0</v>
      </c>
      <c r="I4994" s="3">
        <v>0</v>
      </c>
      <c r="J4994" s="3">
        <v>0</v>
      </c>
      <c r="K4994" s="3">
        <f t="shared" si="180"/>
        <v>0</v>
      </c>
      <c r="L4994" s="3"/>
      <c r="M4994" s="3">
        <f t="shared" si="181"/>
        <v>0</v>
      </c>
      <c r="O4994" s="5"/>
      <c r="S4994" s="11"/>
    </row>
    <row r="4995" spans="1:23" customFormat="1" x14ac:dyDescent="0.45">
      <c r="A4995">
        <v>942906</v>
      </c>
      <c r="B4995" t="s">
        <v>25643</v>
      </c>
      <c r="C4995" t="s">
        <v>25644</v>
      </c>
      <c r="D4995">
        <v>7</v>
      </c>
      <c r="F4995" s="126"/>
      <c r="G4995" s="7">
        <v>0</v>
      </c>
      <c r="H4995" s="7">
        <v>0</v>
      </c>
      <c r="I4995" s="7">
        <v>0</v>
      </c>
      <c r="J4995" s="7">
        <v>0</v>
      </c>
      <c r="K4995" s="3">
        <f t="shared" si="180"/>
        <v>0</v>
      </c>
      <c r="L4995" s="3"/>
      <c r="M4995" s="3">
        <f t="shared" si="181"/>
        <v>0</v>
      </c>
      <c r="O4995" s="5"/>
      <c r="S4995" s="11"/>
    </row>
    <row r="4996" spans="1:23" customFormat="1" x14ac:dyDescent="0.45">
      <c r="A4996">
        <v>943119</v>
      </c>
      <c r="B4996" t="s">
        <v>25645</v>
      </c>
      <c r="C4996" t="s">
        <v>25646</v>
      </c>
      <c r="D4996">
        <v>1</v>
      </c>
      <c r="F4996" s="126"/>
      <c r="G4996" s="3">
        <v>0</v>
      </c>
      <c r="H4996" s="3">
        <v>0</v>
      </c>
      <c r="I4996" s="3">
        <v>0</v>
      </c>
      <c r="J4996" s="3">
        <v>0</v>
      </c>
      <c r="K4996" s="3">
        <f t="shared" si="180"/>
        <v>0</v>
      </c>
      <c r="L4996" s="3"/>
      <c r="M4996" s="3">
        <f t="shared" si="181"/>
        <v>0</v>
      </c>
      <c r="O4996" s="5"/>
      <c r="S4996" s="11"/>
    </row>
    <row r="4997" spans="1:23" customFormat="1" x14ac:dyDescent="0.45">
      <c r="A4997">
        <v>943133</v>
      </c>
      <c r="B4997" t="s">
        <v>25647</v>
      </c>
      <c r="C4997" t="s">
        <v>25648</v>
      </c>
      <c r="D4997">
        <v>1</v>
      </c>
      <c r="F4997" s="126"/>
      <c r="K4997" s="3">
        <f t="shared" si="180"/>
        <v>0</v>
      </c>
      <c r="L4997" s="3"/>
      <c r="M4997" s="3">
        <f t="shared" si="181"/>
        <v>0</v>
      </c>
      <c r="O4997" s="5"/>
      <c r="S4997" s="11"/>
    </row>
    <row r="4998" spans="1:23" customFormat="1" x14ac:dyDescent="0.45">
      <c r="A4998">
        <v>943190</v>
      </c>
      <c r="B4998" t="s">
        <v>25649</v>
      </c>
      <c r="C4998" t="s">
        <v>16331</v>
      </c>
      <c r="D4998">
        <v>1</v>
      </c>
      <c r="E4998" t="s">
        <v>16331</v>
      </c>
      <c r="F4998" s="126"/>
      <c r="G4998" s="7">
        <v>0</v>
      </c>
      <c r="H4998" s="7">
        <v>0</v>
      </c>
      <c r="I4998" s="7">
        <v>0</v>
      </c>
      <c r="J4998" s="7">
        <v>0</v>
      </c>
      <c r="K4998" s="3">
        <f t="shared" si="180"/>
        <v>0</v>
      </c>
      <c r="L4998" s="3"/>
      <c r="M4998" s="3">
        <f t="shared" si="181"/>
        <v>0</v>
      </c>
      <c r="O4998" s="5"/>
      <c r="S4998" s="11"/>
    </row>
    <row r="4999" spans="1:23" customFormat="1" x14ac:dyDescent="0.45">
      <c r="A4999">
        <v>943519</v>
      </c>
      <c r="B4999" t="s">
        <v>25650</v>
      </c>
      <c r="C4999" t="s">
        <v>16331</v>
      </c>
      <c r="D4999">
        <v>1</v>
      </c>
      <c r="E4999" t="s">
        <v>16331</v>
      </c>
      <c r="F4999" s="126"/>
      <c r="G4999" s="7">
        <v>0</v>
      </c>
      <c r="H4999" s="7">
        <v>0</v>
      </c>
      <c r="I4999" s="7">
        <v>0</v>
      </c>
      <c r="J4999" s="7">
        <v>0</v>
      </c>
      <c r="K4999" s="3">
        <f t="shared" si="180"/>
        <v>0</v>
      </c>
      <c r="L4999" s="3"/>
      <c r="M4999" s="3">
        <f t="shared" si="181"/>
        <v>0</v>
      </c>
      <c r="O4999" s="5"/>
      <c r="S4999" s="11"/>
    </row>
    <row r="5000" spans="1:23" customFormat="1" x14ac:dyDescent="0.45">
      <c r="A5000">
        <v>943567</v>
      </c>
      <c r="B5000" t="s">
        <v>25651</v>
      </c>
      <c r="C5000" t="s">
        <v>16331</v>
      </c>
      <c r="D5000">
        <v>1</v>
      </c>
      <c r="E5000" t="s">
        <v>16331</v>
      </c>
      <c r="F5000" s="126"/>
      <c r="G5000" s="7">
        <v>0</v>
      </c>
      <c r="H5000" s="7">
        <v>0</v>
      </c>
      <c r="I5000" s="7">
        <v>0</v>
      </c>
      <c r="J5000" s="7">
        <v>0</v>
      </c>
      <c r="K5000" s="3">
        <f t="shared" si="180"/>
        <v>0</v>
      </c>
      <c r="L5000" s="3"/>
      <c r="M5000" s="3">
        <f t="shared" si="181"/>
        <v>0</v>
      </c>
      <c r="O5000" s="5"/>
      <c r="S5000" s="11"/>
    </row>
    <row r="5001" spans="1:23" customFormat="1" x14ac:dyDescent="0.45">
      <c r="A5001">
        <v>943846</v>
      </c>
      <c r="B5001" t="s">
        <v>25652</v>
      </c>
      <c r="C5001" t="s">
        <v>16331</v>
      </c>
      <c r="D5001">
        <v>1</v>
      </c>
      <c r="E5001" t="s">
        <v>16331</v>
      </c>
      <c r="F5001" s="126"/>
      <c r="G5001" s="7">
        <v>0</v>
      </c>
      <c r="H5001" s="7">
        <v>0</v>
      </c>
      <c r="I5001" s="7">
        <v>0</v>
      </c>
      <c r="J5001" s="7">
        <v>0</v>
      </c>
      <c r="K5001" s="3">
        <f t="shared" si="180"/>
        <v>0</v>
      </c>
      <c r="L5001" s="3"/>
      <c r="M5001" s="3">
        <f t="shared" si="181"/>
        <v>0</v>
      </c>
      <c r="O5001" s="5"/>
      <c r="S5001" s="11"/>
    </row>
    <row r="5002" spans="1:23" customFormat="1" x14ac:dyDescent="0.45">
      <c r="A5002">
        <v>944080</v>
      </c>
      <c r="B5002" t="s">
        <v>25653</v>
      </c>
      <c r="C5002" t="s">
        <v>25654</v>
      </c>
      <c r="D5002">
        <v>2</v>
      </c>
      <c r="F5002" s="126"/>
      <c r="G5002" s="20">
        <v>0</v>
      </c>
      <c r="H5002" s="20">
        <v>0</v>
      </c>
      <c r="I5002" s="20">
        <v>0</v>
      </c>
      <c r="J5002" s="20">
        <v>0</v>
      </c>
      <c r="K5002" s="3">
        <f t="shared" si="180"/>
        <v>0</v>
      </c>
      <c r="L5002" s="3"/>
      <c r="M5002" s="3">
        <f t="shared" si="181"/>
        <v>0</v>
      </c>
      <c r="N5002" s="19"/>
      <c r="O5002" s="5"/>
      <c r="S5002" s="11"/>
    </row>
    <row r="5003" spans="1:23" customFormat="1" x14ac:dyDescent="0.45">
      <c r="A5003">
        <v>944220</v>
      </c>
      <c r="B5003" t="s">
        <v>25655</v>
      </c>
      <c r="C5003" t="s">
        <v>25656</v>
      </c>
      <c r="D5003">
        <v>2</v>
      </c>
      <c r="F5003" s="126"/>
      <c r="G5003" s="3">
        <v>0</v>
      </c>
      <c r="H5003" s="3">
        <v>0</v>
      </c>
      <c r="I5003" s="3">
        <v>0</v>
      </c>
      <c r="J5003" s="3">
        <v>0</v>
      </c>
      <c r="K5003" s="3">
        <f t="shared" si="180"/>
        <v>0</v>
      </c>
      <c r="L5003" s="3"/>
      <c r="M5003" s="3">
        <f t="shared" si="181"/>
        <v>0</v>
      </c>
      <c r="O5003" s="5"/>
      <c r="S5003" s="11"/>
    </row>
    <row r="5004" spans="1:23" x14ac:dyDescent="0.45">
      <c r="A5004" s="124">
        <v>992948</v>
      </c>
      <c r="B5004" s="124" t="s">
        <v>25657</v>
      </c>
      <c r="C5004" s="124" t="s">
        <v>25658</v>
      </c>
      <c r="D5004" s="124">
        <v>4</v>
      </c>
      <c r="E5004" s="124" t="s">
        <v>16334</v>
      </c>
      <c r="F5004" s="126">
        <v>1.6999999999999999E-3</v>
      </c>
      <c r="G5004" s="126"/>
      <c r="H5004" s="126"/>
      <c r="I5004" s="127">
        <v>0.04</v>
      </c>
      <c r="J5004" s="127">
        <v>7.4999999999999997E-3</v>
      </c>
      <c r="K5004" s="126">
        <f>SUM(I5004:J5004)</f>
        <v>4.7500000000000001E-2</v>
      </c>
      <c r="L5004" s="3"/>
      <c r="M5004" s="126">
        <f t="shared" si="181"/>
        <v>4.9200000000000001E-2</v>
      </c>
      <c r="N5004" s="125"/>
      <c r="O5004" s="131" t="s">
        <v>25659</v>
      </c>
      <c r="P5004" s="128" t="s">
        <v>26918</v>
      </c>
      <c r="Q5004" s="124">
        <f>213468+72736</f>
        <v>286204</v>
      </c>
      <c r="R5004" s="124" t="s">
        <v>16348</v>
      </c>
      <c r="S5004" s="132">
        <v>136968</v>
      </c>
      <c r="T5004" s="129">
        <f>S5004/Q5004</f>
        <v>0.47856773490237731</v>
      </c>
      <c r="V5004" s="125" t="s">
        <v>25660</v>
      </c>
      <c r="W5004" s="124" t="s">
        <v>17021</v>
      </c>
    </row>
    <row r="5005" spans="1:23" customFormat="1" x14ac:dyDescent="0.45">
      <c r="A5005">
        <v>944677</v>
      </c>
      <c r="B5005" t="s">
        <v>25661</v>
      </c>
      <c r="C5005" s="2" t="s">
        <v>25662</v>
      </c>
      <c r="D5005">
        <v>3</v>
      </c>
      <c r="F5005" s="126"/>
      <c r="G5005" s="3">
        <v>0</v>
      </c>
      <c r="H5005" s="3">
        <v>0</v>
      </c>
      <c r="I5005" s="3">
        <v>0</v>
      </c>
      <c r="J5005" s="3">
        <v>0</v>
      </c>
      <c r="K5005" s="3">
        <f t="shared" ref="K5005:K5068" si="182">SUM(G5005:J5005)</f>
        <v>0</v>
      </c>
      <c r="L5005" s="3"/>
      <c r="M5005" s="3">
        <f t="shared" si="181"/>
        <v>0</v>
      </c>
      <c r="O5005" s="5"/>
      <c r="S5005" s="11"/>
    </row>
    <row r="5006" spans="1:23" customFormat="1" x14ac:dyDescent="0.45">
      <c r="A5006">
        <v>944768</v>
      </c>
      <c r="B5006" t="s">
        <v>25663</v>
      </c>
      <c r="C5006" t="s">
        <v>16331</v>
      </c>
      <c r="D5006">
        <v>1</v>
      </c>
      <c r="E5006" t="s">
        <v>16331</v>
      </c>
      <c r="F5006" s="126"/>
      <c r="G5006" s="7">
        <v>0</v>
      </c>
      <c r="H5006" s="7">
        <v>0</v>
      </c>
      <c r="I5006" s="7">
        <v>0</v>
      </c>
      <c r="J5006" s="7">
        <v>0</v>
      </c>
      <c r="K5006" s="3">
        <f t="shared" si="182"/>
        <v>0</v>
      </c>
      <c r="L5006" s="3"/>
      <c r="M5006" s="3">
        <f t="shared" si="181"/>
        <v>0</v>
      </c>
      <c r="O5006" s="5"/>
      <c r="S5006" s="11"/>
    </row>
    <row r="5007" spans="1:23" customFormat="1" x14ac:dyDescent="0.45">
      <c r="A5007">
        <v>944965</v>
      </c>
      <c r="B5007" t="s">
        <v>25664</v>
      </c>
      <c r="C5007" t="s">
        <v>25665</v>
      </c>
      <c r="D5007">
        <v>2</v>
      </c>
      <c r="F5007" s="126"/>
      <c r="G5007" s="7">
        <v>0</v>
      </c>
      <c r="H5007" s="7">
        <v>0</v>
      </c>
      <c r="I5007" s="7">
        <v>0</v>
      </c>
      <c r="J5007" s="7">
        <v>0</v>
      </c>
      <c r="K5007" s="3">
        <f t="shared" si="182"/>
        <v>0</v>
      </c>
      <c r="L5007" s="3"/>
      <c r="M5007" s="3">
        <f t="shared" si="181"/>
        <v>0</v>
      </c>
      <c r="O5007" s="5"/>
      <c r="S5007" s="11"/>
    </row>
    <row r="5008" spans="1:23" customFormat="1" x14ac:dyDescent="0.45">
      <c r="A5008">
        <v>945007</v>
      </c>
      <c r="B5008" t="s">
        <v>25666</v>
      </c>
      <c r="C5008" t="s">
        <v>25667</v>
      </c>
      <c r="D5008">
        <v>2</v>
      </c>
      <c r="F5008" s="126"/>
      <c r="G5008" s="7">
        <v>0</v>
      </c>
      <c r="H5008" s="7">
        <v>0</v>
      </c>
      <c r="I5008" s="7">
        <v>0</v>
      </c>
      <c r="J5008" s="7">
        <v>0</v>
      </c>
      <c r="K5008" s="3">
        <f t="shared" si="182"/>
        <v>0</v>
      </c>
      <c r="L5008" s="3"/>
      <c r="M5008" s="3">
        <f t="shared" si="181"/>
        <v>0</v>
      </c>
      <c r="O5008" s="5"/>
      <c r="S5008" s="11"/>
    </row>
    <row r="5009" spans="1:22" x14ac:dyDescent="0.45">
      <c r="A5009" s="124">
        <v>131216</v>
      </c>
      <c r="B5009" s="124" t="s">
        <v>25668</v>
      </c>
      <c r="C5009" s="124" t="s">
        <v>25669</v>
      </c>
      <c r="D5009" s="124">
        <v>3</v>
      </c>
      <c r="E5009" s="124" t="s">
        <v>16334</v>
      </c>
      <c r="F5009" s="126">
        <v>1.6999999999999999E-3</v>
      </c>
      <c r="G5009" s="126">
        <v>1.8499999999999999E-2</v>
      </c>
      <c r="H5009" s="135">
        <v>0</v>
      </c>
      <c r="I5009" s="127">
        <v>0</v>
      </c>
      <c r="J5009" s="127">
        <v>5.0000000000000001E-3</v>
      </c>
      <c r="K5009" s="126">
        <f t="shared" si="182"/>
        <v>2.35E-2</v>
      </c>
      <c r="L5009" s="3"/>
      <c r="M5009" s="126">
        <f t="shared" si="181"/>
        <v>2.52E-2</v>
      </c>
      <c r="O5009" s="125" t="s">
        <v>25670</v>
      </c>
      <c r="P5009" s="128" t="s">
        <v>26918</v>
      </c>
      <c r="Q5009" s="130">
        <v>81481</v>
      </c>
      <c r="R5009" s="124" t="s">
        <v>16348</v>
      </c>
      <c r="S5009" s="130">
        <v>81481</v>
      </c>
      <c r="T5009" s="129">
        <f>S5009/Q5009</f>
        <v>1</v>
      </c>
      <c r="V5009" s="125" t="s">
        <v>25671</v>
      </c>
    </row>
    <row r="5010" spans="1:22" customFormat="1" x14ac:dyDescent="0.45">
      <c r="A5010">
        <v>945107</v>
      </c>
      <c r="B5010" t="s">
        <v>25672</v>
      </c>
      <c r="C5010" t="s">
        <v>25673</v>
      </c>
      <c r="D5010">
        <v>4</v>
      </c>
      <c r="F5010" s="126"/>
      <c r="G5010" s="3">
        <v>0</v>
      </c>
      <c r="H5010" s="3">
        <v>0</v>
      </c>
      <c r="I5010" s="3">
        <v>0</v>
      </c>
      <c r="J5010" s="3">
        <v>0</v>
      </c>
      <c r="K5010" s="3">
        <f t="shared" si="182"/>
        <v>0</v>
      </c>
      <c r="L5010" s="3"/>
      <c r="M5010" s="3">
        <f t="shared" si="181"/>
        <v>0</v>
      </c>
      <c r="O5010" s="5"/>
      <c r="S5010" s="11"/>
    </row>
    <row r="5011" spans="1:22" customFormat="1" x14ac:dyDescent="0.45">
      <c r="A5011">
        <v>945304</v>
      </c>
      <c r="B5011" t="s">
        <v>25674</v>
      </c>
      <c r="C5011" s="2" t="s">
        <v>25675</v>
      </c>
      <c r="D5011">
        <v>2</v>
      </c>
      <c r="F5011" s="126"/>
      <c r="G5011" s="3">
        <v>0</v>
      </c>
      <c r="H5011" s="3">
        <v>0</v>
      </c>
      <c r="I5011" s="3">
        <v>0</v>
      </c>
      <c r="J5011" s="3">
        <v>0</v>
      </c>
      <c r="K5011" s="3">
        <f t="shared" si="182"/>
        <v>0</v>
      </c>
      <c r="L5011" s="3"/>
      <c r="M5011" s="3">
        <f t="shared" si="181"/>
        <v>0</v>
      </c>
      <c r="O5011" s="5"/>
      <c r="S5011" s="11"/>
    </row>
    <row r="5012" spans="1:22" customFormat="1" x14ac:dyDescent="0.45">
      <c r="A5012">
        <v>945599</v>
      </c>
      <c r="B5012" t="s">
        <v>25676</v>
      </c>
      <c r="C5012" t="s">
        <v>25677</v>
      </c>
      <c r="D5012">
        <v>3</v>
      </c>
      <c r="F5012" s="126"/>
      <c r="G5012" s="3">
        <v>0</v>
      </c>
      <c r="H5012" s="3">
        <v>0</v>
      </c>
      <c r="I5012" s="3">
        <v>0</v>
      </c>
      <c r="J5012" s="3">
        <v>0</v>
      </c>
      <c r="K5012" s="3">
        <f t="shared" si="182"/>
        <v>0</v>
      </c>
      <c r="L5012" s="3"/>
      <c r="M5012" s="3">
        <f t="shared" si="181"/>
        <v>0</v>
      </c>
      <c r="O5012" s="5"/>
      <c r="S5012" s="11"/>
    </row>
    <row r="5013" spans="1:22" customFormat="1" x14ac:dyDescent="0.45">
      <c r="A5013">
        <v>945625</v>
      </c>
      <c r="B5013" t="s">
        <v>25678</v>
      </c>
      <c r="C5013" t="s">
        <v>25679</v>
      </c>
      <c r="D5013">
        <v>1</v>
      </c>
      <c r="F5013" s="126"/>
      <c r="G5013" s="3">
        <v>0</v>
      </c>
      <c r="H5013" s="3">
        <v>0</v>
      </c>
      <c r="I5013" s="3">
        <v>0</v>
      </c>
      <c r="J5013" s="3">
        <v>0</v>
      </c>
      <c r="K5013" s="3">
        <f t="shared" si="182"/>
        <v>0</v>
      </c>
      <c r="L5013" s="3"/>
      <c r="M5013" s="3">
        <f t="shared" si="181"/>
        <v>0</v>
      </c>
      <c r="O5013" s="5"/>
      <c r="S5013" s="11"/>
    </row>
    <row r="5014" spans="1:22" customFormat="1" x14ac:dyDescent="0.45">
      <c r="A5014">
        <v>945723</v>
      </c>
      <c r="B5014" t="s">
        <v>25680</v>
      </c>
      <c r="C5014" t="s">
        <v>25681</v>
      </c>
      <c r="D5014">
        <v>1</v>
      </c>
      <c r="F5014" s="126"/>
      <c r="G5014" s="3">
        <v>0</v>
      </c>
      <c r="H5014" s="3">
        <v>0</v>
      </c>
      <c r="I5014" s="3">
        <v>0</v>
      </c>
      <c r="J5014" s="3">
        <v>0</v>
      </c>
      <c r="K5014" s="3">
        <f t="shared" si="182"/>
        <v>0</v>
      </c>
      <c r="L5014" s="3"/>
      <c r="M5014" s="3">
        <f t="shared" si="181"/>
        <v>0</v>
      </c>
      <c r="O5014" s="5"/>
      <c r="S5014" s="11"/>
    </row>
    <row r="5015" spans="1:22" customFormat="1" x14ac:dyDescent="0.45">
      <c r="A5015">
        <v>945863</v>
      </c>
      <c r="B5015" t="s">
        <v>25682</v>
      </c>
      <c r="C5015" t="s">
        <v>16331</v>
      </c>
      <c r="D5015">
        <v>1</v>
      </c>
      <c r="E5015" t="s">
        <v>16331</v>
      </c>
      <c r="F5015" s="126"/>
      <c r="G5015" s="7">
        <v>0</v>
      </c>
      <c r="H5015" s="7">
        <v>0</v>
      </c>
      <c r="I5015" s="7">
        <v>0</v>
      </c>
      <c r="J5015" s="7">
        <v>0</v>
      </c>
      <c r="K5015" s="3">
        <f t="shared" si="182"/>
        <v>0</v>
      </c>
      <c r="L5015" s="3"/>
      <c r="M5015" s="3">
        <f t="shared" si="181"/>
        <v>0</v>
      </c>
      <c r="O5015" s="5"/>
      <c r="S5015" s="11"/>
    </row>
    <row r="5016" spans="1:22" customFormat="1" x14ac:dyDescent="0.45">
      <c r="A5016">
        <v>945907</v>
      </c>
      <c r="B5016" t="s">
        <v>25683</v>
      </c>
      <c r="C5016" t="s">
        <v>25684</v>
      </c>
      <c r="D5016">
        <v>1</v>
      </c>
      <c r="F5016" s="126"/>
      <c r="K5016" s="3">
        <f t="shared" si="182"/>
        <v>0</v>
      </c>
      <c r="L5016" s="3"/>
      <c r="M5016" s="3">
        <f t="shared" si="181"/>
        <v>0</v>
      </c>
      <c r="O5016" s="5"/>
      <c r="S5016" s="11"/>
    </row>
    <row r="5017" spans="1:22" customFormat="1" x14ac:dyDescent="0.45">
      <c r="A5017">
        <v>945968</v>
      </c>
      <c r="B5017" t="s">
        <v>25685</v>
      </c>
      <c r="C5017" t="s">
        <v>16331</v>
      </c>
      <c r="D5017">
        <v>1</v>
      </c>
      <c r="E5017" t="s">
        <v>16331</v>
      </c>
      <c r="F5017" s="126"/>
      <c r="G5017" s="7">
        <v>0</v>
      </c>
      <c r="H5017" s="7">
        <v>0</v>
      </c>
      <c r="I5017" s="7">
        <v>0</v>
      </c>
      <c r="J5017" s="7">
        <v>0</v>
      </c>
      <c r="K5017" s="3">
        <f t="shared" si="182"/>
        <v>0</v>
      </c>
      <c r="L5017" s="3"/>
      <c r="M5017" s="3">
        <f t="shared" si="181"/>
        <v>0</v>
      </c>
      <c r="O5017" s="5"/>
      <c r="S5017" s="11"/>
    </row>
    <row r="5018" spans="1:22" customFormat="1" x14ac:dyDescent="0.45">
      <c r="A5018">
        <v>946172</v>
      </c>
      <c r="B5018" t="s">
        <v>25686</v>
      </c>
      <c r="C5018" t="s">
        <v>25687</v>
      </c>
      <c r="D5018">
        <v>1</v>
      </c>
      <c r="F5018" s="126"/>
      <c r="G5018" s="3"/>
      <c r="H5018" s="3"/>
      <c r="I5018" s="3"/>
      <c r="J5018" s="3"/>
      <c r="K5018" s="3">
        <f t="shared" si="182"/>
        <v>0</v>
      </c>
      <c r="L5018" s="3"/>
      <c r="M5018" s="3">
        <f t="shared" si="181"/>
        <v>0</v>
      </c>
      <c r="O5018" s="5"/>
      <c r="S5018" s="11"/>
    </row>
    <row r="5019" spans="1:22" customFormat="1" x14ac:dyDescent="0.45">
      <c r="A5019">
        <v>946176</v>
      </c>
      <c r="B5019" t="s">
        <v>25688</v>
      </c>
      <c r="C5019" t="s">
        <v>16331</v>
      </c>
      <c r="D5019">
        <v>2</v>
      </c>
      <c r="E5019" t="s">
        <v>16331</v>
      </c>
      <c r="F5019" s="126"/>
      <c r="G5019" s="7">
        <v>0</v>
      </c>
      <c r="H5019" s="7">
        <v>0</v>
      </c>
      <c r="I5019" s="7">
        <v>0</v>
      </c>
      <c r="J5019" s="7">
        <v>0</v>
      </c>
      <c r="K5019" s="3">
        <f t="shared" si="182"/>
        <v>0</v>
      </c>
      <c r="L5019" s="3"/>
      <c r="M5019" s="3">
        <f t="shared" si="181"/>
        <v>0</v>
      </c>
      <c r="O5019" s="5"/>
      <c r="S5019" s="11"/>
    </row>
    <row r="5020" spans="1:22" customFormat="1" x14ac:dyDescent="0.45">
      <c r="A5020">
        <v>946514</v>
      </c>
      <c r="B5020" t="s">
        <v>25689</v>
      </c>
      <c r="C5020" s="2" t="s">
        <v>25690</v>
      </c>
      <c r="D5020">
        <v>1</v>
      </c>
      <c r="F5020" s="126"/>
      <c r="G5020" s="3">
        <v>0</v>
      </c>
      <c r="H5020" s="3">
        <v>0</v>
      </c>
      <c r="I5020" s="3">
        <v>0</v>
      </c>
      <c r="J5020" s="3">
        <v>0</v>
      </c>
      <c r="K5020" s="3">
        <f t="shared" si="182"/>
        <v>0</v>
      </c>
      <c r="L5020" s="3"/>
      <c r="M5020" s="3">
        <f t="shared" si="181"/>
        <v>0</v>
      </c>
      <c r="O5020" s="5"/>
      <c r="S5020" s="11"/>
    </row>
    <row r="5021" spans="1:22" customFormat="1" x14ac:dyDescent="0.45">
      <c r="A5021">
        <v>946540</v>
      </c>
      <c r="B5021" t="s">
        <v>25691</v>
      </c>
      <c r="C5021" t="s">
        <v>25692</v>
      </c>
      <c r="D5021">
        <v>2</v>
      </c>
      <c r="F5021" s="126"/>
      <c r="G5021" s="3">
        <v>0</v>
      </c>
      <c r="H5021" s="3">
        <v>0</v>
      </c>
      <c r="I5021" s="3">
        <v>0</v>
      </c>
      <c r="J5021" s="3">
        <v>0</v>
      </c>
      <c r="K5021" s="3">
        <f t="shared" si="182"/>
        <v>0</v>
      </c>
      <c r="L5021" s="3"/>
      <c r="M5021" s="3">
        <f t="shared" si="181"/>
        <v>0</v>
      </c>
      <c r="O5021" s="5"/>
      <c r="S5021" s="11"/>
    </row>
    <row r="5022" spans="1:22" customFormat="1" x14ac:dyDescent="0.45">
      <c r="A5022">
        <v>946569</v>
      </c>
      <c r="B5022" t="s">
        <v>25693</v>
      </c>
      <c r="C5022" t="s">
        <v>25694</v>
      </c>
      <c r="D5022">
        <v>2</v>
      </c>
      <c r="F5022" s="126"/>
      <c r="G5022" s="3">
        <v>0</v>
      </c>
      <c r="H5022" s="3">
        <v>0</v>
      </c>
      <c r="I5022" s="3">
        <v>0</v>
      </c>
      <c r="J5022" s="3">
        <v>0</v>
      </c>
      <c r="K5022" s="3">
        <f t="shared" si="182"/>
        <v>0</v>
      </c>
      <c r="L5022" s="3"/>
      <c r="M5022" s="3">
        <f t="shared" si="181"/>
        <v>0</v>
      </c>
      <c r="O5022" s="5"/>
      <c r="S5022" s="11"/>
    </row>
    <row r="5023" spans="1:22" customFormat="1" x14ac:dyDescent="0.45">
      <c r="A5023">
        <v>946617</v>
      </c>
      <c r="B5023" t="s">
        <v>25695</v>
      </c>
      <c r="C5023" t="s">
        <v>16331</v>
      </c>
      <c r="D5023">
        <v>1</v>
      </c>
      <c r="E5023" t="s">
        <v>16331</v>
      </c>
      <c r="F5023" s="126"/>
      <c r="G5023" s="7">
        <v>0</v>
      </c>
      <c r="H5023" s="7">
        <v>0</v>
      </c>
      <c r="I5023" s="7">
        <v>0</v>
      </c>
      <c r="J5023" s="7">
        <v>0</v>
      </c>
      <c r="K5023" s="3">
        <f t="shared" si="182"/>
        <v>0</v>
      </c>
      <c r="L5023" s="3"/>
      <c r="M5023" s="3">
        <f t="shared" si="181"/>
        <v>0</v>
      </c>
      <c r="O5023" s="5"/>
      <c r="S5023" s="11"/>
    </row>
    <row r="5024" spans="1:22" customFormat="1" x14ac:dyDescent="0.45">
      <c r="A5024">
        <v>946656</v>
      </c>
      <c r="B5024" t="s">
        <v>25696</v>
      </c>
      <c r="C5024" t="s">
        <v>25697</v>
      </c>
      <c r="D5024">
        <v>2</v>
      </c>
      <c r="F5024" s="126"/>
      <c r="G5024" s="3">
        <v>0</v>
      </c>
      <c r="H5024" s="3">
        <v>0</v>
      </c>
      <c r="I5024" s="3">
        <v>0</v>
      </c>
      <c r="J5024" s="3">
        <v>0</v>
      </c>
      <c r="K5024" s="3">
        <f t="shared" si="182"/>
        <v>0</v>
      </c>
      <c r="L5024" s="3"/>
      <c r="M5024" s="3">
        <f t="shared" si="181"/>
        <v>0</v>
      </c>
      <c r="O5024" s="5"/>
      <c r="S5024" s="11"/>
    </row>
    <row r="5025" spans="1:22" customFormat="1" x14ac:dyDescent="0.45">
      <c r="A5025">
        <v>946945</v>
      </c>
      <c r="B5025" t="s">
        <v>25698</v>
      </c>
      <c r="C5025" t="s">
        <v>16331</v>
      </c>
      <c r="D5025">
        <v>1</v>
      </c>
      <c r="E5025" t="s">
        <v>16331</v>
      </c>
      <c r="F5025" s="126"/>
      <c r="G5025" s="7">
        <v>0</v>
      </c>
      <c r="H5025" s="7">
        <v>0</v>
      </c>
      <c r="I5025" s="7">
        <v>0</v>
      </c>
      <c r="J5025" s="7">
        <v>0</v>
      </c>
      <c r="K5025" s="3">
        <f t="shared" si="182"/>
        <v>0</v>
      </c>
      <c r="L5025" s="3"/>
      <c r="M5025" s="3">
        <f t="shared" si="181"/>
        <v>0</v>
      </c>
      <c r="O5025" s="5"/>
      <c r="S5025" s="11"/>
    </row>
    <row r="5026" spans="1:22" customFormat="1" x14ac:dyDescent="0.45">
      <c r="A5026">
        <v>946981</v>
      </c>
      <c r="B5026" t="s">
        <v>25699</v>
      </c>
      <c r="C5026" t="s">
        <v>25700</v>
      </c>
      <c r="D5026">
        <v>3</v>
      </c>
      <c r="F5026" s="126"/>
      <c r="G5026" s="7">
        <v>0</v>
      </c>
      <c r="H5026" s="3">
        <v>0</v>
      </c>
      <c r="I5026" s="3">
        <v>0</v>
      </c>
      <c r="J5026">
        <v>0</v>
      </c>
      <c r="K5026" s="3">
        <f t="shared" si="182"/>
        <v>0</v>
      </c>
      <c r="L5026" s="3"/>
      <c r="M5026" s="3">
        <f t="shared" si="181"/>
        <v>0</v>
      </c>
      <c r="O5026" s="5"/>
      <c r="S5026" s="11"/>
    </row>
    <row r="5027" spans="1:22" customFormat="1" x14ac:dyDescent="0.45">
      <c r="A5027">
        <v>947091</v>
      </c>
      <c r="B5027" t="s">
        <v>25701</v>
      </c>
      <c r="C5027" t="s">
        <v>16331</v>
      </c>
      <c r="D5027">
        <v>3</v>
      </c>
      <c r="E5027" t="s">
        <v>16331</v>
      </c>
      <c r="F5027" s="126"/>
      <c r="G5027" s="7">
        <v>0</v>
      </c>
      <c r="H5027" s="7">
        <v>0</v>
      </c>
      <c r="I5027" s="7">
        <v>0</v>
      </c>
      <c r="J5027" s="7">
        <v>0</v>
      </c>
      <c r="K5027" s="3">
        <f t="shared" si="182"/>
        <v>0</v>
      </c>
      <c r="L5027" s="3"/>
      <c r="M5027" s="3">
        <f t="shared" si="181"/>
        <v>0</v>
      </c>
      <c r="O5027" s="5"/>
      <c r="S5027" s="11"/>
    </row>
    <row r="5028" spans="1:22" x14ac:dyDescent="0.45">
      <c r="A5028" s="124">
        <v>191667</v>
      </c>
      <c r="B5028" s="124" t="s">
        <v>25702</v>
      </c>
      <c r="C5028" s="124" t="s">
        <v>25703</v>
      </c>
      <c r="D5028" s="124">
        <v>2</v>
      </c>
      <c r="E5028" s="124" t="s">
        <v>16334</v>
      </c>
      <c r="F5028" s="126">
        <v>1.6999999999999999E-3</v>
      </c>
      <c r="G5028" s="126">
        <v>0.03</v>
      </c>
      <c r="H5028" s="126">
        <v>5.0000000000000001E-3</v>
      </c>
      <c r="I5028" s="135">
        <v>0</v>
      </c>
      <c r="J5028" s="135">
        <v>0</v>
      </c>
      <c r="K5028" s="126">
        <f t="shared" si="182"/>
        <v>3.4999999999999996E-2</v>
      </c>
      <c r="L5028" s="3"/>
      <c r="M5028" s="126">
        <f t="shared" si="181"/>
        <v>3.6699999999999997E-2</v>
      </c>
      <c r="O5028" s="125" t="s">
        <v>25704</v>
      </c>
      <c r="P5028" s="128" t="s">
        <v>26918</v>
      </c>
      <c r="Q5028" s="148">
        <f>220265+2315</f>
        <v>222580</v>
      </c>
      <c r="R5028" s="124" t="s">
        <v>16348</v>
      </c>
      <c r="S5028" s="148">
        <v>150556</v>
      </c>
      <c r="T5028" s="129">
        <f>S5028/Q5028</f>
        <v>0.67641297511007281</v>
      </c>
      <c r="V5028" s="125" t="s">
        <v>25705</v>
      </c>
    </row>
    <row r="5029" spans="1:22" customFormat="1" x14ac:dyDescent="0.45">
      <c r="A5029">
        <v>947128</v>
      </c>
      <c r="B5029" t="s">
        <v>25706</v>
      </c>
      <c r="C5029" t="s">
        <v>16331</v>
      </c>
      <c r="D5029">
        <v>1</v>
      </c>
      <c r="E5029" t="s">
        <v>16331</v>
      </c>
      <c r="F5029" s="126"/>
      <c r="K5029" s="3">
        <f t="shared" si="182"/>
        <v>0</v>
      </c>
      <c r="L5029" s="3"/>
      <c r="M5029" s="3">
        <f t="shared" si="181"/>
        <v>0</v>
      </c>
      <c r="O5029" s="5"/>
      <c r="S5029" s="11"/>
    </row>
    <row r="5030" spans="1:22" customFormat="1" x14ac:dyDescent="0.45">
      <c r="A5030">
        <v>947426</v>
      </c>
      <c r="B5030" t="s">
        <v>25707</v>
      </c>
      <c r="C5030" t="s">
        <v>25708</v>
      </c>
      <c r="D5030">
        <v>1</v>
      </c>
      <c r="F5030" s="126"/>
      <c r="K5030" s="3">
        <f t="shared" si="182"/>
        <v>0</v>
      </c>
      <c r="L5030" s="3"/>
      <c r="M5030" s="3">
        <f t="shared" si="181"/>
        <v>0</v>
      </c>
      <c r="O5030" s="5"/>
      <c r="S5030" s="11"/>
    </row>
    <row r="5031" spans="1:22" customFormat="1" x14ac:dyDescent="0.45">
      <c r="A5031">
        <v>947515</v>
      </c>
      <c r="B5031" t="s">
        <v>25709</v>
      </c>
      <c r="C5031" t="s">
        <v>25710</v>
      </c>
      <c r="D5031">
        <v>2</v>
      </c>
      <c r="F5031" s="126"/>
      <c r="G5031" s="7">
        <v>0</v>
      </c>
      <c r="H5031" s="7">
        <v>0</v>
      </c>
      <c r="I5031" s="7">
        <v>0</v>
      </c>
      <c r="J5031" s="7">
        <v>0</v>
      </c>
      <c r="K5031" s="3">
        <f t="shared" si="182"/>
        <v>0</v>
      </c>
      <c r="L5031" s="3"/>
      <c r="M5031" s="3">
        <f t="shared" si="181"/>
        <v>0</v>
      </c>
      <c r="N5031" s="7"/>
      <c r="O5031" s="5"/>
      <c r="S5031" s="11"/>
    </row>
    <row r="5032" spans="1:22" customFormat="1" x14ac:dyDescent="0.45">
      <c r="A5032">
        <v>947611</v>
      </c>
      <c r="B5032" t="s">
        <v>25711</v>
      </c>
      <c r="C5032" t="s">
        <v>25712</v>
      </c>
      <c r="D5032">
        <v>1</v>
      </c>
      <c r="F5032" s="126"/>
      <c r="G5032" s="7">
        <v>0</v>
      </c>
      <c r="H5032" s="7">
        <v>0</v>
      </c>
      <c r="I5032" s="7">
        <v>0</v>
      </c>
      <c r="J5032" s="7">
        <v>0</v>
      </c>
      <c r="K5032" s="3">
        <f t="shared" si="182"/>
        <v>0</v>
      </c>
      <c r="L5032" s="3"/>
      <c r="M5032" s="3">
        <f t="shared" si="181"/>
        <v>0</v>
      </c>
      <c r="O5032" s="5"/>
      <c r="S5032" s="11"/>
    </row>
    <row r="5033" spans="1:22" customFormat="1" x14ac:dyDescent="0.45">
      <c r="A5033">
        <v>947792</v>
      </c>
      <c r="B5033" t="s">
        <v>25713</v>
      </c>
      <c r="C5033" t="s">
        <v>25714</v>
      </c>
      <c r="D5033">
        <v>1</v>
      </c>
      <c r="F5033" s="126"/>
      <c r="G5033" s="7">
        <v>0</v>
      </c>
      <c r="H5033" s="7">
        <v>0</v>
      </c>
      <c r="I5033" s="7">
        <v>0</v>
      </c>
      <c r="J5033" s="7">
        <v>0</v>
      </c>
      <c r="K5033" s="3">
        <f t="shared" si="182"/>
        <v>0</v>
      </c>
      <c r="L5033" s="3"/>
      <c r="M5033" s="3">
        <f t="shared" si="181"/>
        <v>0</v>
      </c>
      <c r="O5033" s="5"/>
      <c r="S5033" s="11"/>
    </row>
    <row r="5034" spans="1:22" customFormat="1" x14ac:dyDescent="0.45">
      <c r="A5034">
        <v>947852</v>
      </c>
      <c r="B5034" t="s">
        <v>25715</v>
      </c>
      <c r="C5034" t="s">
        <v>25716</v>
      </c>
      <c r="D5034">
        <v>8</v>
      </c>
      <c r="F5034" s="126"/>
      <c r="G5034" s="3">
        <v>0</v>
      </c>
      <c r="H5034" s="3">
        <v>0</v>
      </c>
      <c r="I5034" s="3">
        <v>0</v>
      </c>
      <c r="J5034" s="3">
        <v>0</v>
      </c>
      <c r="K5034" s="3">
        <f t="shared" si="182"/>
        <v>0</v>
      </c>
      <c r="L5034" s="3"/>
      <c r="M5034" s="3">
        <f t="shared" si="181"/>
        <v>0</v>
      </c>
      <c r="O5034" s="5"/>
      <c r="S5034" s="11"/>
    </row>
    <row r="5035" spans="1:22" customFormat="1" x14ac:dyDescent="0.45">
      <c r="A5035">
        <v>947911</v>
      </c>
      <c r="B5035" t="s">
        <v>25717</v>
      </c>
      <c r="C5035" t="s">
        <v>16331</v>
      </c>
      <c r="D5035">
        <v>5</v>
      </c>
      <c r="E5035" t="s">
        <v>16331</v>
      </c>
      <c r="F5035" s="126"/>
      <c r="G5035" s="7">
        <v>0</v>
      </c>
      <c r="H5035" s="7">
        <v>0</v>
      </c>
      <c r="I5035" s="7">
        <v>0</v>
      </c>
      <c r="J5035" s="7">
        <v>0</v>
      </c>
      <c r="K5035" s="3">
        <f t="shared" si="182"/>
        <v>0</v>
      </c>
      <c r="L5035" s="3"/>
      <c r="M5035" s="3">
        <f t="shared" si="181"/>
        <v>0</v>
      </c>
      <c r="O5035" s="5"/>
      <c r="S5035" s="11"/>
    </row>
    <row r="5036" spans="1:22" customFormat="1" x14ac:dyDescent="0.45">
      <c r="A5036">
        <v>948018</v>
      </c>
      <c r="B5036" t="s">
        <v>25718</v>
      </c>
      <c r="C5036" t="s">
        <v>25719</v>
      </c>
      <c r="D5036">
        <v>3</v>
      </c>
      <c r="F5036" s="126"/>
      <c r="G5036" s="7">
        <v>0</v>
      </c>
      <c r="H5036" s="7">
        <v>0</v>
      </c>
      <c r="I5036" s="7">
        <v>0</v>
      </c>
      <c r="J5036" s="7">
        <v>0</v>
      </c>
      <c r="K5036" s="3">
        <f t="shared" si="182"/>
        <v>0</v>
      </c>
      <c r="L5036" s="3"/>
      <c r="M5036" s="3">
        <f t="shared" si="181"/>
        <v>0</v>
      </c>
      <c r="N5036" s="7"/>
      <c r="O5036" s="5"/>
      <c r="S5036" s="11"/>
    </row>
    <row r="5037" spans="1:22" customFormat="1" x14ac:dyDescent="0.45">
      <c r="A5037">
        <v>948167</v>
      </c>
      <c r="B5037" t="s">
        <v>25720</v>
      </c>
      <c r="C5037" t="s">
        <v>25721</v>
      </c>
      <c r="D5037">
        <v>3</v>
      </c>
      <c r="F5037" s="126"/>
      <c r="G5037" s="3"/>
      <c r="H5037" s="3"/>
      <c r="I5037" s="3"/>
      <c r="J5037" s="3"/>
      <c r="K5037" s="3">
        <f t="shared" si="182"/>
        <v>0</v>
      </c>
      <c r="L5037" s="3"/>
      <c r="M5037" s="3">
        <f t="shared" si="181"/>
        <v>0</v>
      </c>
      <c r="O5037" s="5"/>
      <c r="S5037" s="11"/>
    </row>
    <row r="5038" spans="1:22" customFormat="1" x14ac:dyDescent="0.45">
      <c r="A5038">
        <v>948183</v>
      </c>
      <c r="B5038" t="s">
        <v>25722</v>
      </c>
      <c r="C5038" t="s">
        <v>25723</v>
      </c>
      <c r="D5038">
        <v>2</v>
      </c>
      <c r="F5038" s="126"/>
      <c r="G5038" s="3"/>
      <c r="H5038" s="3"/>
      <c r="I5038" s="3"/>
      <c r="J5038" s="3"/>
      <c r="K5038" s="3">
        <f t="shared" si="182"/>
        <v>0</v>
      </c>
      <c r="L5038" s="3"/>
      <c r="M5038" s="3">
        <f t="shared" si="181"/>
        <v>0</v>
      </c>
      <c r="O5038" s="5"/>
      <c r="S5038" s="11"/>
    </row>
    <row r="5039" spans="1:22" customFormat="1" x14ac:dyDescent="0.45">
      <c r="A5039">
        <v>948260</v>
      </c>
      <c r="B5039" t="s">
        <v>25724</v>
      </c>
      <c r="C5039" t="s">
        <v>25725</v>
      </c>
      <c r="D5039">
        <v>1</v>
      </c>
      <c r="F5039" s="126"/>
      <c r="G5039" s="3">
        <v>0</v>
      </c>
      <c r="H5039" s="3">
        <v>0</v>
      </c>
      <c r="I5039" s="3">
        <v>0</v>
      </c>
      <c r="J5039" s="3">
        <v>0</v>
      </c>
      <c r="K5039" s="3">
        <f t="shared" si="182"/>
        <v>0</v>
      </c>
      <c r="L5039" s="3"/>
      <c r="M5039" s="3">
        <f t="shared" si="181"/>
        <v>0</v>
      </c>
      <c r="O5039" s="5"/>
      <c r="S5039" s="11"/>
    </row>
    <row r="5040" spans="1:22" customFormat="1" x14ac:dyDescent="0.45">
      <c r="A5040">
        <v>948359</v>
      </c>
      <c r="B5040" t="s">
        <v>25726</v>
      </c>
      <c r="C5040" t="s">
        <v>16331</v>
      </c>
      <c r="D5040">
        <v>2</v>
      </c>
      <c r="E5040" t="s">
        <v>16331</v>
      </c>
      <c r="F5040" s="126"/>
      <c r="G5040" s="7">
        <v>0</v>
      </c>
      <c r="H5040" s="7">
        <v>0</v>
      </c>
      <c r="I5040" s="7">
        <v>0</v>
      </c>
      <c r="J5040" s="7">
        <v>0</v>
      </c>
      <c r="K5040" s="3">
        <f t="shared" si="182"/>
        <v>0</v>
      </c>
      <c r="L5040" s="3"/>
      <c r="M5040" s="3">
        <f t="shared" si="181"/>
        <v>0</v>
      </c>
      <c r="O5040" s="5"/>
      <c r="S5040" s="11"/>
    </row>
    <row r="5041" spans="1:22" customFormat="1" x14ac:dyDescent="0.45">
      <c r="A5041">
        <v>948417</v>
      </c>
      <c r="B5041" t="s">
        <v>25727</v>
      </c>
      <c r="C5041" t="s">
        <v>25728</v>
      </c>
      <c r="D5041">
        <v>2</v>
      </c>
      <c r="F5041" s="126"/>
      <c r="G5041" s="7">
        <v>0</v>
      </c>
      <c r="H5041" s="7">
        <v>0</v>
      </c>
      <c r="I5041" s="7">
        <v>0</v>
      </c>
      <c r="J5041" s="7">
        <v>0</v>
      </c>
      <c r="K5041" s="3">
        <f t="shared" si="182"/>
        <v>0</v>
      </c>
      <c r="L5041" s="3"/>
      <c r="M5041" s="3">
        <f t="shared" si="181"/>
        <v>0</v>
      </c>
      <c r="O5041" s="5"/>
      <c r="S5041" s="11"/>
    </row>
    <row r="5042" spans="1:22" customFormat="1" x14ac:dyDescent="0.45">
      <c r="A5042">
        <v>948449</v>
      </c>
      <c r="B5042" t="s">
        <v>25729</v>
      </c>
      <c r="C5042" t="s">
        <v>16331</v>
      </c>
      <c r="D5042">
        <v>1</v>
      </c>
      <c r="E5042" t="s">
        <v>16331</v>
      </c>
      <c r="F5042" s="126"/>
      <c r="G5042" s="7">
        <v>0</v>
      </c>
      <c r="H5042" s="7">
        <v>0</v>
      </c>
      <c r="I5042" s="7">
        <v>0</v>
      </c>
      <c r="J5042" s="7">
        <v>0</v>
      </c>
      <c r="K5042" s="3">
        <f t="shared" si="182"/>
        <v>0</v>
      </c>
      <c r="L5042" s="3"/>
      <c r="M5042" s="3">
        <f t="shared" ref="M5042:M5077" si="183">K5042+F5042</f>
        <v>0</v>
      </c>
      <c r="O5042" s="5"/>
      <c r="S5042" s="11"/>
    </row>
    <row r="5043" spans="1:22" customFormat="1" x14ac:dyDescent="0.45">
      <c r="A5043">
        <v>948483</v>
      </c>
      <c r="B5043" t="s">
        <v>25730</v>
      </c>
      <c r="C5043" t="s">
        <v>16331</v>
      </c>
      <c r="D5043">
        <v>1</v>
      </c>
      <c r="E5043" t="s">
        <v>16331</v>
      </c>
      <c r="F5043" s="126"/>
      <c r="G5043" s="7">
        <v>0</v>
      </c>
      <c r="H5043" s="7">
        <v>0</v>
      </c>
      <c r="I5043" s="7">
        <v>0</v>
      </c>
      <c r="J5043" s="7">
        <v>0</v>
      </c>
      <c r="K5043" s="3">
        <f t="shared" si="182"/>
        <v>0</v>
      </c>
      <c r="L5043" s="3"/>
      <c r="M5043" s="3">
        <f t="shared" si="183"/>
        <v>0</v>
      </c>
      <c r="O5043" s="5"/>
      <c r="S5043" s="11"/>
    </row>
    <row r="5044" spans="1:22" customFormat="1" x14ac:dyDescent="0.45">
      <c r="A5044">
        <v>948484</v>
      </c>
      <c r="B5044" t="s">
        <v>25731</v>
      </c>
      <c r="C5044" t="s">
        <v>25732</v>
      </c>
      <c r="D5044">
        <v>1</v>
      </c>
      <c r="F5044" s="126"/>
      <c r="G5044" s="3">
        <v>0</v>
      </c>
      <c r="H5044" s="3">
        <v>0</v>
      </c>
      <c r="I5044" s="3">
        <v>0</v>
      </c>
      <c r="J5044" s="3">
        <v>0</v>
      </c>
      <c r="K5044" s="3">
        <f t="shared" si="182"/>
        <v>0</v>
      </c>
      <c r="L5044" s="3"/>
      <c r="M5044" s="3">
        <f t="shared" si="183"/>
        <v>0</v>
      </c>
      <c r="O5044" s="5"/>
      <c r="S5044" s="11"/>
    </row>
    <row r="5045" spans="1:22" customFormat="1" x14ac:dyDescent="0.45">
      <c r="A5045">
        <v>948639</v>
      </c>
      <c r="B5045" t="s">
        <v>25733</v>
      </c>
      <c r="C5045" t="s">
        <v>25734</v>
      </c>
      <c r="D5045">
        <v>3</v>
      </c>
      <c r="F5045" s="126"/>
      <c r="G5045" s="3">
        <v>0</v>
      </c>
      <c r="H5045" s="3">
        <v>0</v>
      </c>
      <c r="I5045" s="3">
        <v>0</v>
      </c>
      <c r="J5045" s="3">
        <v>0</v>
      </c>
      <c r="K5045" s="3">
        <f t="shared" si="182"/>
        <v>0</v>
      </c>
      <c r="L5045" s="3"/>
      <c r="M5045" s="3">
        <f t="shared" si="183"/>
        <v>0</v>
      </c>
      <c r="O5045" s="5"/>
      <c r="S5045" s="11"/>
    </row>
    <row r="5046" spans="1:22" customFormat="1" x14ac:dyDescent="0.45">
      <c r="A5046">
        <v>948646</v>
      </c>
      <c r="B5046" t="s">
        <v>25735</v>
      </c>
      <c r="C5046" t="s">
        <v>25736</v>
      </c>
      <c r="D5046">
        <v>6</v>
      </c>
      <c r="F5046" s="126"/>
      <c r="G5046" s="3">
        <v>0</v>
      </c>
      <c r="H5046" s="3">
        <v>0</v>
      </c>
      <c r="I5046" s="3">
        <v>0</v>
      </c>
      <c r="J5046" s="3">
        <v>0</v>
      </c>
      <c r="K5046" s="3">
        <f t="shared" si="182"/>
        <v>0</v>
      </c>
      <c r="L5046" s="3"/>
      <c r="M5046" s="3">
        <f t="shared" si="183"/>
        <v>0</v>
      </c>
      <c r="O5046" s="5"/>
      <c r="S5046" s="11"/>
    </row>
    <row r="5047" spans="1:22" customFormat="1" x14ac:dyDescent="0.45">
      <c r="A5047">
        <v>949148</v>
      </c>
      <c r="B5047" t="s">
        <v>25737</v>
      </c>
      <c r="C5047" t="s">
        <v>25738</v>
      </c>
      <c r="D5047">
        <v>3</v>
      </c>
      <c r="F5047" s="126"/>
      <c r="G5047" s="7">
        <v>0</v>
      </c>
      <c r="H5047" s="7">
        <v>0</v>
      </c>
      <c r="I5047" s="7">
        <v>0</v>
      </c>
      <c r="J5047" s="7">
        <v>0</v>
      </c>
      <c r="K5047" s="3">
        <f t="shared" si="182"/>
        <v>0</v>
      </c>
      <c r="L5047" s="3"/>
      <c r="M5047" s="3">
        <f t="shared" si="183"/>
        <v>0</v>
      </c>
      <c r="O5047" s="5"/>
      <c r="S5047" s="11"/>
    </row>
    <row r="5048" spans="1:22" x14ac:dyDescent="0.45">
      <c r="A5048" s="124">
        <v>195351</v>
      </c>
      <c r="B5048" s="124" t="s">
        <v>25739</v>
      </c>
      <c r="C5048" s="125" t="s">
        <v>25740</v>
      </c>
      <c r="D5048" s="124">
        <v>4938</v>
      </c>
      <c r="E5048" s="124" t="s">
        <v>16417</v>
      </c>
      <c r="F5048" s="126">
        <f>0.27%+0.34%</f>
        <v>6.1000000000000004E-3</v>
      </c>
      <c r="G5048" s="135">
        <v>0.03</v>
      </c>
      <c r="H5048" s="137">
        <v>8.0000000000000002E-3</v>
      </c>
      <c r="I5048" s="127">
        <v>0</v>
      </c>
      <c r="J5048" s="127">
        <v>0</v>
      </c>
      <c r="K5048" s="126">
        <f t="shared" si="182"/>
        <v>3.7999999999999999E-2</v>
      </c>
      <c r="L5048" s="3"/>
      <c r="M5048" s="126">
        <f t="shared" si="183"/>
        <v>4.41E-2</v>
      </c>
      <c r="N5048" s="124" t="s">
        <v>26930</v>
      </c>
      <c r="O5048" s="125" t="s">
        <v>25741</v>
      </c>
      <c r="Q5048" s="130">
        <f>829806000</f>
        <v>829806000</v>
      </c>
      <c r="R5048" s="130" t="s">
        <v>16</v>
      </c>
      <c r="S5048" s="130">
        <v>142417000</v>
      </c>
      <c r="T5048" s="129">
        <f>S5048/Q5048</f>
        <v>0.17162686218224502</v>
      </c>
      <c r="U5048" s="130"/>
      <c r="V5048" s="125" t="s">
        <v>25742</v>
      </c>
    </row>
    <row r="5049" spans="1:22" customFormat="1" x14ac:dyDescent="0.45">
      <c r="A5049">
        <v>949555</v>
      </c>
      <c r="B5049" t="s">
        <v>25743</v>
      </c>
      <c r="C5049" t="s">
        <v>25744</v>
      </c>
      <c r="D5049">
        <v>1</v>
      </c>
      <c r="F5049" s="126"/>
      <c r="G5049" s="3">
        <v>0</v>
      </c>
      <c r="H5049" s="3">
        <v>0</v>
      </c>
      <c r="I5049" s="3">
        <v>0</v>
      </c>
      <c r="J5049" s="3">
        <v>0</v>
      </c>
      <c r="K5049" s="3">
        <f t="shared" si="182"/>
        <v>0</v>
      </c>
      <c r="L5049" s="3"/>
      <c r="M5049" s="3">
        <f t="shared" si="183"/>
        <v>0</v>
      </c>
      <c r="O5049" s="5"/>
      <c r="S5049" s="11"/>
    </row>
    <row r="5050" spans="1:22" customFormat="1" x14ac:dyDescent="0.45">
      <c r="A5050">
        <v>949588</v>
      </c>
      <c r="B5050" t="s">
        <v>25745</v>
      </c>
      <c r="C5050" t="s">
        <v>25746</v>
      </c>
      <c r="D5050">
        <v>3</v>
      </c>
      <c r="F5050" s="126"/>
      <c r="G5050" s="3">
        <v>0</v>
      </c>
      <c r="H5050" s="3">
        <v>0</v>
      </c>
      <c r="I5050" s="3">
        <v>0</v>
      </c>
      <c r="J5050" s="3">
        <v>0</v>
      </c>
      <c r="K5050" s="3">
        <f t="shared" si="182"/>
        <v>0</v>
      </c>
      <c r="L5050" s="3"/>
      <c r="M5050" s="3">
        <f t="shared" si="183"/>
        <v>0</v>
      </c>
      <c r="O5050" s="5"/>
      <c r="S5050" s="11"/>
    </row>
    <row r="5051" spans="1:22" customFormat="1" x14ac:dyDescent="0.45">
      <c r="A5051">
        <v>949651</v>
      </c>
      <c r="B5051" t="s">
        <v>25747</v>
      </c>
      <c r="C5051" t="s">
        <v>25748</v>
      </c>
      <c r="D5051">
        <v>1</v>
      </c>
      <c r="F5051" s="126"/>
      <c r="G5051" s="3"/>
      <c r="H5051" s="3"/>
      <c r="I5051" s="3"/>
      <c r="J5051" s="3"/>
      <c r="K5051" s="3">
        <f t="shared" si="182"/>
        <v>0</v>
      </c>
      <c r="L5051" s="3"/>
      <c r="M5051" s="3">
        <f t="shared" si="183"/>
        <v>0</v>
      </c>
      <c r="O5051" s="5"/>
      <c r="S5051" s="11"/>
    </row>
    <row r="5052" spans="1:22" customFormat="1" x14ac:dyDescent="0.45">
      <c r="A5052">
        <v>949773</v>
      </c>
      <c r="B5052" t="s">
        <v>25749</v>
      </c>
      <c r="C5052" t="s">
        <v>25750</v>
      </c>
      <c r="D5052">
        <v>1</v>
      </c>
      <c r="F5052" s="126"/>
      <c r="G5052" s="3">
        <v>0</v>
      </c>
      <c r="H5052" s="3">
        <v>0</v>
      </c>
      <c r="I5052" s="3">
        <v>0</v>
      </c>
      <c r="J5052" s="3">
        <v>0</v>
      </c>
      <c r="K5052" s="3">
        <f t="shared" si="182"/>
        <v>0</v>
      </c>
      <c r="L5052" s="3"/>
      <c r="M5052" s="3">
        <f t="shared" si="183"/>
        <v>0</v>
      </c>
      <c r="O5052" s="5"/>
      <c r="S5052" s="11"/>
    </row>
    <row r="5053" spans="1:22" customFormat="1" x14ac:dyDescent="0.45">
      <c r="A5053">
        <v>949808</v>
      </c>
      <c r="B5053" t="s">
        <v>25751</v>
      </c>
      <c r="C5053" t="s">
        <v>25752</v>
      </c>
      <c r="D5053">
        <v>1</v>
      </c>
      <c r="F5053" s="126"/>
      <c r="K5053" s="3">
        <f t="shared" si="182"/>
        <v>0</v>
      </c>
      <c r="L5053" s="3"/>
      <c r="M5053" s="3">
        <f t="shared" si="183"/>
        <v>0</v>
      </c>
      <c r="O5053" s="5"/>
      <c r="S5053" s="11"/>
    </row>
    <row r="5054" spans="1:22" customFormat="1" x14ac:dyDescent="0.45">
      <c r="A5054">
        <v>949845</v>
      </c>
      <c r="B5054" t="s">
        <v>25753</v>
      </c>
      <c r="C5054" t="s">
        <v>25754</v>
      </c>
      <c r="D5054">
        <v>1</v>
      </c>
      <c r="F5054" s="126"/>
      <c r="G5054" s="3">
        <v>0</v>
      </c>
      <c r="H5054" s="3">
        <v>0</v>
      </c>
      <c r="I5054" s="3">
        <v>0</v>
      </c>
      <c r="J5054" s="3">
        <v>0</v>
      </c>
      <c r="K5054" s="3">
        <f t="shared" si="182"/>
        <v>0</v>
      </c>
      <c r="L5054" s="3"/>
      <c r="M5054" s="3">
        <f t="shared" si="183"/>
        <v>0</v>
      </c>
      <c r="O5054" s="5"/>
      <c r="S5054" s="11"/>
    </row>
    <row r="5055" spans="1:22" customFormat="1" x14ac:dyDescent="0.45">
      <c r="A5055">
        <v>949987</v>
      </c>
      <c r="B5055" t="s">
        <v>25755</v>
      </c>
      <c r="C5055" t="s">
        <v>25756</v>
      </c>
      <c r="D5055">
        <v>2</v>
      </c>
      <c r="F5055" s="126"/>
      <c r="K5055" s="3">
        <f t="shared" si="182"/>
        <v>0</v>
      </c>
      <c r="L5055" s="3"/>
      <c r="M5055" s="3">
        <f t="shared" si="183"/>
        <v>0</v>
      </c>
      <c r="O5055" s="5"/>
      <c r="S5055" s="11"/>
    </row>
    <row r="5056" spans="1:22" customFormat="1" x14ac:dyDescent="0.45">
      <c r="A5056">
        <v>950060</v>
      </c>
      <c r="B5056" t="s">
        <v>25757</v>
      </c>
      <c r="C5056" t="s">
        <v>25758</v>
      </c>
      <c r="D5056">
        <v>2</v>
      </c>
      <c r="F5056" s="126"/>
      <c r="G5056" s="3">
        <v>0</v>
      </c>
      <c r="H5056" s="3">
        <v>0</v>
      </c>
      <c r="I5056" s="3">
        <v>0</v>
      </c>
      <c r="J5056" s="3">
        <v>0</v>
      </c>
      <c r="K5056" s="3">
        <f t="shared" si="182"/>
        <v>0</v>
      </c>
      <c r="L5056" s="3"/>
      <c r="M5056" s="3">
        <f t="shared" si="183"/>
        <v>0</v>
      </c>
      <c r="O5056" s="5"/>
      <c r="S5056" s="11"/>
    </row>
    <row r="5057" spans="1:22" customFormat="1" x14ac:dyDescent="0.45">
      <c r="A5057">
        <v>950421</v>
      </c>
      <c r="B5057" t="s">
        <v>25759</v>
      </c>
      <c r="C5057" t="s">
        <v>25760</v>
      </c>
      <c r="D5057">
        <v>3</v>
      </c>
      <c r="F5057" s="126"/>
      <c r="G5057" s="7">
        <v>0</v>
      </c>
      <c r="H5057" s="7">
        <v>0</v>
      </c>
      <c r="I5057" s="7">
        <v>0</v>
      </c>
      <c r="J5057" s="7">
        <v>0</v>
      </c>
      <c r="K5057" s="3">
        <f t="shared" si="182"/>
        <v>0</v>
      </c>
      <c r="L5057" s="3"/>
      <c r="M5057" s="3">
        <f t="shared" si="183"/>
        <v>0</v>
      </c>
      <c r="O5057" s="5"/>
      <c r="S5057" s="11"/>
    </row>
    <row r="5058" spans="1:22" customFormat="1" x14ac:dyDescent="0.45">
      <c r="A5058">
        <v>950744</v>
      </c>
      <c r="B5058" t="s">
        <v>25761</v>
      </c>
      <c r="C5058" t="s">
        <v>25762</v>
      </c>
      <c r="D5058">
        <v>2</v>
      </c>
      <c r="F5058" s="126"/>
      <c r="G5058" s="3">
        <v>0</v>
      </c>
      <c r="H5058" s="3">
        <v>0</v>
      </c>
      <c r="I5058" s="3">
        <v>0</v>
      </c>
      <c r="J5058" s="3">
        <v>0</v>
      </c>
      <c r="K5058" s="3">
        <f t="shared" si="182"/>
        <v>0</v>
      </c>
      <c r="L5058" s="3"/>
      <c r="M5058" s="3">
        <f t="shared" si="183"/>
        <v>0</v>
      </c>
      <c r="O5058" s="5"/>
      <c r="S5058" s="11"/>
    </row>
    <row r="5059" spans="1:22" customFormat="1" x14ac:dyDescent="0.45">
      <c r="A5059">
        <v>950748</v>
      </c>
      <c r="B5059" t="s">
        <v>25763</v>
      </c>
      <c r="C5059" t="s">
        <v>25764</v>
      </c>
      <c r="D5059">
        <v>1</v>
      </c>
      <c r="F5059" s="126"/>
      <c r="G5059" s="3">
        <v>0</v>
      </c>
      <c r="H5059" s="3">
        <v>0</v>
      </c>
      <c r="I5059" s="3">
        <v>0</v>
      </c>
      <c r="J5059" s="3">
        <v>0</v>
      </c>
      <c r="K5059" s="3">
        <f t="shared" si="182"/>
        <v>0</v>
      </c>
      <c r="L5059" s="3"/>
      <c r="M5059" s="3">
        <f t="shared" si="183"/>
        <v>0</v>
      </c>
      <c r="O5059" s="5"/>
      <c r="S5059" s="11"/>
    </row>
    <row r="5060" spans="1:22" customFormat="1" x14ac:dyDescent="0.45">
      <c r="A5060">
        <v>950809</v>
      </c>
      <c r="B5060" t="s">
        <v>25765</v>
      </c>
      <c r="C5060" t="s">
        <v>16331</v>
      </c>
      <c r="D5060">
        <v>7</v>
      </c>
      <c r="E5060" t="s">
        <v>16331</v>
      </c>
      <c r="F5060" s="126"/>
      <c r="G5060" s="7">
        <v>0</v>
      </c>
      <c r="H5060" s="7">
        <v>0</v>
      </c>
      <c r="I5060" s="7">
        <v>0</v>
      </c>
      <c r="J5060" s="7">
        <v>0</v>
      </c>
      <c r="K5060" s="3">
        <f t="shared" si="182"/>
        <v>0</v>
      </c>
      <c r="L5060" s="3"/>
      <c r="M5060" s="3">
        <f t="shared" si="183"/>
        <v>0</v>
      </c>
      <c r="O5060" s="5"/>
      <c r="S5060" s="11"/>
    </row>
    <row r="5061" spans="1:22" customFormat="1" x14ac:dyDescent="0.45">
      <c r="A5061">
        <v>950811</v>
      </c>
      <c r="B5061" t="s">
        <v>25766</v>
      </c>
      <c r="C5061" t="s">
        <v>16715</v>
      </c>
      <c r="D5061">
        <v>0</v>
      </c>
      <c r="E5061" t="s">
        <v>16561</v>
      </c>
      <c r="F5061" s="126"/>
      <c r="G5061" s="7">
        <v>0</v>
      </c>
      <c r="H5061" s="7">
        <v>0</v>
      </c>
      <c r="I5061" s="7">
        <v>0</v>
      </c>
      <c r="J5061" s="7">
        <v>0</v>
      </c>
      <c r="K5061" s="3">
        <f t="shared" si="182"/>
        <v>0</v>
      </c>
      <c r="L5061" s="3"/>
      <c r="M5061" s="3">
        <f t="shared" si="183"/>
        <v>0</v>
      </c>
      <c r="N5061" s="7"/>
      <c r="O5061" s="5"/>
      <c r="S5061" s="11"/>
    </row>
    <row r="5062" spans="1:22" customFormat="1" x14ac:dyDescent="0.45">
      <c r="A5062">
        <v>950859</v>
      </c>
      <c r="B5062" t="s">
        <v>25767</v>
      </c>
      <c r="C5062" t="s">
        <v>25768</v>
      </c>
      <c r="D5062">
        <v>2</v>
      </c>
      <c r="F5062" s="126"/>
      <c r="G5062" s="7">
        <v>0</v>
      </c>
      <c r="H5062" s="7">
        <v>0</v>
      </c>
      <c r="I5062" s="7">
        <v>0</v>
      </c>
      <c r="J5062" s="7">
        <v>0</v>
      </c>
      <c r="K5062" s="3">
        <f t="shared" si="182"/>
        <v>0</v>
      </c>
      <c r="L5062" s="3"/>
      <c r="M5062" s="3">
        <f t="shared" si="183"/>
        <v>0</v>
      </c>
      <c r="O5062" s="5"/>
      <c r="S5062" s="11"/>
    </row>
    <row r="5063" spans="1:22" customFormat="1" x14ac:dyDescent="0.45">
      <c r="A5063">
        <v>950964</v>
      </c>
      <c r="B5063" t="s">
        <v>25769</v>
      </c>
      <c r="C5063" s="2" t="s">
        <v>25770</v>
      </c>
      <c r="D5063">
        <v>1</v>
      </c>
      <c r="F5063" s="126"/>
      <c r="G5063" s="3">
        <v>0</v>
      </c>
      <c r="H5063" s="3">
        <v>0</v>
      </c>
      <c r="I5063" s="3">
        <v>0</v>
      </c>
      <c r="J5063" s="3">
        <v>0</v>
      </c>
      <c r="K5063" s="3">
        <f t="shared" si="182"/>
        <v>0</v>
      </c>
      <c r="L5063" s="3"/>
      <c r="M5063" s="3">
        <f t="shared" si="183"/>
        <v>0</v>
      </c>
      <c r="O5063" s="5"/>
      <c r="S5063" s="11"/>
    </row>
    <row r="5064" spans="1:22" customFormat="1" x14ac:dyDescent="0.45">
      <c r="A5064">
        <v>950974</v>
      </c>
      <c r="B5064" t="s">
        <v>25771</v>
      </c>
      <c r="C5064" t="s">
        <v>25772</v>
      </c>
      <c r="D5064">
        <v>1</v>
      </c>
      <c r="F5064" s="126"/>
      <c r="G5064" s="3">
        <v>0</v>
      </c>
      <c r="H5064" s="3">
        <v>0</v>
      </c>
      <c r="I5064" s="3">
        <v>0</v>
      </c>
      <c r="J5064" s="3">
        <v>0</v>
      </c>
      <c r="K5064" s="3">
        <f t="shared" si="182"/>
        <v>0</v>
      </c>
      <c r="L5064" s="3"/>
      <c r="M5064" s="3">
        <f t="shared" si="183"/>
        <v>0</v>
      </c>
      <c r="O5064" s="5"/>
      <c r="S5064" s="11"/>
    </row>
    <row r="5065" spans="1:22" x14ac:dyDescent="0.45">
      <c r="A5065" s="124">
        <v>223609</v>
      </c>
      <c r="B5065" s="124" t="s">
        <v>25773</v>
      </c>
      <c r="C5065" s="125" t="s">
        <v>18881</v>
      </c>
      <c r="D5065" s="124">
        <v>2</v>
      </c>
      <c r="E5065" s="124" t="s">
        <v>16417</v>
      </c>
      <c r="F5065" s="126">
        <v>3.0000000000000001E-3</v>
      </c>
      <c r="G5065" s="126">
        <v>2.5000000000000001E-2</v>
      </c>
      <c r="H5065" s="135">
        <v>0.01</v>
      </c>
      <c r="I5065" s="127"/>
      <c r="J5065" s="127"/>
      <c r="K5065" s="126">
        <f t="shared" si="182"/>
        <v>3.5000000000000003E-2</v>
      </c>
      <c r="L5065" s="9"/>
      <c r="M5065" s="126">
        <f t="shared" si="183"/>
        <v>3.8000000000000006E-2</v>
      </c>
      <c r="O5065" s="125" t="s">
        <v>18884</v>
      </c>
      <c r="P5065" s="125" t="s">
        <v>25774</v>
      </c>
      <c r="Q5065" s="130">
        <v>4028000</v>
      </c>
      <c r="R5065" s="124" t="s">
        <v>16</v>
      </c>
      <c r="S5065" s="130">
        <v>2033000</v>
      </c>
      <c r="T5065" s="129">
        <f>S5065/Q5065</f>
        <v>0.50471698113207553</v>
      </c>
      <c r="V5065" s="125" t="s">
        <v>25775</v>
      </c>
    </row>
    <row r="5066" spans="1:22" customFormat="1" x14ac:dyDescent="0.45">
      <c r="A5066">
        <v>951030</v>
      </c>
      <c r="B5066" t="s">
        <v>25776</v>
      </c>
      <c r="C5066" s="2" t="s">
        <v>25777</v>
      </c>
      <c r="D5066">
        <v>3</v>
      </c>
      <c r="F5066" s="126"/>
      <c r="G5066" s="3">
        <v>0</v>
      </c>
      <c r="H5066" s="3">
        <v>0</v>
      </c>
      <c r="I5066" s="3">
        <v>0</v>
      </c>
      <c r="J5066" s="3">
        <v>0</v>
      </c>
      <c r="K5066" s="3">
        <f t="shared" si="182"/>
        <v>0</v>
      </c>
      <c r="L5066" s="3"/>
      <c r="M5066" s="3">
        <f t="shared" si="183"/>
        <v>0</v>
      </c>
      <c r="O5066" s="5"/>
      <c r="S5066" s="11"/>
    </row>
    <row r="5067" spans="1:22" customFormat="1" x14ac:dyDescent="0.45">
      <c r="A5067">
        <v>951048</v>
      </c>
      <c r="B5067" t="s">
        <v>25778</v>
      </c>
      <c r="C5067" t="s">
        <v>25779</v>
      </c>
      <c r="D5067">
        <v>1</v>
      </c>
      <c r="F5067" s="126"/>
      <c r="K5067" s="3">
        <f t="shared" si="182"/>
        <v>0</v>
      </c>
      <c r="L5067" s="3"/>
      <c r="M5067" s="3">
        <f t="shared" si="183"/>
        <v>0</v>
      </c>
      <c r="O5067" s="5"/>
      <c r="S5067" s="11"/>
    </row>
    <row r="5068" spans="1:22" customFormat="1" x14ac:dyDescent="0.45">
      <c r="A5068">
        <v>951050</v>
      </c>
      <c r="B5068" t="s">
        <v>25780</v>
      </c>
      <c r="C5068" t="s">
        <v>16331</v>
      </c>
      <c r="D5068">
        <v>1</v>
      </c>
      <c r="E5068" t="s">
        <v>16331</v>
      </c>
      <c r="F5068" s="126"/>
      <c r="G5068" s="7">
        <v>0</v>
      </c>
      <c r="H5068" s="7">
        <v>0</v>
      </c>
      <c r="I5068" s="7">
        <v>0</v>
      </c>
      <c r="J5068" s="7">
        <v>0</v>
      </c>
      <c r="K5068" s="3">
        <f t="shared" si="182"/>
        <v>0</v>
      </c>
      <c r="L5068" s="3"/>
      <c r="M5068" s="3">
        <f t="shared" si="183"/>
        <v>0</v>
      </c>
      <c r="O5068" s="5"/>
      <c r="S5068" s="11"/>
    </row>
    <row r="5069" spans="1:22" customFormat="1" x14ac:dyDescent="0.45">
      <c r="A5069">
        <v>951157</v>
      </c>
      <c r="B5069" t="s">
        <v>25781</v>
      </c>
      <c r="C5069" t="s">
        <v>16331</v>
      </c>
      <c r="D5069">
        <v>2</v>
      </c>
      <c r="E5069" t="s">
        <v>16331</v>
      </c>
      <c r="F5069" s="126"/>
      <c r="K5069" s="3">
        <f t="shared" ref="K5069:K5077" si="184">SUM(G5069:J5069)</f>
        <v>0</v>
      </c>
      <c r="L5069" s="3"/>
      <c r="M5069" s="3">
        <f t="shared" si="183"/>
        <v>0</v>
      </c>
      <c r="O5069" s="5"/>
      <c r="S5069" s="11"/>
    </row>
    <row r="5070" spans="1:22" customFormat="1" x14ac:dyDescent="0.45">
      <c r="A5070">
        <v>951210</v>
      </c>
      <c r="B5070" t="s">
        <v>25782</v>
      </c>
      <c r="C5070" t="s">
        <v>25783</v>
      </c>
      <c r="D5070">
        <v>0</v>
      </c>
      <c r="E5070" t="s">
        <v>16334</v>
      </c>
      <c r="F5070" s="126"/>
      <c r="G5070" s="7">
        <v>0</v>
      </c>
      <c r="H5070" s="7">
        <v>0</v>
      </c>
      <c r="I5070" s="7">
        <v>0</v>
      </c>
      <c r="J5070" s="7">
        <v>0</v>
      </c>
      <c r="K5070" s="3">
        <f t="shared" si="184"/>
        <v>0</v>
      </c>
      <c r="L5070" s="3"/>
      <c r="M5070" s="3">
        <f t="shared" si="183"/>
        <v>0</v>
      </c>
      <c r="O5070" s="5"/>
      <c r="S5070" s="11"/>
    </row>
    <row r="5071" spans="1:22" customFormat="1" x14ac:dyDescent="0.45">
      <c r="A5071">
        <v>951388</v>
      </c>
      <c r="B5071" t="s">
        <v>25784</v>
      </c>
      <c r="C5071" t="s">
        <v>25785</v>
      </c>
      <c r="D5071">
        <v>1</v>
      </c>
      <c r="F5071" s="126"/>
      <c r="G5071" s="3"/>
      <c r="H5071" s="3"/>
      <c r="I5071" s="3"/>
      <c r="J5071" s="3"/>
      <c r="K5071" s="3">
        <f t="shared" si="184"/>
        <v>0</v>
      </c>
      <c r="L5071" s="3"/>
      <c r="M5071" s="3">
        <f t="shared" si="183"/>
        <v>0</v>
      </c>
      <c r="O5071" s="5"/>
      <c r="S5071" s="11"/>
    </row>
    <row r="5072" spans="1:22" customFormat="1" x14ac:dyDescent="0.45">
      <c r="A5072">
        <v>951685</v>
      </c>
      <c r="B5072" t="s">
        <v>25786</v>
      </c>
      <c r="C5072" t="s">
        <v>16331</v>
      </c>
      <c r="D5072">
        <v>1</v>
      </c>
      <c r="E5072" t="s">
        <v>16331</v>
      </c>
      <c r="F5072" s="126"/>
      <c r="G5072" s="7">
        <v>0</v>
      </c>
      <c r="H5072" s="7">
        <v>0</v>
      </c>
      <c r="I5072" s="7">
        <v>0</v>
      </c>
      <c r="J5072" s="7">
        <v>0</v>
      </c>
      <c r="K5072" s="3">
        <f t="shared" si="184"/>
        <v>0</v>
      </c>
      <c r="L5072" s="3"/>
      <c r="M5072" s="3">
        <f t="shared" si="183"/>
        <v>0</v>
      </c>
      <c r="O5072" s="5"/>
      <c r="S5072" s="11"/>
    </row>
    <row r="5073" spans="1:22" customFormat="1" x14ac:dyDescent="0.45">
      <c r="A5073">
        <v>951973</v>
      </c>
      <c r="B5073" t="s">
        <v>25787</v>
      </c>
      <c r="C5073" t="s">
        <v>16331</v>
      </c>
      <c r="D5073">
        <v>1</v>
      </c>
      <c r="E5073" t="s">
        <v>16331</v>
      </c>
      <c r="F5073" s="126"/>
      <c r="K5073" s="3">
        <f t="shared" si="184"/>
        <v>0</v>
      </c>
      <c r="L5073" s="3"/>
      <c r="M5073" s="3">
        <f t="shared" si="183"/>
        <v>0</v>
      </c>
      <c r="O5073" s="5"/>
      <c r="S5073" s="11"/>
    </row>
    <row r="5074" spans="1:22" customFormat="1" x14ac:dyDescent="0.45">
      <c r="A5074">
        <v>952089</v>
      </c>
      <c r="B5074" t="s">
        <v>25788</v>
      </c>
      <c r="C5074" t="s">
        <v>25789</v>
      </c>
      <c r="D5074">
        <v>2</v>
      </c>
      <c r="F5074" s="126"/>
      <c r="G5074" s="3">
        <v>0</v>
      </c>
      <c r="H5074" s="3">
        <v>0</v>
      </c>
      <c r="I5074" s="3">
        <v>0</v>
      </c>
      <c r="J5074" s="3">
        <v>0</v>
      </c>
      <c r="K5074" s="3">
        <f t="shared" si="184"/>
        <v>0</v>
      </c>
      <c r="L5074" s="3"/>
      <c r="M5074" s="3">
        <f t="shared" si="183"/>
        <v>0</v>
      </c>
      <c r="O5074" s="5"/>
      <c r="S5074" s="11"/>
    </row>
    <row r="5075" spans="1:22" customFormat="1" x14ac:dyDescent="0.45">
      <c r="A5075">
        <v>952110</v>
      </c>
      <c r="B5075" t="s">
        <v>25790</v>
      </c>
      <c r="C5075" t="s">
        <v>25791</v>
      </c>
      <c r="D5075">
        <v>0</v>
      </c>
      <c r="E5075" t="s">
        <v>16334</v>
      </c>
      <c r="F5075" s="126"/>
      <c r="G5075" s="3"/>
      <c r="H5075" s="3"/>
      <c r="I5075" s="3"/>
      <c r="J5075" s="3"/>
      <c r="K5075" s="3">
        <f t="shared" si="184"/>
        <v>0</v>
      </c>
      <c r="L5075" s="3"/>
      <c r="M5075" s="3">
        <f t="shared" si="183"/>
        <v>0</v>
      </c>
      <c r="O5075" s="5"/>
      <c r="S5075" s="11"/>
    </row>
    <row r="5076" spans="1:22" customFormat="1" x14ac:dyDescent="0.45">
      <c r="A5076">
        <v>952121</v>
      </c>
      <c r="B5076" t="s">
        <v>25792</v>
      </c>
      <c r="C5076" t="s">
        <v>25793</v>
      </c>
      <c r="D5076">
        <v>1</v>
      </c>
      <c r="F5076" s="126"/>
      <c r="G5076" s="3">
        <v>0</v>
      </c>
      <c r="H5076" s="3">
        <v>0</v>
      </c>
      <c r="I5076" s="3">
        <v>0</v>
      </c>
      <c r="J5076" s="3">
        <v>0</v>
      </c>
      <c r="K5076" s="3">
        <f t="shared" si="184"/>
        <v>0</v>
      </c>
      <c r="L5076" s="3"/>
      <c r="M5076" s="3">
        <f t="shared" si="183"/>
        <v>0</v>
      </c>
      <c r="O5076" s="5"/>
      <c r="S5076" s="11"/>
    </row>
    <row r="5077" spans="1:22" customFormat="1" x14ac:dyDescent="0.45">
      <c r="A5077">
        <v>952209</v>
      </c>
      <c r="B5077" t="s">
        <v>25794</v>
      </c>
      <c r="C5077" t="s">
        <v>25795</v>
      </c>
      <c r="D5077">
        <v>2</v>
      </c>
      <c r="F5077" s="126"/>
      <c r="G5077" s="7">
        <v>0</v>
      </c>
      <c r="H5077" s="7">
        <v>0</v>
      </c>
      <c r="I5077" s="7">
        <v>0</v>
      </c>
      <c r="J5077" s="7">
        <v>0</v>
      </c>
      <c r="K5077" s="3">
        <f t="shared" si="184"/>
        <v>0</v>
      </c>
      <c r="L5077" s="3"/>
      <c r="M5077" s="3">
        <f t="shared" si="183"/>
        <v>0</v>
      </c>
      <c r="O5077" s="5"/>
      <c r="S5077" s="11"/>
    </row>
    <row r="5078" spans="1:22" customFormat="1" x14ac:dyDescent="0.45">
      <c r="A5078">
        <v>952233</v>
      </c>
      <c r="B5078" t="s">
        <v>25796</v>
      </c>
      <c r="C5078" t="s">
        <v>25797</v>
      </c>
      <c r="D5078">
        <v>6</v>
      </c>
      <c r="E5078" t="s">
        <v>16334</v>
      </c>
      <c r="F5078" s="126"/>
      <c r="G5078" s="3"/>
      <c r="H5078" s="3"/>
      <c r="I5078" s="4"/>
      <c r="J5078" s="4"/>
      <c r="K5078" s="3">
        <v>0</v>
      </c>
      <c r="L5078" s="3"/>
      <c r="M5078" s="3">
        <v>0</v>
      </c>
      <c r="N5078" t="s">
        <v>25798</v>
      </c>
      <c r="O5078" s="5"/>
      <c r="S5078" s="11"/>
    </row>
    <row r="5079" spans="1:22" customFormat="1" x14ac:dyDescent="0.45">
      <c r="A5079">
        <v>952234</v>
      </c>
      <c r="B5079" t="s">
        <v>25799</v>
      </c>
      <c r="C5079" t="s">
        <v>16331</v>
      </c>
      <c r="D5079">
        <v>1</v>
      </c>
      <c r="E5079" t="s">
        <v>16331</v>
      </c>
      <c r="F5079" s="126"/>
      <c r="K5079" s="3">
        <f t="shared" ref="K5079:K5097" si="185">SUM(G5079:J5079)</f>
        <v>0</v>
      </c>
      <c r="L5079" s="3"/>
      <c r="M5079" s="3">
        <f t="shared" ref="M5079:M5142" si="186">K5079+F5079</f>
        <v>0</v>
      </c>
      <c r="O5079" s="5"/>
      <c r="S5079" s="11"/>
    </row>
    <row r="5080" spans="1:22" x14ac:dyDescent="0.45">
      <c r="A5080" s="124">
        <v>225831</v>
      </c>
      <c r="B5080" s="124" t="s">
        <v>25800</v>
      </c>
      <c r="C5080" s="124" t="s">
        <v>18881</v>
      </c>
      <c r="D5080" s="124">
        <v>180</v>
      </c>
      <c r="E5080" s="124" t="s">
        <v>16417</v>
      </c>
      <c r="F5080" s="126">
        <v>3.0000000000000001E-3</v>
      </c>
      <c r="G5080" s="126">
        <v>2.5000000000000001E-2</v>
      </c>
      <c r="H5080" s="126">
        <v>0.01</v>
      </c>
      <c r="I5080" s="127">
        <v>0</v>
      </c>
      <c r="J5080" s="127">
        <v>0</v>
      </c>
      <c r="K5080" s="126">
        <f t="shared" si="185"/>
        <v>3.5000000000000003E-2</v>
      </c>
      <c r="L5080" s="3"/>
      <c r="M5080" s="126">
        <f t="shared" si="186"/>
        <v>3.8000000000000006E-2</v>
      </c>
      <c r="O5080" s="125" t="s">
        <v>18884</v>
      </c>
      <c r="P5080" s="125" t="s">
        <v>25774</v>
      </c>
      <c r="Q5080" s="130">
        <v>4028000</v>
      </c>
      <c r="R5080" s="124" t="s">
        <v>16</v>
      </c>
      <c r="S5080" s="130">
        <v>2033000</v>
      </c>
      <c r="T5080" s="129">
        <f>S5080/Q5080</f>
        <v>0.50471698113207553</v>
      </c>
      <c r="V5080" s="125" t="s">
        <v>25775</v>
      </c>
    </row>
    <row r="5081" spans="1:22" x14ac:dyDescent="0.45">
      <c r="A5081" s="124">
        <v>587701</v>
      </c>
      <c r="B5081" s="124" t="s">
        <v>25801</v>
      </c>
      <c r="C5081" s="125" t="s">
        <v>25802</v>
      </c>
      <c r="D5081" s="124">
        <v>13</v>
      </c>
      <c r="E5081" s="124" t="s">
        <v>16417</v>
      </c>
      <c r="F5081" s="126">
        <v>3.0000000000000001E-3</v>
      </c>
      <c r="G5081" s="126">
        <v>2.5000000000000001E-2</v>
      </c>
      <c r="H5081" s="135">
        <v>0.01</v>
      </c>
      <c r="I5081" s="127"/>
      <c r="J5081" s="127"/>
      <c r="K5081" s="126">
        <f t="shared" si="185"/>
        <v>3.5000000000000003E-2</v>
      </c>
      <c r="L5081" s="9"/>
      <c r="M5081" s="126">
        <f t="shared" si="186"/>
        <v>3.8000000000000006E-2</v>
      </c>
      <c r="N5081" s="124" t="s">
        <v>18883</v>
      </c>
      <c r="O5081" s="125" t="s">
        <v>18884</v>
      </c>
      <c r="Q5081" s="130">
        <v>4028000</v>
      </c>
      <c r="R5081" s="124" t="s">
        <v>16</v>
      </c>
      <c r="S5081" s="130">
        <v>2033000</v>
      </c>
      <c r="T5081" s="129">
        <f>S5081/Q5081</f>
        <v>0.50471698113207553</v>
      </c>
      <c r="V5081" s="125" t="s">
        <v>25775</v>
      </c>
    </row>
    <row r="5082" spans="1:22" customFormat="1" x14ac:dyDescent="0.45">
      <c r="A5082">
        <v>952537</v>
      </c>
      <c r="B5082" t="s">
        <v>25803</v>
      </c>
      <c r="C5082" t="s">
        <v>25804</v>
      </c>
      <c r="D5082">
        <v>1</v>
      </c>
      <c r="F5082" s="126"/>
      <c r="G5082" s="7">
        <v>0</v>
      </c>
      <c r="H5082" s="7">
        <v>0</v>
      </c>
      <c r="I5082" s="7">
        <v>0</v>
      </c>
      <c r="J5082" s="7">
        <v>0</v>
      </c>
      <c r="K5082" s="3">
        <f t="shared" si="185"/>
        <v>0</v>
      </c>
      <c r="L5082" s="3"/>
      <c r="M5082" s="3">
        <f t="shared" si="186"/>
        <v>0</v>
      </c>
      <c r="O5082" s="5"/>
      <c r="S5082" s="11"/>
    </row>
    <row r="5083" spans="1:22" customFormat="1" x14ac:dyDescent="0.45">
      <c r="A5083">
        <v>952580</v>
      </c>
      <c r="B5083" t="s">
        <v>25805</v>
      </c>
      <c r="C5083" t="s">
        <v>25806</v>
      </c>
      <c r="D5083">
        <v>2</v>
      </c>
      <c r="F5083" s="126"/>
      <c r="G5083" s="3">
        <v>0</v>
      </c>
      <c r="H5083" s="3">
        <v>0</v>
      </c>
      <c r="I5083" s="3">
        <v>0</v>
      </c>
      <c r="J5083" s="3">
        <v>0</v>
      </c>
      <c r="K5083" s="3">
        <f t="shared" si="185"/>
        <v>0</v>
      </c>
      <c r="L5083" s="3"/>
      <c r="M5083" s="3">
        <f t="shared" si="186"/>
        <v>0</v>
      </c>
      <c r="O5083" s="5"/>
      <c r="S5083" s="11"/>
    </row>
    <row r="5084" spans="1:22" customFormat="1" x14ac:dyDescent="0.45">
      <c r="A5084">
        <v>952637</v>
      </c>
      <c r="B5084" t="s">
        <v>25807</v>
      </c>
      <c r="C5084" t="s">
        <v>16331</v>
      </c>
      <c r="D5084">
        <v>4</v>
      </c>
      <c r="E5084" t="s">
        <v>16331</v>
      </c>
      <c r="F5084" s="126"/>
      <c r="G5084" s="7">
        <v>0</v>
      </c>
      <c r="H5084" s="7">
        <v>0</v>
      </c>
      <c r="I5084" s="7">
        <v>0</v>
      </c>
      <c r="J5084" s="7">
        <v>0</v>
      </c>
      <c r="K5084" s="3">
        <f t="shared" si="185"/>
        <v>0</v>
      </c>
      <c r="L5084" s="3"/>
      <c r="M5084" s="3">
        <f t="shared" si="186"/>
        <v>0</v>
      </c>
      <c r="O5084" s="5"/>
      <c r="S5084" s="11"/>
    </row>
    <row r="5085" spans="1:22" customFormat="1" x14ac:dyDescent="0.45">
      <c r="A5085">
        <v>952823</v>
      </c>
      <c r="B5085" t="s">
        <v>25808</v>
      </c>
      <c r="C5085" t="s">
        <v>25809</v>
      </c>
      <c r="D5085">
        <v>1</v>
      </c>
      <c r="F5085" s="126"/>
      <c r="G5085" s="3"/>
      <c r="H5085" s="3"/>
      <c r="I5085" s="3"/>
      <c r="J5085" s="3"/>
      <c r="K5085" s="3">
        <f t="shared" si="185"/>
        <v>0</v>
      </c>
      <c r="L5085" s="3"/>
      <c r="M5085" s="3">
        <f t="shared" si="186"/>
        <v>0</v>
      </c>
      <c r="O5085" s="5"/>
      <c r="S5085" s="11"/>
    </row>
    <row r="5086" spans="1:22" customFormat="1" x14ac:dyDescent="0.45">
      <c r="A5086">
        <v>952886</v>
      </c>
      <c r="B5086" t="s">
        <v>25810</v>
      </c>
      <c r="C5086" t="s">
        <v>25811</v>
      </c>
      <c r="D5086">
        <v>3</v>
      </c>
      <c r="F5086" s="126"/>
      <c r="G5086" s="7">
        <v>0</v>
      </c>
      <c r="H5086" s="7">
        <v>0</v>
      </c>
      <c r="I5086" s="7">
        <v>0</v>
      </c>
      <c r="J5086" s="7">
        <v>0</v>
      </c>
      <c r="K5086" s="3">
        <f t="shared" si="185"/>
        <v>0</v>
      </c>
      <c r="L5086" s="3"/>
      <c r="M5086" s="3">
        <f t="shared" si="186"/>
        <v>0</v>
      </c>
      <c r="O5086" s="5"/>
      <c r="S5086" s="11"/>
    </row>
    <row r="5087" spans="1:22" customFormat="1" x14ac:dyDescent="0.45">
      <c r="A5087">
        <v>953323</v>
      </c>
      <c r="B5087" t="s">
        <v>25812</v>
      </c>
      <c r="C5087" t="s">
        <v>25813</v>
      </c>
      <c r="D5087">
        <v>1</v>
      </c>
      <c r="F5087" s="126"/>
      <c r="G5087" s="3">
        <v>0</v>
      </c>
      <c r="H5087" s="3">
        <v>0</v>
      </c>
      <c r="I5087" s="3">
        <v>0</v>
      </c>
      <c r="J5087" s="3">
        <v>0</v>
      </c>
      <c r="K5087" s="3">
        <f t="shared" si="185"/>
        <v>0</v>
      </c>
      <c r="L5087" s="3"/>
      <c r="M5087" s="3">
        <f t="shared" si="186"/>
        <v>0</v>
      </c>
      <c r="O5087" s="5"/>
      <c r="S5087" s="11"/>
    </row>
    <row r="5088" spans="1:22" customFormat="1" x14ac:dyDescent="0.45">
      <c r="A5088">
        <v>953469</v>
      </c>
      <c r="B5088" t="s">
        <v>25814</v>
      </c>
      <c r="C5088" t="s">
        <v>16331</v>
      </c>
      <c r="D5088">
        <v>1</v>
      </c>
      <c r="E5088" t="s">
        <v>16331</v>
      </c>
      <c r="F5088" s="126"/>
      <c r="G5088" s="7">
        <v>0</v>
      </c>
      <c r="H5088" s="7">
        <v>0</v>
      </c>
      <c r="I5088" s="7">
        <v>0</v>
      </c>
      <c r="J5088" s="7">
        <v>0</v>
      </c>
      <c r="K5088" s="3">
        <f t="shared" si="185"/>
        <v>0</v>
      </c>
      <c r="L5088" s="3"/>
      <c r="M5088" s="3">
        <f t="shared" si="186"/>
        <v>0</v>
      </c>
      <c r="O5088" s="5"/>
      <c r="S5088" s="11"/>
    </row>
    <row r="5089" spans="1:19" customFormat="1" x14ac:dyDescent="0.45">
      <c r="A5089">
        <v>953471</v>
      </c>
      <c r="B5089" t="s">
        <v>25815</v>
      </c>
      <c r="C5089" t="s">
        <v>25816</v>
      </c>
      <c r="D5089">
        <v>2</v>
      </c>
      <c r="F5089" s="126"/>
      <c r="G5089" s="7">
        <v>0</v>
      </c>
      <c r="H5089" s="7">
        <v>0</v>
      </c>
      <c r="I5089" s="7">
        <v>0</v>
      </c>
      <c r="J5089" s="7">
        <v>0</v>
      </c>
      <c r="K5089" s="3">
        <f t="shared" si="185"/>
        <v>0</v>
      </c>
      <c r="L5089" s="3"/>
      <c r="M5089" s="3">
        <f t="shared" si="186"/>
        <v>0</v>
      </c>
      <c r="O5089" s="5"/>
      <c r="S5089" s="11"/>
    </row>
    <row r="5090" spans="1:19" customFormat="1" x14ac:dyDescent="0.45">
      <c r="A5090">
        <v>953473</v>
      </c>
      <c r="B5090" t="s">
        <v>25817</v>
      </c>
      <c r="C5090" s="2" t="s">
        <v>25818</v>
      </c>
      <c r="D5090">
        <v>1</v>
      </c>
      <c r="F5090" s="126"/>
      <c r="G5090" s="3">
        <v>0</v>
      </c>
      <c r="H5090" s="3">
        <v>0</v>
      </c>
      <c r="I5090" s="3">
        <v>0</v>
      </c>
      <c r="J5090" s="3">
        <v>0</v>
      </c>
      <c r="K5090" s="3">
        <f t="shared" si="185"/>
        <v>0</v>
      </c>
      <c r="L5090" s="3"/>
      <c r="M5090" s="3">
        <f t="shared" si="186"/>
        <v>0</v>
      </c>
      <c r="O5090" s="5"/>
      <c r="S5090" s="11"/>
    </row>
    <row r="5091" spans="1:19" customFormat="1" x14ac:dyDescent="0.45">
      <c r="A5091">
        <v>953492</v>
      </c>
      <c r="B5091" t="s">
        <v>25819</v>
      </c>
      <c r="C5091" t="s">
        <v>25820</v>
      </c>
      <c r="D5091">
        <v>1</v>
      </c>
      <c r="F5091" s="126"/>
      <c r="G5091" s="3">
        <v>0</v>
      </c>
      <c r="H5091" s="3">
        <v>0</v>
      </c>
      <c r="I5091" s="3">
        <v>0</v>
      </c>
      <c r="J5091" s="3">
        <v>0</v>
      </c>
      <c r="K5091" s="3">
        <f t="shared" si="185"/>
        <v>0</v>
      </c>
      <c r="L5091" s="3"/>
      <c r="M5091" s="3">
        <f t="shared" si="186"/>
        <v>0</v>
      </c>
      <c r="O5091" s="5"/>
      <c r="S5091" s="11"/>
    </row>
    <row r="5092" spans="1:19" customFormat="1" x14ac:dyDescent="0.45">
      <c r="A5092">
        <v>953494</v>
      </c>
      <c r="B5092" t="s">
        <v>25821</v>
      </c>
      <c r="C5092" t="s">
        <v>16331</v>
      </c>
      <c r="D5092">
        <v>1</v>
      </c>
      <c r="E5092" t="s">
        <v>16331</v>
      </c>
      <c r="F5092" s="126"/>
      <c r="K5092" s="3">
        <f t="shared" si="185"/>
        <v>0</v>
      </c>
      <c r="L5092" s="3"/>
      <c r="M5092" s="3">
        <f t="shared" si="186"/>
        <v>0</v>
      </c>
      <c r="O5092" s="5"/>
      <c r="S5092" s="11"/>
    </row>
    <row r="5093" spans="1:19" customFormat="1" x14ac:dyDescent="0.45">
      <c r="A5093">
        <v>953556</v>
      </c>
      <c r="B5093" t="s">
        <v>25822</v>
      </c>
      <c r="C5093" t="s">
        <v>25823</v>
      </c>
      <c r="D5093">
        <v>1</v>
      </c>
      <c r="F5093" s="126"/>
      <c r="G5093" s="7">
        <v>0</v>
      </c>
      <c r="H5093" s="7">
        <v>0</v>
      </c>
      <c r="I5093" s="7">
        <v>0</v>
      </c>
      <c r="J5093" s="7">
        <v>0</v>
      </c>
      <c r="K5093" s="3">
        <f t="shared" si="185"/>
        <v>0</v>
      </c>
      <c r="L5093" s="3"/>
      <c r="M5093" s="3">
        <f t="shared" si="186"/>
        <v>0</v>
      </c>
      <c r="O5093" s="5"/>
      <c r="S5093" s="11"/>
    </row>
    <row r="5094" spans="1:19" customFormat="1" x14ac:dyDescent="0.45">
      <c r="A5094">
        <v>953633</v>
      </c>
      <c r="B5094" t="s">
        <v>25824</v>
      </c>
      <c r="C5094" t="s">
        <v>25825</v>
      </c>
      <c r="D5094">
        <v>2</v>
      </c>
      <c r="F5094" s="126"/>
      <c r="G5094" s="7">
        <v>0</v>
      </c>
      <c r="H5094" s="7">
        <v>0</v>
      </c>
      <c r="I5094" s="7">
        <v>0</v>
      </c>
      <c r="J5094" s="7">
        <v>0</v>
      </c>
      <c r="K5094" s="3">
        <f t="shared" si="185"/>
        <v>0</v>
      </c>
      <c r="L5094" s="3"/>
      <c r="M5094" s="3">
        <f t="shared" si="186"/>
        <v>0</v>
      </c>
      <c r="O5094" s="5"/>
      <c r="S5094" s="11"/>
    </row>
    <row r="5095" spans="1:19" customFormat="1" x14ac:dyDescent="0.45">
      <c r="A5095">
        <v>954112</v>
      </c>
      <c r="B5095" t="s">
        <v>25826</v>
      </c>
      <c r="C5095" t="s">
        <v>25827</v>
      </c>
      <c r="D5095">
        <v>2</v>
      </c>
      <c r="F5095" s="126"/>
      <c r="G5095" s="3">
        <v>0</v>
      </c>
      <c r="H5095" s="3">
        <v>0</v>
      </c>
      <c r="I5095" s="3">
        <v>0</v>
      </c>
      <c r="J5095" s="3">
        <v>0</v>
      </c>
      <c r="K5095" s="3">
        <f t="shared" si="185"/>
        <v>0</v>
      </c>
      <c r="L5095" s="3"/>
      <c r="M5095" s="3">
        <f t="shared" si="186"/>
        <v>0</v>
      </c>
      <c r="O5095" s="5"/>
      <c r="S5095" s="11"/>
    </row>
    <row r="5096" spans="1:19" customFormat="1" x14ac:dyDescent="0.45">
      <c r="A5096">
        <v>954208</v>
      </c>
      <c r="B5096" t="s">
        <v>25828</v>
      </c>
      <c r="C5096" t="s">
        <v>25829</v>
      </c>
      <c r="D5096">
        <v>1</v>
      </c>
      <c r="F5096" s="126"/>
      <c r="G5096" s="3"/>
      <c r="H5096" s="3"/>
      <c r="I5096" s="3"/>
      <c r="J5096" s="3"/>
      <c r="K5096" s="3">
        <f t="shared" si="185"/>
        <v>0</v>
      </c>
      <c r="L5096" s="3"/>
      <c r="M5096" s="3">
        <f t="shared" si="186"/>
        <v>0</v>
      </c>
      <c r="O5096" s="5"/>
      <c r="S5096" s="11"/>
    </row>
    <row r="5097" spans="1:19" customFormat="1" x14ac:dyDescent="0.45">
      <c r="A5097">
        <v>954255</v>
      </c>
      <c r="B5097" t="s">
        <v>25830</v>
      </c>
      <c r="C5097" t="s">
        <v>25831</v>
      </c>
      <c r="D5097">
        <v>2</v>
      </c>
      <c r="F5097" s="126"/>
      <c r="G5097" s="3">
        <v>0</v>
      </c>
      <c r="H5097" s="3">
        <v>0</v>
      </c>
      <c r="I5097" s="3">
        <v>0</v>
      </c>
      <c r="J5097" s="3">
        <v>0</v>
      </c>
      <c r="K5097" s="3">
        <f t="shared" si="185"/>
        <v>0</v>
      </c>
      <c r="L5097" s="3"/>
      <c r="M5097" s="3">
        <f t="shared" si="186"/>
        <v>0</v>
      </c>
      <c r="O5097" s="5"/>
      <c r="S5097" s="11"/>
    </row>
    <row r="5098" spans="1:19" customFormat="1" x14ac:dyDescent="0.45">
      <c r="A5098">
        <v>954352</v>
      </c>
      <c r="B5098" t="s">
        <v>25832</v>
      </c>
      <c r="C5098" t="s">
        <v>25833</v>
      </c>
      <c r="D5098">
        <v>1</v>
      </c>
      <c r="E5098" t="s">
        <v>16334</v>
      </c>
      <c r="F5098" s="126"/>
      <c r="G5098" s="3"/>
      <c r="H5098" s="3"/>
      <c r="I5098" s="3"/>
      <c r="J5098" s="3"/>
      <c r="K5098" s="3">
        <v>0</v>
      </c>
      <c r="L5098" s="3"/>
      <c r="M5098" s="3">
        <f t="shared" si="186"/>
        <v>0</v>
      </c>
      <c r="O5098" s="5" t="s">
        <v>25834</v>
      </c>
      <c r="S5098" s="11"/>
    </row>
    <row r="5099" spans="1:19" customFormat="1" x14ac:dyDescent="0.45">
      <c r="A5099">
        <v>954553</v>
      </c>
      <c r="B5099" t="s">
        <v>25835</v>
      </c>
      <c r="C5099" t="s">
        <v>25836</v>
      </c>
      <c r="D5099">
        <v>4</v>
      </c>
      <c r="F5099" s="126"/>
      <c r="G5099" s="7">
        <v>0</v>
      </c>
      <c r="H5099" s="7">
        <v>0</v>
      </c>
      <c r="I5099" s="7">
        <v>0</v>
      </c>
      <c r="J5099" s="7">
        <v>0</v>
      </c>
      <c r="K5099" s="3">
        <f t="shared" ref="K5099:K5162" si="187">SUM(G5099:J5099)</f>
        <v>0</v>
      </c>
      <c r="L5099" s="3"/>
      <c r="M5099" s="3">
        <f t="shared" si="186"/>
        <v>0</v>
      </c>
      <c r="N5099" s="7"/>
      <c r="O5099" s="5"/>
      <c r="S5099" s="11"/>
    </row>
    <row r="5100" spans="1:19" customFormat="1" x14ac:dyDescent="0.45">
      <c r="A5100">
        <v>954596</v>
      </c>
      <c r="B5100" t="s">
        <v>25837</v>
      </c>
      <c r="C5100" t="s">
        <v>25838</v>
      </c>
      <c r="D5100">
        <v>1</v>
      </c>
      <c r="F5100" s="126"/>
      <c r="G5100" s="7">
        <v>0</v>
      </c>
      <c r="H5100" s="7">
        <v>0</v>
      </c>
      <c r="I5100" s="7">
        <v>0</v>
      </c>
      <c r="J5100" s="7">
        <v>0</v>
      </c>
      <c r="K5100" s="3">
        <f t="shared" si="187"/>
        <v>0</v>
      </c>
      <c r="L5100" s="3"/>
      <c r="M5100" s="3">
        <f t="shared" si="186"/>
        <v>0</v>
      </c>
      <c r="N5100" s="7"/>
      <c r="O5100" s="5"/>
      <c r="S5100" s="11"/>
    </row>
    <row r="5101" spans="1:19" customFormat="1" x14ac:dyDescent="0.45">
      <c r="A5101">
        <v>954615</v>
      </c>
      <c r="B5101" t="s">
        <v>25839</v>
      </c>
      <c r="C5101" t="s">
        <v>25840</v>
      </c>
      <c r="D5101">
        <v>1</v>
      </c>
      <c r="F5101" s="126"/>
      <c r="G5101" s="7">
        <v>0</v>
      </c>
      <c r="H5101" s="7">
        <v>0</v>
      </c>
      <c r="I5101" s="7">
        <v>0</v>
      </c>
      <c r="J5101" s="7">
        <v>0</v>
      </c>
      <c r="K5101" s="3">
        <f t="shared" si="187"/>
        <v>0</v>
      </c>
      <c r="L5101" s="3"/>
      <c r="M5101" s="3">
        <f t="shared" si="186"/>
        <v>0</v>
      </c>
      <c r="O5101" s="5"/>
      <c r="S5101" s="11"/>
    </row>
    <row r="5102" spans="1:19" customFormat="1" x14ac:dyDescent="0.45">
      <c r="A5102">
        <v>954704</v>
      </c>
      <c r="B5102" t="s">
        <v>25841</v>
      </c>
      <c r="C5102" t="s">
        <v>16331</v>
      </c>
      <c r="D5102">
        <v>2</v>
      </c>
      <c r="E5102" t="s">
        <v>16331</v>
      </c>
      <c r="F5102" s="126"/>
      <c r="G5102" s="7">
        <v>0</v>
      </c>
      <c r="H5102" s="7">
        <v>0</v>
      </c>
      <c r="I5102" s="7">
        <v>0</v>
      </c>
      <c r="J5102" s="7">
        <v>0</v>
      </c>
      <c r="K5102" s="3">
        <f t="shared" si="187"/>
        <v>0</v>
      </c>
      <c r="L5102" s="3"/>
      <c r="M5102" s="3">
        <f t="shared" si="186"/>
        <v>0</v>
      </c>
      <c r="O5102" s="5"/>
      <c r="S5102" s="11"/>
    </row>
    <row r="5103" spans="1:19" customFormat="1" x14ac:dyDescent="0.45">
      <c r="A5103">
        <v>954710</v>
      </c>
      <c r="B5103" t="s">
        <v>25842</v>
      </c>
      <c r="C5103" t="s">
        <v>16331</v>
      </c>
      <c r="D5103">
        <v>1</v>
      </c>
      <c r="E5103" t="s">
        <v>16331</v>
      </c>
      <c r="F5103" s="126"/>
      <c r="G5103" s="7">
        <v>0</v>
      </c>
      <c r="H5103" s="7">
        <v>0</v>
      </c>
      <c r="I5103" s="7">
        <v>0</v>
      </c>
      <c r="J5103" s="7">
        <v>0</v>
      </c>
      <c r="K5103" s="3">
        <f t="shared" si="187"/>
        <v>0</v>
      </c>
      <c r="L5103" s="3"/>
      <c r="M5103" s="3">
        <f t="shared" si="186"/>
        <v>0</v>
      </c>
      <c r="O5103" s="5"/>
      <c r="S5103" s="11"/>
    </row>
    <row r="5104" spans="1:19" customFormat="1" x14ac:dyDescent="0.45">
      <c r="A5104">
        <v>955055</v>
      </c>
      <c r="B5104" t="s">
        <v>25843</v>
      </c>
      <c r="C5104" t="s">
        <v>16331</v>
      </c>
      <c r="D5104">
        <v>1</v>
      </c>
      <c r="E5104" t="s">
        <v>16331</v>
      </c>
      <c r="F5104" s="126"/>
      <c r="K5104" s="3">
        <f t="shared" si="187"/>
        <v>0</v>
      </c>
      <c r="L5104" s="3"/>
      <c r="M5104" s="3">
        <f t="shared" si="186"/>
        <v>0</v>
      </c>
      <c r="O5104" s="5"/>
      <c r="S5104" s="11"/>
    </row>
    <row r="5105" spans="1:22" customFormat="1" x14ac:dyDescent="0.45">
      <c r="A5105">
        <v>955306</v>
      </c>
      <c r="B5105" t="s">
        <v>25844</v>
      </c>
      <c r="C5105" t="s">
        <v>25845</v>
      </c>
      <c r="D5105">
        <v>1</v>
      </c>
      <c r="F5105" s="126"/>
      <c r="G5105" s="3"/>
      <c r="H5105" s="3"/>
      <c r="I5105" s="3"/>
      <c r="J5105" s="3"/>
      <c r="K5105" s="3">
        <f t="shared" si="187"/>
        <v>0</v>
      </c>
      <c r="L5105" s="3"/>
      <c r="M5105" s="3">
        <f t="shared" si="186"/>
        <v>0</v>
      </c>
      <c r="O5105" s="5"/>
      <c r="S5105" s="11"/>
    </row>
    <row r="5106" spans="1:22" customFormat="1" x14ac:dyDescent="0.45">
      <c r="A5106">
        <v>955432</v>
      </c>
      <c r="B5106" t="s">
        <v>25846</v>
      </c>
      <c r="C5106" s="2" t="s">
        <v>25847</v>
      </c>
      <c r="D5106">
        <v>2</v>
      </c>
      <c r="F5106" s="126"/>
      <c r="G5106" s="3">
        <v>0</v>
      </c>
      <c r="H5106" s="3">
        <v>0</v>
      </c>
      <c r="I5106" s="3">
        <v>0</v>
      </c>
      <c r="J5106" s="3">
        <v>0</v>
      </c>
      <c r="K5106" s="3">
        <f t="shared" si="187"/>
        <v>0</v>
      </c>
      <c r="L5106" s="3"/>
      <c r="M5106" s="3">
        <f t="shared" si="186"/>
        <v>0</v>
      </c>
      <c r="O5106" s="5"/>
      <c r="S5106" s="11"/>
    </row>
    <row r="5107" spans="1:22" customFormat="1" x14ac:dyDescent="0.45">
      <c r="A5107">
        <v>955612</v>
      </c>
      <c r="B5107" t="s">
        <v>25848</v>
      </c>
      <c r="C5107" t="s">
        <v>16331</v>
      </c>
      <c r="D5107">
        <v>1</v>
      </c>
      <c r="E5107" t="s">
        <v>16331</v>
      </c>
      <c r="F5107" s="126"/>
      <c r="G5107" s="7">
        <v>0</v>
      </c>
      <c r="H5107" s="7">
        <v>0</v>
      </c>
      <c r="I5107" s="7">
        <v>0</v>
      </c>
      <c r="J5107" s="7">
        <v>0</v>
      </c>
      <c r="K5107" s="3">
        <f t="shared" si="187"/>
        <v>0</v>
      </c>
      <c r="L5107" s="3"/>
      <c r="M5107" s="3">
        <f t="shared" si="186"/>
        <v>0</v>
      </c>
      <c r="O5107" s="5"/>
      <c r="S5107" s="11"/>
    </row>
    <row r="5108" spans="1:22" customFormat="1" x14ac:dyDescent="0.45">
      <c r="A5108">
        <v>955830</v>
      </c>
      <c r="B5108" t="s">
        <v>25849</v>
      </c>
      <c r="C5108" t="s">
        <v>16331</v>
      </c>
      <c r="D5108">
        <v>5</v>
      </c>
      <c r="E5108" t="s">
        <v>16331</v>
      </c>
      <c r="F5108" s="126"/>
      <c r="G5108" s="7">
        <v>0</v>
      </c>
      <c r="H5108" s="7">
        <v>0</v>
      </c>
      <c r="I5108" s="7">
        <v>0</v>
      </c>
      <c r="J5108" s="7">
        <v>0</v>
      </c>
      <c r="K5108" s="3">
        <f t="shared" si="187"/>
        <v>0</v>
      </c>
      <c r="L5108" s="3"/>
      <c r="M5108" s="3">
        <f t="shared" si="186"/>
        <v>0</v>
      </c>
      <c r="O5108" s="5"/>
      <c r="S5108" s="11"/>
    </row>
    <row r="5109" spans="1:22" x14ac:dyDescent="0.45">
      <c r="A5109" s="124">
        <v>588378</v>
      </c>
      <c r="B5109" s="124" t="s">
        <v>25850</v>
      </c>
      <c r="C5109" s="124" t="s">
        <v>18881</v>
      </c>
      <c r="D5109" s="124">
        <v>150</v>
      </c>
      <c r="E5109" s="124" t="s">
        <v>16417</v>
      </c>
      <c r="F5109" s="126">
        <v>3.0000000000000001E-3</v>
      </c>
      <c r="G5109" s="126">
        <v>2.5000000000000001E-2</v>
      </c>
      <c r="H5109" s="126">
        <v>0.01</v>
      </c>
      <c r="I5109" s="127">
        <v>0</v>
      </c>
      <c r="J5109" s="127">
        <v>0</v>
      </c>
      <c r="K5109" s="126">
        <f t="shared" si="187"/>
        <v>3.5000000000000003E-2</v>
      </c>
      <c r="L5109" s="9"/>
      <c r="M5109" s="126">
        <f t="shared" si="186"/>
        <v>3.8000000000000006E-2</v>
      </c>
      <c r="O5109" s="125" t="s">
        <v>18884</v>
      </c>
      <c r="Q5109" s="130">
        <v>4028000</v>
      </c>
      <c r="R5109" s="124" t="s">
        <v>16</v>
      </c>
      <c r="S5109" s="130">
        <v>2033000</v>
      </c>
      <c r="T5109" s="129">
        <f>S5109/Q5109</f>
        <v>0.50471698113207553</v>
      </c>
      <c r="V5109" s="125" t="s">
        <v>25775</v>
      </c>
    </row>
    <row r="5110" spans="1:22" customFormat="1" x14ac:dyDescent="0.45">
      <c r="A5110">
        <v>956001</v>
      </c>
      <c r="B5110" t="s">
        <v>25851</v>
      </c>
      <c r="C5110" t="s">
        <v>16331</v>
      </c>
      <c r="D5110">
        <v>1</v>
      </c>
      <c r="E5110" t="s">
        <v>16331</v>
      </c>
      <c r="F5110" s="126"/>
      <c r="G5110" s="7">
        <v>0</v>
      </c>
      <c r="H5110" s="7">
        <v>0</v>
      </c>
      <c r="I5110" s="7">
        <v>0</v>
      </c>
      <c r="J5110" s="7">
        <v>0</v>
      </c>
      <c r="K5110" s="3">
        <f t="shared" si="187"/>
        <v>0</v>
      </c>
      <c r="L5110" s="3"/>
      <c r="M5110" s="3">
        <f t="shared" si="186"/>
        <v>0</v>
      </c>
      <c r="N5110" s="7"/>
      <c r="O5110" s="5"/>
      <c r="S5110" s="11"/>
    </row>
    <row r="5111" spans="1:22" customFormat="1" x14ac:dyDescent="0.45">
      <c r="A5111">
        <v>956372</v>
      </c>
      <c r="B5111" t="s">
        <v>25852</v>
      </c>
      <c r="C5111" t="s">
        <v>25853</v>
      </c>
      <c r="D5111">
        <v>3</v>
      </c>
      <c r="F5111" s="126"/>
      <c r="G5111" s="3">
        <v>0</v>
      </c>
      <c r="H5111" s="3">
        <v>0</v>
      </c>
      <c r="I5111" s="3">
        <v>0</v>
      </c>
      <c r="J5111" s="3">
        <v>0</v>
      </c>
      <c r="K5111" s="3">
        <f t="shared" si="187"/>
        <v>0</v>
      </c>
      <c r="L5111" s="3"/>
      <c r="M5111" s="3">
        <f t="shared" si="186"/>
        <v>0</v>
      </c>
      <c r="O5111" s="5"/>
      <c r="S5111" s="11"/>
    </row>
    <row r="5112" spans="1:22" customFormat="1" x14ac:dyDescent="0.45">
      <c r="A5112">
        <v>956681</v>
      </c>
      <c r="B5112" t="s">
        <v>25854</v>
      </c>
      <c r="C5112" t="s">
        <v>16331</v>
      </c>
      <c r="D5112">
        <v>2</v>
      </c>
      <c r="E5112" t="s">
        <v>16331</v>
      </c>
      <c r="F5112" s="126"/>
      <c r="G5112" s="7">
        <v>0</v>
      </c>
      <c r="H5112" s="7">
        <v>0</v>
      </c>
      <c r="I5112" s="7">
        <v>0</v>
      </c>
      <c r="J5112" s="7">
        <v>0</v>
      </c>
      <c r="K5112" s="3">
        <f t="shared" si="187"/>
        <v>0</v>
      </c>
      <c r="L5112" s="3"/>
      <c r="M5112" s="3">
        <f t="shared" si="186"/>
        <v>0</v>
      </c>
      <c r="O5112" s="5"/>
      <c r="S5112" s="11"/>
    </row>
    <row r="5113" spans="1:22" customFormat="1" x14ac:dyDescent="0.45">
      <c r="A5113">
        <v>956993</v>
      </c>
      <c r="B5113" t="s">
        <v>25855</v>
      </c>
      <c r="C5113" t="s">
        <v>25856</v>
      </c>
      <c r="D5113">
        <v>3</v>
      </c>
      <c r="F5113" s="126"/>
      <c r="G5113" s="7">
        <v>0</v>
      </c>
      <c r="H5113" s="7">
        <v>0</v>
      </c>
      <c r="I5113" s="7">
        <v>0</v>
      </c>
      <c r="J5113" s="7">
        <v>0</v>
      </c>
      <c r="K5113" s="3">
        <f t="shared" si="187"/>
        <v>0</v>
      </c>
      <c r="L5113" s="3"/>
      <c r="M5113" s="3">
        <f t="shared" si="186"/>
        <v>0</v>
      </c>
      <c r="O5113" s="5"/>
      <c r="S5113" s="11"/>
    </row>
    <row r="5114" spans="1:22" customFormat="1" x14ac:dyDescent="0.45">
      <c r="A5114">
        <v>957006</v>
      </c>
      <c r="B5114" t="s">
        <v>25857</v>
      </c>
      <c r="C5114" t="s">
        <v>16331</v>
      </c>
      <c r="D5114">
        <v>1</v>
      </c>
      <c r="E5114" t="s">
        <v>16331</v>
      </c>
      <c r="F5114" s="126"/>
      <c r="G5114" s="7">
        <v>0</v>
      </c>
      <c r="H5114" s="7">
        <v>0</v>
      </c>
      <c r="I5114" s="7">
        <v>0</v>
      </c>
      <c r="J5114" s="7">
        <v>0</v>
      </c>
      <c r="K5114" s="3">
        <f t="shared" si="187"/>
        <v>0</v>
      </c>
      <c r="L5114" s="3"/>
      <c r="M5114" s="3">
        <f t="shared" si="186"/>
        <v>0</v>
      </c>
      <c r="O5114" s="5"/>
      <c r="S5114" s="11"/>
    </row>
    <row r="5115" spans="1:22" customFormat="1" x14ac:dyDescent="0.45">
      <c r="A5115">
        <v>957221</v>
      </c>
      <c r="B5115" t="s">
        <v>25858</v>
      </c>
      <c r="C5115" t="s">
        <v>25859</v>
      </c>
      <c r="D5115">
        <v>5</v>
      </c>
      <c r="F5115" s="126"/>
      <c r="G5115" s="7">
        <v>0</v>
      </c>
      <c r="H5115" s="7">
        <v>0</v>
      </c>
      <c r="I5115" s="7">
        <v>0</v>
      </c>
      <c r="J5115" s="7">
        <v>0</v>
      </c>
      <c r="K5115" s="3">
        <f t="shared" si="187"/>
        <v>0</v>
      </c>
      <c r="L5115" s="3"/>
      <c r="M5115" s="3">
        <f t="shared" si="186"/>
        <v>0</v>
      </c>
      <c r="N5115" s="7"/>
      <c r="O5115" s="5"/>
      <c r="S5115" s="11"/>
    </row>
    <row r="5116" spans="1:22" customFormat="1" x14ac:dyDescent="0.45">
      <c r="A5116">
        <v>957546</v>
      </c>
      <c r="B5116" t="s">
        <v>25860</v>
      </c>
      <c r="C5116" t="s">
        <v>16331</v>
      </c>
      <c r="D5116">
        <v>2</v>
      </c>
      <c r="E5116" t="s">
        <v>16331</v>
      </c>
      <c r="F5116" s="126"/>
      <c r="K5116" s="3">
        <f t="shared" si="187"/>
        <v>0</v>
      </c>
      <c r="L5116" s="3"/>
      <c r="M5116" s="3">
        <f t="shared" si="186"/>
        <v>0</v>
      </c>
      <c r="O5116" s="5"/>
      <c r="S5116" s="11"/>
    </row>
    <row r="5117" spans="1:22" customFormat="1" x14ac:dyDescent="0.45">
      <c r="A5117">
        <v>958141</v>
      </c>
      <c r="B5117" t="s">
        <v>25861</v>
      </c>
      <c r="C5117" t="s">
        <v>25862</v>
      </c>
      <c r="D5117">
        <v>1</v>
      </c>
      <c r="F5117" s="126"/>
      <c r="G5117" s="7">
        <v>0</v>
      </c>
      <c r="H5117" s="7">
        <v>0</v>
      </c>
      <c r="I5117" s="7">
        <v>0</v>
      </c>
      <c r="J5117" s="7">
        <v>0</v>
      </c>
      <c r="K5117" s="3">
        <f t="shared" si="187"/>
        <v>0</v>
      </c>
      <c r="L5117" s="3"/>
      <c r="M5117" s="3">
        <f t="shared" si="186"/>
        <v>0</v>
      </c>
      <c r="N5117" s="7"/>
      <c r="O5117" s="5"/>
      <c r="S5117" s="11"/>
    </row>
    <row r="5118" spans="1:22" customFormat="1" x14ac:dyDescent="0.45">
      <c r="A5118">
        <v>958151</v>
      </c>
      <c r="B5118" t="s">
        <v>25863</v>
      </c>
      <c r="C5118" t="s">
        <v>25864</v>
      </c>
      <c r="D5118">
        <v>1</v>
      </c>
      <c r="F5118" s="126"/>
      <c r="G5118" s="3">
        <v>0</v>
      </c>
      <c r="H5118" s="3">
        <v>0</v>
      </c>
      <c r="I5118" s="3">
        <v>0</v>
      </c>
      <c r="J5118" s="3">
        <v>0</v>
      </c>
      <c r="K5118" s="3">
        <f t="shared" si="187"/>
        <v>0</v>
      </c>
      <c r="L5118" s="3"/>
      <c r="M5118" s="3">
        <f t="shared" si="186"/>
        <v>0</v>
      </c>
      <c r="O5118" s="5"/>
      <c r="S5118" s="11"/>
    </row>
    <row r="5119" spans="1:22" customFormat="1" x14ac:dyDescent="0.45">
      <c r="A5119">
        <v>958154</v>
      </c>
      <c r="B5119" t="s">
        <v>25865</v>
      </c>
      <c r="C5119" t="s">
        <v>25866</v>
      </c>
      <c r="D5119">
        <v>1</v>
      </c>
      <c r="F5119" s="126"/>
      <c r="G5119" s="3">
        <v>0</v>
      </c>
      <c r="H5119" s="3">
        <v>0</v>
      </c>
      <c r="I5119" s="3">
        <v>0</v>
      </c>
      <c r="J5119" s="3">
        <v>0</v>
      </c>
      <c r="K5119" s="3">
        <f t="shared" si="187"/>
        <v>0</v>
      </c>
      <c r="L5119" s="3"/>
      <c r="M5119" s="3">
        <f t="shared" si="186"/>
        <v>0</v>
      </c>
      <c r="O5119" s="5"/>
      <c r="S5119" s="11"/>
    </row>
    <row r="5120" spans="1:22" customFormat="1" x14ac:dyDescent="0.45">
      <c r="A5120">
        <v>958173</v>
      </c>
      <c r="B5120" t="s">
        <v>25867</v>
      </c>
      <c r="C5120" t="s">
        <v>16331</v>
      </c>
      <c r="D5120">
        <v>1</v>
      </c>
      <c r="E5120" t="s">
        <v>16331</v>
      </c>
      <c r="F5120" s="126"/>
      <c r="G5120" s="7">
        <v>0</v>
      </c>
      <c r="H5120" s="7">
        <v>0</v>
      </c>
      <c r="I5120" s="7">
        <v>0</v>
      </c>
      <c r="J5120" s="7">
        <v>0</v>
      </c>
      <c r="K5120" s="3">
        <f t="shared" si="187"/>
        <v>0</v>
      </c>
      <c r="L5120" s="3"/>
      <c r="M5120" s="3">
        <f t="shared" si="186"/>
        <v>0</v>
      </c>
      <c r="O5120" s="5"/>
      <c r="S5120" s="11"/>
    </row>
    <row r="5121" spans="1:23" customFormat="1" x14ac:dyDescent="0.45">
      <c r="A5121">
        <v>958344</v>
      </c>
      <c r="B5121" t="s">
        <v>25868</v>
      </c>
      <c r="C5121" t="s">
        <v>25869</v>
      </c>
      <c r="D5121">
        <v>1</v>
      </c>
      <c r="F5121" s="126"/>
      <c r="G5121" s="3">
        <v>0</v>
      </c>
      <c r="H5121" s="3">
        <v>0</v>
      </c>
      <c r="I5121" s="3">
        <v>0</v>
      </c>
      <c r="J5121" s="3">
        <v>0</v>
      </c>
      <c r="K5121" s="3">
        <f t="shared" si="187"/>
        <v>0</v>
      </c>
      <c r="L5121" s="3"/>
      <c r="M5121" s="3">
        <f t="shared" si="186"/>
        <v>0</v>
      </c>
      <c r="O5121" s="5"/>
      <c r="S5121" s="11"/>
    </row>
    <row r="5122" spans="1:23" customFormat="1" x14ac:dyDescent="0.45">
      <c r="A5122">
        <v>958360</v>
      </c>
      <c r="B5122" t="s">
        <v>25870</v>
      </c>
      <c r="C5122" t="s">
        <v>25871</v>
      </c>
      <c r="D5122">
        <v>1</v>
      </c>
      <c r="F5122" s="126"/>
      <c r="G5122" s="7">
        <v>0</v>
      </c>
      <c r="H5122" s="7">
        <v>0</v>
      </c>
      <c r="I5122" s="7">
        <v>0</v>
      </c>
      <c r="J5122" s="7">
        <v>0</v>
      </c>
      <c r="K5122" s="3">
        <f t="shared" si="187"/>
        <v>0</v>
      </c>
      <c r="L5122" s="3"/>
      <c r="M5122" s="3">
        <f t="shared" si="186"/>
        <v>0</v>
      </c>
      <c r="O5122" s="5"/>
      <c r="S5122" s="11"/>
    </row>
    <row r="5123" spans="1:23" customFormat="1" x14ac:dyDescent="0.45">
      <c r="A5123">
        <v>958446</v>
      </c>
      <c r="B5123" t="s">
        <v>25872</v>
      </c>
      <c r="C5123" t="s">
        <v>25873</v>
      </c>
      <c r="D5123">
        <v>1</v>
      </c>
      <c r="F5123" s="126"/>
      <c r="G5123" s="3"/>
      <c r="H5123" s="3"/>
      <c r="I5123" s="3"/>
      <c r="J5123" s="3"/>
      <c r="K5123" s="3">
        <f t="shared" si="187"/>
        <v>0</v>
      </c>
      <c r="L5123" s="3"/>
      <c r="M5123" s="3">
        <f t="shared" si="186"/>
        <v>0</v>
      </c>
      <c r="O5123" s="5"/>
      <c r="S5123" s="11"/>
    </row>
    <row r="5124" spans="1:23" customFormat="1" x14ac:dyDescent="0.45">
      <c r="A5124">
        <v>958604</v>
      </c>
      <c r="B5124" t="s">
        <v>25874</v>
      </c>
      <c r="C5124" t="s">
        <v>25875</v>
      </c>
      <c r="D5124">
        <v>9</v>
      </c>
      <c r="F5124" s="126"/>
      <c r="G5124" s="19"/>
      <c r="H5124" s="19"/>
      <c r="I5124" s="19"/>
      <c r="J5124" s="19"/>
      <c r="K5124" s="3">
        <f t="shared" si="187"/>
        <v>0</v>
      </c>
      <c r="L5124" s="3"/>
      <c r="M5124" s="3">
        <f t="shared" si="186"/>
        <v>0</v>
      </c>
      <c r="O5124" s="5"/>
      <c r="S5124" s="11"/>
    </row>
    <row r="5125" spans="1:23" customFormat="1" x14ac:dyDescent="0.45">
      <c r="A5125">
        <v>958621</v>
      </c>
      <c r="B5125" t="s">
        <v>25876</v>
      </c>
      <c r="C5125" t="s">
        <v>25877</v>
      </c>
      <c r="D5125">
        <v>6</v>
      </c>
      <c r="F5125" s="126"/>
      <c r="K5125" s="3">
        <f t="shared" si="187"/>
        <v>0</v>
      </c>
      <c r="L5125" s="3"/>
      <c r="M5125" s="3">
        <f t="shared" si="186"/>
        <v>0</v>
      </c>
      <c r="O5125" s="5"/>
      <c r="S5125" s="11"/>
    </row>
    <row r="5126" spans="1:23" customFormat="1" x14ac:dyDescent="0.45">
      <c r="A5126">
        <v>958848</v>
      </c>
      <c r="B5126" t="s">
        <v>25878</v>
      </c>
      <c r="C5126" t="s">
        <v>25879</v>
      </c>
      <c r="D5126">
        <v>2</v>
      </c>
      <c r="F5126" s="126"/>
      <c r="G5126" s="3"/>
      <c r="H5126" s="3"/>
      <c r="I5126" s="3"/>
      <c r="J5126" s="3"/>
      <c r="K5126" s="3">
        <f t="shared" si="187"/>
        <v>0</v>
      </c>
      <c r="L5126" s="3"/>
      <c r="M5126" s="3">
        <f t="shared" si="186"/>
        <v>0</v>
      </c>
      <c r="O5126" s="5"/>
      <c r="S5126" s="11"/>
    </row>
    <row r="5127" spans="1:23" x14ac:dyDescent="0.45">
      <c r="A5127" s="124">
        <v>749888</v>
      </c>
      <c r="B5127" s="124" t="s">
        <v>25880</v>
      </c>
      <c r="C5127" s="124" t="s">
        <v>25881</v>
      </c>
      <c r="D5127" s="124">
        <v>3</v>
      </c>
      <c r="E5127" s="124" t="s">
        <v>16334</v>
      </c>
      <c r="F5127" s="126">
        <v>1.6999999999999999E-3</v>
      </c>
      <c r="G5127" s="127">
        <v>1.7500000000000002E-2</v>
      </c>
      <c r="H5127" s="126">
        <v>2.2499999999999999E-2</v>
      </c>
      <c r="I5127" s="127"/>
      <c r="J5127" s="127"/>
      <c r="K5127" s="126">
        <f t="shared" si="187"/>
        <v>0.04</v>
      </c>
      <c r="L5127" s="3"/>
      <c r="M5127" s="126">
        <f t="shared" si="186"/>
        <v>4.1700000000000001E-2</v>
      </c>
      <c r="N5127" s="124" t="s">
        <v>25882</v>
      </c>
      <c r="O5127" s="131" t="s">
        <v>25883</v>
      </c>
      <c r="P5127" s="128" t="s">
        <v>26918</v>
      </c>
      <c r="Q5127" s="124">
        <f>43346+46845</f>
        <v>90191</v>
      </c>
      <c r="R5127" s="124" t="s">
        <v>16348</v>
      </c>
      <c r="S5127" s="132">
        <v>40800</v>
      </c>
      <c r="T5127" s="129">
        <f>S5127/Q5127</f>
        <v>0.45237329667039949</v>
      </c>
      <c r="V5127" s="125" t="s">
        <v>25884</v>
      </c>
      <c r="W5127" s="124" t="s">
        <v>17021</v>
      </c>
    </row>
    <row r="5128" spans="1:23" customFormat="1" x14ac:dyDescent="0.45">
      <c r="A5128">
        <v>959118</v>
      </c>
      <c r="B5128" t="s">
        <v>25885</v>
      </c>
      <c r="C5128" t="s">
        <v>25886</v>
      </c>
      <c r="D5128">
        <v>1</v>
      </c>
      <c r="F5128" s="126"/>
      <c r="G5128" s="7">
        <v>0</v>
      </c>
      <c r="H5128" s="7">
        <v>0</v>
      </c>
      <c r="I5128" s="7">
        <v>0</v>
      </c>
      <c r="J5128" s="7">
        <v>0</v>
      </c>
      <c r="K5128" s="3">
        <f t="shared" si="187"/>
        <v>0</v>
      </c>
      <c r="L5128" s="3"/>
      <c r="M5128" s="3">
        <f t="shared" si="186"/>
        <v>0</v>
      </c>
      <c r="N5128" s="7"/>
      <c r="O5128" s="5"/>
      <c r="S5128" s="11"/>
    </row>
    <row r="5129" spans="1:23" customFormat="1" x14ac:dyDescent="0.45">
      <c r="A5129">
        <v>959221</v>
      </c>
      <c r="B5129" t="s">
        <v>25887</v>
      </c>
      <c r="C5129" t="s">
        <v>25888</v>
      </c>
      <c r="D5129">
        <v>1</v>
      </c>
      <c r="F5129" s="126"/>
      <c r="G5129" s="3">
        <v>0</v>
      </c>
      <c r="H5129" s="3">
        <v>0</v>
      </c>
      <c r="I5129" s="3">
        <v>0</v>
      </c>
      <c r="J5129" s="3">
        <v>0</v>
      </c>
      <c r="K5129" s="3">
        <f t="shared" si="187"/>
        <v>0</v>
      </c>
      <c r="L5129" s="3"/>
      <c r="M5129" s="3">
        <f t="shared" si="186"/>
        <v>0</v>
      </c>
      <c r="O5129" s="5"/>
      <c r="S5129" s="11"/>
    </row>
    <row r="5130" spans="1:23" customFormat="1" x14ac:dyDescent="0.45">
      <c r="A5130">
        <v>959222</v>
      </c>
      <c r="B5130" t="s">
        <v>25889</v>
      </c>
      <c r="C5130" t="s">
        <v>16331</v>
      </c>
      <c r="D5130">
        <v>4</v>
      </c>
      <c r="E5130" t="s">
        <v>16331</v>
      </c>
      <c r="F5130" s="126"/>
      <c r="G5130" s="7">
        <v>0</v>
      </c>
      <c r="H5130" s="7">
        <v>0</v>
      </c>
      <c r="I5130" s="7">
        <v>0</v>
      </c>
      <c r="J5130" s="7">
        <v>0</v>
      </c>
      <c r="K5130" s="3">
        <f t="shared" si="187"/>
        <v>0</v>
      </c>
      <c r="L5130" s="3"/>
      <c r="M5130" s="3">
        <f t="shared" si="186"/>
        <v>0</v>
      </c>
      <c r="O5130" s="5"/>
      <c r="S5130" s="11"/>
    </row>
    <row r="5131" spans="1:23" customFormat="1" x14ac:dyDescent="0.45">
      <c r="A5131">
        <v>959424</v>
      </c>
      <c r="B5131" t="s">
        <v>25890</v>
      </c>
      <c r="C5131" t="s">
        <v>25891</v>
      </c>
      <c r="D5131">
        <v>0</v>
      </c>
      <c r="E5131" t="s">
        <v>16561</v>
      </c>
      <c r="F5131" s="126"/>
      <c r="G5131" s="3">
        <v>0</v>
      </c>
      <c r="H5131" s="3">
        <v>0</v>
      </c>
      <c r="I5131" s="3">
        <v>0</v>
      </c>
      <c r="J5131" s="3">
        <v>0</v>
      </c>
      <c r="K5131" s="3">
        <f t="shared" si="187"/>
        <v>0</v>
      </c>
      <c r="L5131" s="3"/>
      <c r="M5131" s="3">
        <f t="shared" si="186"/>
        <v>0</v>
      </c>
      <c r="O5131" s="5"/>
      <c r="S5131" s="11"/>
    </row>
    <row r="5132" spans="1:23" customFormat="1" x14ac:dyDescent="0.45">
      <c r="A5132">
        <v>959557</v>
      </c>
      <c r="B5132" t="s">
        <v>25892</v>
      </c>
      <c r="C5132" t="s">
        <v>25893</v>
      </c>
      <c r="D5132">
        <v>1</v>
      </c>
      <c r="F5132" s="126"/>
      <c r="G5132" s="3"/>
      <c r="H5132" s="3"/>
      <c r="I5132" s="3"/>
      <c r="J5132" s="3"/>
      <c r="K5132" s="3">
        <f t="shared" si="187"/>
        <v>0</v>
      </c>
      <c r="L5132" s="3"/>
      <c r="M5132" s="3">
        <f t="shared" si="186"/>
        <v>0</v>
      </c>
      <c r="O5132" s="5"/>
      <c r="S5132" s="11"/>
    </row>
    <row r="5133" spans="1:23" customFormat="1" x14ac:dyDescent="0.45">
      <c r="A5133">
        <v>959700</v>
      </c>
      <c r="B5133" t="s">
        <v>25894</v>
      </c>
      <c r="C5133" t="s">
        <v>16331</v>
      </c>
      <c r="D5133">
        <v>1</v>
      </c>
      <c r="E5133" t="s">
        <v>16331</v>
      </c>
      <c r="F5133" s="126"/>
      <c r="G5133" s="7">
        <v>0</v>
      </c>
      <c r="H5133" s="7">
        <v>0</v>
      </c>
      <c r="I5133" s="7">
        <v>0</v>
      </c>
      <c r="J5133" s="7">
        <v>0</v>
      </c>
      <c r="K5133" s="3">
        <f t="shared" si="187"/>
        <v>0</v>
      </c>
      <c r="L5133" s="3"/>
      <c r="M5133" s="3">
        <f t="shared" si="186"/>
        <v>0</v>
      </c>
      <c r="O5133" s="5"/>
      <c r="S5133" s="11"/>
    </row>
    <row r="5134" spans="1:23" customFormat="1" x14ac:dyDescent="0.45">
      <c r="A5134">
        <v>960049</v>
      </c>
      <c r="B5134" t="s">
        <v>25895</v>
      </c>
      <c r="C5134" t="s">
        <v>25896</v>
      </c>
      <c r="D5134">
        <v>2</v>
      </c>
      <c r="F5134" s="126"/>
      <c r="G5134" s="3">
        <v>0</v>
      </c>
      <c r="H5134" s="3">
        <v>0</v>
      </c>
      <c r="I5134" s="3">
        <v>0</v>
      </c>
      <c r="J5134" s="3">
        <v>0</v>
      </c>
      <c r="K5134" s="3">
        <f t="shared" si="187"/>
        <v>0</v>
      </c>
      <c r="L5134" s="3"/>
      <c r="M5134" s="3">
        <f t="shared" si="186"/>
        <v>0</v>
      </c>
      <c r="O5134" s="5"/>
      <c r="S5134" s="11"/>
    </row>
    <row r="5135" spans="1:23" customFormat="1" x14ac:dyDescent="0.45">
      <c r="A5135">
        <v>960167</v>
      </c>
      <c r="B5135" t="s">
        <v>25897</v>
      </c>
      <c r="C5135" t="s">
        <v>25898</v>
      </c>
      <c r="D5135">
        <v>3</v>
      </c>
      <c r="F5135" s="126"/>
      <c r="G5135" s="7">
        <v>0</v>
      </c>
      <c r="H5135" s="7">
        <v>0</v>
      </c>
      <c r="I5135" s="7">
        <v>0</v>
      </c>
      <c r="J5135" s="7">
        <v>0</v>
      </c>
      <c r="K5135" s="3">
        <f t="shared" si="187"/>
        <v>0</v>
      </c>
      <c r="L5135" s="3"/>
      <c r="M5135" s="3">
        <f t="shared" si="186"/>
        <v>0</v>
      </c>
      <c r="O5135" s="5"/>
      <c r="S5135" s="11"/>
    </row>
    <row r="5136" spans="1:23" customFormat="1" x14ac:dyDescent="0.45">
      <c r="A5136">
        <v>960257</v>
      </c>
      <c r="B5136" t="s">
        <v>25899</v>
      </c>
      <c r="C5136" t="s">
        <v>25900</v>
      </c>
      <c r="D5136">
        <v>4</v>
      </c>
      <c r="F5136" s="126"/>
      <c r="G5136" s="3">
        <v>0</v>
      </c>
      <c r="H5136" s="3">
        <v>0</v>
      </c>
      <c r="I5136" s="3">
        <v>0</v>
      </c>
      <c r="J5136" s="3">
        <v>0</v>
      </c>
      <c r="K5136" s="3">
        <f t="shared" si="187"/>
        <v>0</v>
      </c>
      <c r="L5136" s="3"/>
      <c r="M5136" s="3">
        <f t="shared" si="186"/>
        <v>0</v>
      </c>
      <c r="O5136" s="5"/>
      <c r="S5136" s="11"/>
    </row>
    <row r="5137" spans="1:22" x14ac:dyDescent="0.45">
      <c r="A5137" s="124">
        <v>1007023</v>
      </c>
      <c r="B5137" s="124" t="s">
        <v>25901</v>
      </c>
      <c r="C5137" s="124" t="s">
        <v>25902</v>
      </c>
      <c r="D5137" s="124">
        <v>2</v>
      </c>
      <c r="E5137" s="124" t="s">
        <v>16334</v>
      </c>
      <c r="F5137" s="126">
        <v>1.6999999999999999E-3</v>
      </c>
      <c r="G5137" s="126">
        <v>0.02</v>
      </c>
      <c r="H5137" s="126">
        <v>6.0000000000000001E-3</v>
      </c>
      <c r="I5137" s="127"/>
      <c r="J5137" s="127"/>
      <c r="K5137" s="126">
        <f t="shared" si="187"/>
        <v>2.6000000000000002E-2</v>
      </c>
      <c r="L5137" s="3"/>
      <c r="M5137" s="126">
        <f t="shared" si="186"/>
        <v>2.7700000000000002E-2</v>
      </c>
      <c r="O5137" s="131" t="s">
        <v>25903</v>
      </c>
      <c r="P5137" s="128" t="s">
        <v>26918</v>
      </c>
      <c r="Q5137" s="124">
        <f>58353 +36025</f>
        <v>94378</v>
      </c>
      <c r="R5137" s="124" t="s">
        <v>16348</v>
      </c>
      <c r="S5137" s="132">
        <v>56553</v>
      </c>
      <c r="T5137" s="129">
        <f>S5137/Q5137</f>
        <v>0.59921803810210006</v>
      </c>
      <c r="V5137" s="125" t="s">
        <v>25904</v>
      </c>
    </row>
    <row r="5138" spans="1:22" x14ac:dyDescent="0.45">
      <c r="A5138" s="124">
        <v>734536</v>
      </c>
      <c r="B5138" s="124" t="s">
        <v>25905</v>
      </c>
      <c r="C5138" s="124" t="s">
        <v>25906</v>
      </c>
      <c r="D5138" s="124">
        <v>3</v>
      </c>
      <c r="E5138" s="124" t="s">
        <v>16334</v>
      </c>
      <c r="F5138" s="126">
        <v>1.6999999999999999E-3</v>
      </c>
      <c r="G5138" s="126">
        <v>0.02</v>
      </c>
      <c r="H5138" s="126">
        <v>8.5000000000000006E-3</v>
      </c>
      <c r="I5138" s="127">
        <v>0</v>
      </c>
      <c r="J5138" s="127">
        <v>0</v>
      </c>
      <c r="K5138" s="126">
        <f t="shared" si="187"/>
        <v>2.8500000000000001E-2</v>
      </c>
      <c r="L5138" s="3"/>
      <c r="M5138" s="126">
        <f t="shared" si="186"/>
        <v>3.0200000000000001E-2</v>
      </c>
      <c r="N5138" s="124" t="s">
        <v>25907</v>
      </c>
      <c r="O5138" s="131" t="s">
        <v>25908</v>
      </c>
      <c r="P5138" s="128" t="s">
        <v>26918</v>
      </c>
      <c r="Q5138" s="124">
        <f>91649+131463</f>
        <v>223112</v>
      </c>
      <c r="R5138" s="124" t="s">
        <v>16348</v>
      </c>
      <c r="S5138" s="132">
        <v>89149</v>
      </c>
      <c r="T5138" s="129">
        <f>S5138/Q5138</f>
        <v>0.39957061924056081</v>
      </c>
      <c r="V5138" s="125" t="s">
        <v>25909</v>
      </c>
    </row>
    <row r="5139" spans="1:22" customFormat="1" x14ac:dyDescent="0.45">
      <c r="A5139">
        <v>961398</v>
      </c>
      <c r="B5139" t="s">
        <v>25910</v>
      </c>
      <c r="C5139" t="s">
        <v>16331</v>
      </c>
      <c r="D5139">
        <v>2</v>
      </c>
      <c r="E5139" t="s">
        <v>16331</v>
      </c>
      <c r="F5139" s="126"/>
      <c r="G5139" s="7">
        <v>0</v>
      </c>
      <c r="H5139" s="7">
        <v>0</v>
      </c>
      <c r="I5139" s="7">
        <v>0</v>
      </c>
      <c r="J5139" s="7">
        <v>0</v>
      </c>
      <c r="K5139" s="3">
        <f t="shared" si="187"/>
        <v>0</v>
      </c>
      <c r="L5139" s="3"/>
      <c r="M5139" s="3">
        <f t="shared" si="186"/>
        <v>0</v>
      </c>
      <c r="O5139" s="5"/>
      <c r="S5139" s="11"/>
    </row>
    <row r="5140" spans="1:22" customFormat="1" x14ac:dyDescent="0.45">
      <c r="A5140">
        <v>961763</v>
      </c>
      <c r="B5140" t="s">
        <v>25911</v>
      </c>
      <c r="C5140" t="s">
        <v>25912</v>
      </c>
      <c r="D5140">
        <v>6</v>
      </c>
      <c r="F5140" s="126"/>
      <c r="G5140" s="7">
        <v>0</v>
      </c>
      <c r="H5140" s="7">
        <v>0</v>
      </c>
      <c r="I5140" s="7">
        <v>0</v>
      </c>
      <c r="J5140" s="7">
        <v>0</v>
      </c>
      <c r="K5140" s="3">
        <f t="shared" si="187"/>
        <v>0</v>
      </c>
      <c r="L5140" s="3"/>
      <c r="M5140" s="3">
        <f t="shared" si="186"/>
        <v>0</v>
      </c>
      <c r="N5140" s="7"/>
      <c r="O5140" s="5"/>
      <c r="S5140" s="11"/>
    </row>
    <row r="5141" spans="1:22" customFormat="1" x14ac:dyDescent="0.45">
      <c r="A5141">
        <v>962316</v>
      </c>
      <c r="B5141" t="s">
        <v>25913</v>
      </c>
      <c r="C5141" t="s">
        <v>25914</v>
      </c>
      <c r="D5141">
        <v>1</v>
      </c>
      <c r="F5141" s="126"/>
      <c r="G5141" s="3">
        <v>0</v>
      </c>
      <c r="H5141" s="3">
        <v>0</v>
      </c>
      <c r="I5141" s="3">
        <v>0</v>
      </c>
      <c r="J5141" s="3">
        <v>0</v>
      </c>
      <c r="K5141" s="3">
        <f t="shared" si="187"/>
        <v>0</v>
      </c>
      <c r="L5141" s="3"/>
      <c r="M5141" s="3">
        <f t="shared" si="186"/>
        <v>0</v>
      </c>
      <c r="O5141" s="5"/>
      <c r="S5141" s="11"/>
    </row>
    <row r="5142" spans="1:22" customFormat="1" x14ac:dyDescent="0.45">
      <c r="A5142">
        <v>963129</v>
      </c>
      <c r="B5142" t="s">
        <v>25915</v>
      </c>
      <c r="C5142" s="2" t="s">
        <v>25916</v>
      </c>
      <c r="D5142">
        <v>1</v>
      </c>
      <c r="F5142" s="126"/>
      <c r="G5142" s="7">
        <v>0</v>
      </c>
      <c r="H5142" s="7">
        <v>0</v>
      </c>
      <c r="I5142" s="7">
        <v>0</v>
      </c>
      <c r="J5142" s="7">
        <v>0</v>
      </c>
      <c r="K5142" s="3">
        <f t="shared" si="187"/>
        <v>0</v>
      </c>
      <c r="L5142" s="3"/>
      <c r="M5142" s="3">
        <f t="shared" si="186"/>
        <v>0</v>
      </c>
      <c r="N5142" s="7"/>
      <c r="O5142" s="5"/>
      <c r="S5142" s="11"/>
    </row>
    <row r="5143" spans="1:22" customFormat="1" x14ac:dyDescent="0.45">
      <c r="A5143">
        <v>963406</v>
      </c>
      <c r="B5143" t="s">
        <v>25917</v>
      </c>
      <c r="C5143" t="s">
        <v>16331</v>
      </c>
      <c r="D5143">
        <v>2</v>
      </c>
      <c r="E5143" t="s">
        <v>16331</v>
      </c>
      <c r="F5143" s="126"/>
      <c r="G5143" s="7">
        <v>0</v>
      </c>
      <c r="H5143" s="7">
        <v>0</v>
      </c>
      <c r="I5143" s="7">
        <v>0</v>
      </c>
      <c r="J5143" s="7">
        <v>0</v>
      </c>
      <c r="K5143" s="3">
        <f t="shared" si="187"/>
        <v>0</v>
      </c>
      <c r="L5143" s="3"/>
      <c r="M5143" s="3">
        <f t="shared" ref="M5143:M5198" si="188">K5143+F5143</f>
        <v>0</v>
      </c>
      <c r="O5143" s="5"/>
      <c r="S5143" s="11"/>
    </row>
    <row r="5144" spans="1:22" customFormat="1" x14ac:dyDescent="0.45">
      <c r="A5144">
        <v>963468</v>
      </c>
      <c r="B5144" t="s">
        <v>25918</v>
      </c>
      <c r="C5144" t="s">
        <v>25919</v>
      </c>
      <c r="D5144">
        <v>1</v>
      </c>
      <c r="F5144" s="126"/>
      <c r="G5144" s="3">
        <v>0</v>
      </c>
      <c r="H5144" s="3">
        <v>0</v>
      </c>
      <c r="I5144" s="3">
        <v>0</v>
      </c>
      <c r="J5144" s="3">
        <v>0</v>
      </c>
      <c r="K5144" s="3">
        <f t="shared" si="187"/>
        <v>0</v>
      </c>
      <c r="L5144" s="3"/>
      <c r="M5144" s="3">
        <f t="shared" si="188"/>
        <v>0</v>
      </c>
      <c r="O5144" s="5"/>
      <c r="S5144" s="11"/>
    </row>
    <row r="5145" spans="1:22" customFormat="1" x14ac:dyDescent="0.45">
      <c r="A5145">
        <v>963725</v>
      </c>
      <c r="B5145" t="s">
        <v>25920</v>
      </c>
      <c r="C5145" t="s">
        <v>25921</v>
      </c>
      <c r="D5145">
        <v>0</v>
      </c>
      <c r="E5145" t="s">
        <v>16561</v>
      </c>
      <c r="F5145" s="126"/>
      <c r="G5145" s="7">
        <v>0</v>
      </c>
      <c r="H5145" s="7">
        <v>0</v>
      </c>
      <c r="I5145" s="7">
        <v>0</v>
      </c>
      <c r="J5145" s="7">
        <v>0</v>
      </c>
      <c r="K5145" s="3">
        <f t="shared" si="187"/>
        <v>0</v>
      </c>
      <c r="L5145" s="3"/>
      <c r="M5145" s="3">
        <f t="shared" si="188"/>
        <v>0</v>
      </c>
      <c r="N5145" s="7"/>
      <c r="O5145" s="5"/>
      <c r="S5145" s="11"/>
    </row>
    <row r="5146" spans="1:22" x14ac:dyDescent="0.45">
      <c r="A5146" s="124">
        <v>613533</v>
      </c>
      <c r="B5146" s="124" t="s">
        <v>25922</v>
      </c>
      <c r="C5146" s="124" t="s">
        <v>25923</v>
      </c>
      <c r="D5146" s="124">
        <v>6</v>
      </c>
      <c r="E5146" s="124" t="s">
        <v>16334</v>
      </c>
      <c r="F5146" s="126">
        <v>1.6999999999999999E-3</v>
      </c>
      <c r="G5146" s="126">
        <v>0.01</v>
      </c>
      <c r="H5146" s="126">
        <v>7.4999999999999997E-3</v>
      </c>
      <c r="I5146" s="127">
        <v>0</v>
      </c>
      <c r="J5146" s="127">
        <v>0</v>
      </c>
      <c r="K5146" s="126">
        <f t="shared" si="187"/>
        <v>1.7500000000000002E-2</v>
      </c>
      <c r="L5146" s="3"/>
      <c r="M5146" s="126">
        <f t="shared" si="188"/>
        <v>1.9200000000000002E-2</v>
      </c>
      <c r="O5146" s="131" t="s">
        <v>25924</v>
      </c>
      <c r="P5146" s="128" t="s">
        <v>26918</v>
      </c>
      <c r="Q5146" s="132">
        <v>333524</v>
      </c>
      <c r="R5146" s="124" t="s">
        <v>16348</v>
      </c>
      <c r="S5146" s="132">
        <v>214237</v>
      </c>
      <c r="T5146" s="129">
        <f>S5146/Q5146</f>
        <v>0.64234357947254173</v>
      </c>
      <c r="V5146" s="125" t="s">
        <v>25925</v>
      </c>
    </row>
    <row r="5147" spans="1:22" customFormat="1" x14ac:dyDescent="0.45">
      <c r="A5147">
        <v>963983</v>
      </c>
      <c r="B5147" t="s">
        <v>25926</v>
      </c>
      <c r="C5147" t="s">
        <v>25927</v>
      </c>
      <c r="D5147">
        <v>2</v>
      </c>
      <c r="F5147" s="126"/>
      <c r="G5147" s="7">
        <v>0</v>
      </c>
      <c r="H5147" s="7">
        <v>0</v>
      </c>
      <c r="I5147" s="7">
        <v>0</v>
      </c>
      <c r="J5147" s="7">
        <v>0</v>
      </c>
      <c r="K5147" s="3">
        <f t="shared" si="187"/>
        <v>0</v>
      </c>
      <c r="L5147" s="3"/>
      <c r="M5147" s="3">
        <f t="shared" si="188"/>
        <v>0</v>
      </c>
      <c r="N5147" s="7"/>
      <c r="O5147" s="5"/>
      <c r="S5147" s="11"/>
    </row>
    <row r="5148" spans="1:22" customFormat="1" x14ac:dyDescent="0.45">
      <c r="A5148">
        <v>964188</v>
      </c>
      <c r="B5148" t="s">
        <v>25928</v>
      </c>
      <c r="C5148" t="s">
        <v>16331</v>
      </c>
      <c r="D5148">
        <v>2</v>
      </c>
      <c r="E5148" t="s">
        <v>16331</v>
      </c>
      <c r="F5148" s="126"/>
      <c r="G5148" s="7">
        <v>0</v>
      </c>
      <c r="H5148" s="7">
        <v>0</v>
      </c>
      <c r="I5148" s="7">
        <v>0</v>
      </c>
      <c r="J5148" s="7">
        <v>0</v>
      </c>
      <c r="K5148" s="3">
        <f t="shared" si="187"/>
        <v>0</v>
      </c>
      <c r="L5148" s="3"/>
      <c r="M5148" s="3">
        <f t="shared" si="188"/>
        <v>0</v>
      </c>
      <c r="O5148" s="5"/>
      <c r="S5148" s="11"/>
    </row>
    <row r="5149" spans="1:22" customFormat="1" x14ac:dyDescent="0.45">
      <c r="A5149">
        <v>964256</v>
      </c>
      <c r="B5149" t="s">
        <v>25929</v>
      </c>
      <c r="C5149" t="s">
        <v>25930</v>
      </c>
      <c r="D5149">
        <v>1</v>
      </c>
      <c r="F5149" s="126"/>
      <c r="G5149" s="3">
        <v>0</v>
      </c>
      <c r="H5149" s="3">
        <v>0</v>
      </c>
      <c r="I5149" s="3">
        <v>0</v>
      </c>
      <c r="J5149" s="3">
        <v>0</v>
      </c>
      <c r="K5149" s="3">
        <f t="shared" si="187"/>
        <v>0</v>
      </c>
      <c r="L5149" s="3"/>
      <c r="M5149" s="3">
        <f t="shared" si="188"/>
        <v>0</v>
      </c>
      <c r="O5149" s="5"/>
      <c r="S5149" s="11"/>
    </row>
    <row r="5150" spans="1:22" customFormat="1" x14ac:dyDescent="0.45">
      <c r="A5150">
        <v>964558</v>
      </c>
      <c r="B5150" t="s">
        <v>25931</v>
      </c>
      <c r="C5150" t="s">
        <v>25932</v>
      </c>
      <c r="D5150">
        <v>1</v>
      </c>
      <c r="F5150" s="126"/>
      <c r="G5150" s="7">
        <v>0</v>
      </c>
      <c r="H5150" s="7">
        <v>0</v>
      </c>
      <c r="I5150" s="7">
        <v>0</v>
      </c>
      <c r="J5150" s="7">
        <v>0</v>
      </c>
      <c r="K5150" s="3">
        <f t="shared" si="187"/>
        <v>0</v>
      </c>
      <c r="L5150" s="3"/>
      <c r="M5150" s="3">
        <f t="shared" si="188"/>
        <v>0</v>
      </c>
      <c r="O5150" s="5"/>
      <c r="S5150" s="11"/>
    </row>
    <row r="5151" spans="1:22" customFormat="1" x14ac:dyDescent="0.45">
      <c r="A5151">
        <v>964654</v>
      </c>
      <c r="B5151" t="s">
        <v>25933</v>
      </c>
      <c r="C5151" s="2" t="s">
        <v>25934</v>
      </c>
      <c r="D5151">
        <v>3</v>
      </c>
      <c r="F5151" s="126"/>
      <c r="G5151" s="3">
        <v>0</v>
      </c>
      <c r="H5151" s="3">
        <v>0</v>
      </c>
      <c r="I5151" s="3">
        <v>0</v>
      </c>
      <c r="J5151" s="3">
        <v>0</v>
      </c>
      <c r="K5151" s="3">
        <f t="shared" si="187"/>
        <v>0</v>
      </c>
      <c r="L5151" s="3"/>
      <c r="M5151" s="3">
        <f t="shared" si="188"/>
        <v>0</v>
      </c>
      <c r="O5151" s="5"/>
      <c r="S5151" s="11"/>
    </row>
    <row r="5152" spans="1:22" customFormat="1" x14ac:dyDescent="0.45">
      <c r="A5152">
        <v>965185</v>
      </c>
      <c r="B5152" t="s">
        <v>25935</v>
      </c>
      <c r="C5152" t="s">
        <v>25936</v>
      </c>
      <c r="D5152">
        <v>2</v>
      </c>
      <c r="F5152" s="126"/>
      <c r="G5152" s="3">
        <v>0</v>
      </c>
      <c r="H5152" s="3">
        <v>0</v>
      </c>
      <c r="I5152" s="3">
        <v>0</v>
      </c>
      <c r="J5152" s="3">
        <v>0</v>
      </c>
      <c r="K5152" s="3">
        <f t="shared" si="187"/>
        <v>0</v>
      </c>
      <c r="L5152" s="3"/>
      <c r="M5152" s="3">
        <f t="shared" si="188"/>
        <v>0</v>
      </c>
      <c r="O5152" s="5"/>
      <c r="S5152" s="11"/>
    </row>
    <row r="5153" spans="1:19" customFormat="1" x14ac:dyDescent="0.45">
      <c r="A5153">
        <v>965267</v>
      </c>
      <c r="B5153" t="s">
        <v>25937</v>
      </c>
      <c r="C5153" t="s">
        <v>25938</v>
      </c>
      <c r="D5153">
        <v>1</v>
      </c>
      <c r="F5153" s="126"/>
      <c r="G5153" s="3">
        <v>0</v>
      </c>
      <c r="H5153" s="3">
        <v>0</v>
      </c>
      <c r="I5153" s="3">
        <v>0</v>
      </c>
      <c r="J5153" s="3">
        <v>0</v>
      </c>
      <c r="K5153" s="3">
        <f t="shared" si="187"/>
        <v>0</v>
      </c>
      <c r="L5153" s="3"/>
      <c r="M5153" s="3">
        <f t="shared" si="188"/>
        <v>0</v>
      </c>
      <c r="O5153" s="5"/>
      <c r="S5153" s="11"/>
    </row>
    <row r="5154" spans="1:19" customFormat="1" x14ac:dyDescent="0.45">
      <c r="A5154">
        <v>965916</v>
      </c>
      <c r="B5154" t="s">
        <v>25939</v>
      </c>
      <c r="C5154" t="s">
        <v>25940</v>
      </c>
      <c r="D5154">
        <v>2</v>
      </c>
      <c r="F5154" s="126"/>
      <c r="G5154" s="3"/>
      <c r="H5154" s="3"/>
      <c r="I5154" s="3"/>
      <c r="J5154" s="3"/>
      <c r="K5154" s="3">
        <f t="shared" si="187"/>
        <v>0</v>
      </c>
      <c r="L5154" s="3"/>
      <c r="M5154" s="3">
        <f t="shared" si="188"/>
        <v>0</v>
      </c>
      <c r="O5154" s="5"/>
      <c r="S5154" s="11"/>
    </row>
    <row r="5155" spans="1:19" customFormat="1" x14ac:dyDescent="0.45">
      <c r="A5155">
        <v>966018</v>
      </c>
      <c r="B5155" t="s">
        <v>25941</v>
      </c>
      <c r="C5155" t="s">
        <v>16331</v>
      </c>
      <c r="D5155">
        <v>1</v>
      </c>
      <c r="E5155" t="s">
        <v>16331</v>
      </c>
      <c r="F5155" s="126"/>
      <c r="G5155" s="7">
        <v>0</v>
      </c>
      <c r="H5155" s="7">
        <v>0</v>
      </c>
      <c r="I5155" s="7">
        <v>0</v>
      </c>
      <c r="J5155" s="7">
        <v>0</v>
      </c>
      <c r="K5155" s="3">
        <f t="shared" si="187"/>
        <v>0</v>
      </c>
      <c r="L5155" s="3"/>
      <c r="M5155" s="3">
        <f t="shared" si="188"/>
        <v>0</v>
      </c>
      <c r="O5155" s="5"/>
      <c r="S5155" s="11"/>
    </row>
    <row r="5156" spans="1:19" customFormat="1" x14ac:dyDescent="0.45">
      <c r="A5156">
        <v>966139</v>
      </c>
      <c r="B5156" t="s">
        <v>25942</v>
      </c>
      <c r="C5156" t="s">
        <v>25943</v>
      </c>
      <c r="D5156">
        <v>5</v>
      </c>
      <c r="F5156" s="126"/>
      <c r="G5156" s="3"/>
      <c r="H5156" s="3"/>
      <c r="I5156" s="3"/>
      <c r="J5156" s="3"/>
      <c r="K5156" s="3">
        <f t="shared" si="187"/>
        <v>0</v>
      </c>
      <c r="L5156" s="3"/>
      <c r="M5156" s="3">
        <f t="shared" si="188"/>
        <v>0</v>
      </c>
      <c r="O5156" s="5"/>
      <c r="S5156" s="11"/>
    </row>
    <row r="5157" spans="1:19" customFormat="1" x14ac:dyDescent="0.45">
      <c r="A5157">
        <v>966180</v>
      </c>
      <c r="B5157" t="s">
        <v>25944</v>
      </c>
      <c r="C5157" t="s">
        <v>25945</v>
      </c>
      <c r="D5157">
        <v>3</v>
      </c>
      <c r="F5157" s="126"/>
      <c r="G5157" s="7">
        <v>0</v>
      </c>
      <c r="H5157" s="7">
        <v>0</v>
      </c>
      <c r="I5157" s="7">
        <v>0</v>
      </c>
      <c r="J5157" s="7">
        <v>0</v>
      </c>
      <c r="K5157" s="3">
        <f t="shared" si="187"/>
        <v>0</v>
      </c>
      <c r="L5157" s="3"/>
      <c r="M5157" s="3">
        <f t="shared" si="188"/>
        <v>0</v>
      </c>
      <c r="N5157" s="7"/>
      <c r="O5157" s="5"/>
      <c r="S5157" s="11"/>
    </row>
    <row r="5158" spans="1:19" customFormat="1" x14ac:dyDescent="0.45">
      <c r="A5158">
        <v>966255</v>
      </c>
      <c r="B5158" t="s">
        <v>25946</v>
      </c>
      <c r="C5158" t="s">
        <v>25947</v>
      </c>
      <c r="D5158">
        <v>3</v>
      </c>
      <c r="F5158" s="126"/>
      <c r="G5158" s="3">
        <v>0</v>
      </c>
      <c r="H5158" s="3">
        <v>0</v>
      </c>
      <c r="I5158" s="3">
        <v>0</v>
      </c>
      <c r="J5158" s="3">
        <v>0</v>
      </c>
      <c r="K5158" s="3">
        <f t="shared" si="187"/>
        <v>0</v>
      </c>
      <c r="L5158" s="3"/>
      <c r="M5158" s="3">
        <f t="shared" si="188"/>
        <v>0</v>
      </c>
      <c r="O5158" s="5"/>
      <c r="S5158" s="11"/>
    </row>
    <row r="5159" spans="1:19" customFormat="1" x14ac:dyDescent="0.45">
      <c r="A5159">
        <v>966305</v>
      </c>
      <c r="B5159" t="s">
        <v>25948</v>
      </c>
      <c r="C5159" t="s">
        <v>25949</v>
      </c>
      <c r="D5159">
        <v>18</v>
      </c>
      <c r="F5159" s="126"/>
      <c r="G5159" s="7">
        <v>0</v>
      </c>
      <c r="H5159" s="7">
        <v>0</v>
      </c>
      <c r="I5159" s="7">
        <v>0</v>
      </c>
      <c r="J5159" s="7">
        <v>0</v>
      </c>
      <c r="K5159" s="3">
        <f t="shared" si="187"/>
        <v>0</v>
      </c>
      <c r="L5159" s="3"/>
      <c r="M5159" s="3">
        <f t="shared" si="188"/>
        <v>0</v>
      </c>
      <c r="N5159" s="7"/>
      <c r="O5159" s="5"/>
      <c r="S5159" s="11"/>
    </row>
    <row r="5160" spans="1:19" customFormat="1" x14ac:dyDescent="0.45">
      <c r="A5160">
        <v>966976</v>
      </c>
      <c r="B5160" t="s">
        <v>25950</v>
      </c>
      <c r="C5160" t="s">
        <v>25951</v>
      </c>
      <c r="D5160">
        <v>1</v>
      </c>
      <c r="F5160" s="126"/>
      <c r="G5160" s="7">
        <v>0</v>
      </c>
      <c r="H5160" s="7">
        <v>0</v>
      </c>
      <c r="I5160" s="7">
        <v>0</v>
      </c>
      <c r="J5160" s="7">
        <v>0</v>
      </c>
      <c r="K5160" s="3">
        <f t="shared" si="187"/>
        <v>0</v>
      </c>
      <c r="L5160" s="3"/>
      <c r="M5160" s="3">
        <f t="shared" si="188"/>
        <v>0</v>
      </c>
      <c r="O5160" s="5"/>
      <c r="S5160" s="11"/>
    </row>
    <row r="5161" spans="1:19" customFormat="1" x14ac:dyDescent="0.45">
      <c r="A5161">
        <v>966977</v>
      </c>
      <c r="B5161" t="s">
        <v>25952</v>
      </c>
      <c r="C5161" t="s">
        <v>16331</v>
      </c>
      <c r="D5161">
        <v>1</v>
      </c>
      <c r="E5161" t="s">
        <v>16331</v>
      </c>
      <c r="F5161" s="126"/>
      <c r="G5161" s="7">
        <v>0</v>
      </c>
      <c r="H5161" s="7">
        <v>0</v>
      </c>
      <c r="I5161" s="7">
        <v>0</v>
      </c>
      <c r="J5161" s="7">
        <v>0</v>
      </c>
      <c r="K5161" s="3">
        <f t="shared" si="187"/>
        <v>0</v>
      </c>
      <c r="L5161" s="3"/>
      <c r="M5161" s="3">
        <f t="shared" si="188"/>
        <v>0</v>
      </c>
      <c r="O5161" s="5"/>
      <c r="S5161" s="11"/>
    </row>
    <row r="5162" spans="1:19" customFormat="1" x14ac:dyDescent="0.45">
      <c r="A5162">
        <v>966979</v>
      </c>
      <c r="B5162" t="s">
        <v>25953</v>
      </c>
      <c r="C5162" t="s">
        <v>16331</v>
      </c>
      <c r="D5162">
        <v>1</v>
      </c>
      <c r="E5162" t="s">
        <v>16331</v>
      </c>
      <c r="F5162" s="126"/>
      <c r="G5162" s="7">
        <v>0</v>
      </c>
      <c r="H5162" s="7">
        <v>0</v>
      </c>
      <c r="I5162" s="7">
        <v>0</v>
      </c>
      <c r="J5162" s="7">
        <v>0</v>
      </c>
      <c r="K5162" s="3">
        <f t="shared" si="187"/>
        <v>0</v>
      </c>
      <c r="L5162" s="3"/>
      <c r="M5162" s="3">
        <f t="shared" si="188"/>
        <v>0</v>
      </c>
      <c r="O5162" s="5"/>
      <c r="S5162" s="11"/>
    </row>
    <row r="5163" spans="1:19" customFormat="1" x14ac:dyDescent="0.45">
      <c r="A5163">
        <v>967142</v>
      </c>
      <c r="B5163" t="s">
        <v>25954</v>
      </c>
      <c r="C5163" t="s">
        <v>25955</v>
      </c>
      <c r="D5163">
        <v>20</v>
      </c>
      <c r="F5163" s="126"/>
      <c r="G5163" s="7">
        <v>0</v>
      </c>
      <c r="H5163" s="7">
        <v>0</v>
      </c>
      <c r="I5163" s="7">
        <v>0</v>
      </c>
      <c r="J5163" s="7">
        <v>0</v>
      </c>
      <c r="K5163" s="3">
        <f t="shared" ref="K5163:K5198" si="189">SUM(G5163:J5163)</f>
        <v>0</v>
      </c>
      <c r="L5163" s="3"/>
      <c r="M5163" s="3">
        <f t="shared" si="188"/>
        <v>0</v>
      </c>
      <c r="N5163" s="7"/>
      <c r="O5163" s="5"/>
      <c r="S5163" s="11"/>
    </row>
    <row r="5164" spans="1:19" customFormat="1" x14ac:dyDescent="0.45">
      <c r="A5164">
        <v>967228</v>
      </c>
      <c r="B5164" t="s">
        <v>25956</v>
      </c>
      <c r="C5164" t="s">
        <v>25957</v>
      </c>
      <c r="D5164">
        <v>5</v>
      </c>
      <c r="F5164" s="126"/>
      <c r="G5164" s="7">
        <v>0</v>
      </c>
      <c r="H5164" s="7">
        <v>0</v>
      </c>
      <c r="I5164" s="7">
        <v>0</v>
      </c>
      <c r="J5164" s="7">
        <v>0</v>
      </c>
      <c r="K5164" s="3">
        <f t="shared" si="189"/>
        <v>0</v>
      </c>
      <c r="L5164" s="3"/>
      <c r="M5164" s="3">
        <f t="shared" si="188"/>
        <v>0</v>
      </c>
      <c r="N5164" s="7"/>
      <c r="O5164" s="5"/>
      <c r="S5164" s="11"/>
    </row>
    <row r="5165" spans="1:19" customFormat="1" x14ac:dyDescent="0.45">
      <c r="A5165">
        <v>967369</v>
      </c>
      <c r="B5165" t="s">
        <v>25958</v>
      </c>
      <c r="C5165" t="s">
        <v>25959</v>
      </c>
      <c r="D5165">
        <v>12</v>
      </c>
      <c r="F5165" s="126"/>
      <c r="G5165" s="7">
        <v>0</v>
      </c>
      <c r="H5165" s="7">
        <v>0</v>
      </c>
      <c r="I5165" s="7">
        <v>0</v>
      </c>
      <c r="J5165" s="7">
        <v>0</v>
      </c>
      <c r="K5165" s="3">
        <f t="shared" si="189"/>
        <v>0</v>
      </c>
      <c r="L5165" s="3"/>
      <c r="M5165" s="3">
        <f t="shared" si="188"/>
        <v>0</v>
      </c>
      <c r="N5165" s="7"/>
      <c r="O5165" s="5"/>
      <c r="S5165" s="11"/>
    </row>
    <row r="5166" spans="1:19" customFormat="1" x14ac:dyDescent="0.45">
      <c r="A5166">
        <v>967655</v>
      </c>
      <c r="B5166" t="s">
        <v>25960</v>
      </c>
      <c r="C5166" t="s">
        <v>16331</v>
      </c>
      <c r="D5166">
        <v>1</v>
      </c>
      <c r="E5166" t="s">
        <v>16331</v>
      </c>
      <c r="F5166" s="126"/>
      <c r="G5166" s="7">
        <v>0</v>
      </c>
      <c r="H5166" s="7">
        <v>0</v>
      </c>
      <c r="I5166" s="7">
        <v>0</v>
      </c>
      <c r="J5166" s="7">
        <v>0</v>
      </c>
      <c r="K5166" s="3">
        <f t="shared" si="189"/>
        <v>0</v>
      </c>
      <c r="L5166" s="3"/>
      <c r="M5166" s="3">
        <f t="shared" si="188"/>
        <v>0</v>
      </c>
      <c r="N5166" s="7"/>
      <c r="O5166" s="5"/>
      <c r="S5166" s="11"/>
    </row>
    <row r="5167" spans="1:19" customFormat="1" x14ac:dyDescent="0.45">
      <c r="A5167">
        <v>967904</v>
      </c>
      <c r="B5167" t="s">
        <v>25961</v>
      </c>
      <c r="C5167" t="s">
        <v>25962</v>
      </c>
      <c r="D5167">
        <v>2</v>
      </c>
      <c r="F5167" s="126"/>
      <c r="G5167" s="7">
        <v>0</v>
      </c>
      <c r="H5167" s="7">
        <v>0</v>
      </c>
      <c r="I5167" s="7">
        <v>0</v>
      </c>
      <c r="J5167" s="7">
        <v>0</v>
      </c>
      <c r="K5167" s="3">
        <f t="shared" si="189"/>
        <v>0</v>
      </c>
      <c r="L5167" s="3"/>
      <c r="M5167" s="3">
        <f t="shared" si="188"/>
        <v>0</v>
      </c>
      <c r="O5167" s="5"/>
      <c r="S5167" s="11"/>
    </row>
    <row r="5168" spans="1:19" customFormat="1" x14ac:dyDescent="0.45">
      <c r="A5168">
        <v>967905</v>
      </c>
      <c r="B5168" t="s">
        <v>25963</v>
      </c>
      <c r="C5168" t="s">
        <v>25964</v>
      </c>
      <c r="D5168">
        <v>0</v>
      </c>
      <c r="E5168" t="s">
        <v>16561</v>
      </c>
      <c r="F5168" s="126"/>
      <c r="G5168" s="7">
        <v>0</v>
      </c>
      <c r="H5168" s="7">
        <v>0</v>
      </c>
      <c r="I5168" s="7">
        <v>0</v>
      </c>
      <c r="J5168" s="7">
        <v>0</v>
      </c>
      <c r="K5168" s="3">
        <f t="shared" si="189"/>
        <v>0</v>
      </c>
      <c r="L5168" s="3"/>
      <c r="M5168" s="3">
        <f t="shared" si="188"/>
        <v>0</v>
      </c>
      <c r="N5168" s="7"/>
      <c r="O5168" s="5"/>
      <c r="S5168" s="11"/>
    </row>
    <row r="5169" spans="1:22" customFormat="1" x14ac:dyDescent="0.45">
      <c r="A5169">
        <v>968148</v>
      </c>
      <c r="B5169" t="s">
        <v>25965</v>
      </c>
      <c r="C5169" s="2" t="s">
        <v>25966</v>
      </c>
      <c r="D5169">
        <v>3</v>
      </c>
      <c r="F5169" s="126"/>
      <c r="G5169" s="3">
        <v>0</v>
      </c>
      <c r="H5169" s="3">
        <v>0</v>
      </c>
      <c r="I5169" s="3">
        <v>0</v>
      </c>
      <c r="J5169" s="3">
        <v>0</v>
      </c>
      <c r="K5169" s="3">
        <f t="shared" si="189"/>
        <v>0</v>
      </c>
      <c r="L5169" s="3"/>
      <c r="M5169" s="3">
        <f t="shared" si="188"/>
        <v>0</v>
      </c>
      <c r="O5169" s="5"/>
      <c r="S5169" s="11"/>
    </row>
    <row r="5170" spans="1:22" customFormat="1" x14ac:dyDescent="0.45">
      <c r="A5170">
        <v>968244</v>
      </c>
      <c r="B5170" t="s">
        <v>25967</v>
      </c>
      <c r="C5170" s="2" t="s">
        <v>25968</v>
      </c>
      <c r="D5170">
        <v>1</v>
      </c>
      <c r="F5170" s="126"/>
      <c r="G5170" s="3">
        <v>0</v>
      </c>
      <c r="H5170" s="3">
        <v>0</v>
      </c>
      <c r="I5170" s="3">
        <v>0</v>
      </c>
      <c r="J5170" s="3">
        <v>0</v>
      </c>
      <c r="K5170" s="3">
        <f t="shared" si="189"/>
        <v>0</v>
      </c>
      <c r="L5170" s="3"/>
      <c r="M5170" s="3">
        <f t="shared" si="188"/>
        <v>0</v>
      </c>
      <c r="O5170" s="5"/>
      <c r="S5170" s="11"/>
    </row>
    <row r="5171" spans="1:22" customFormat="1" x14ac:dyDescent="0.45">
      <c r="A5171">
        <v>968293</v>
      </c>
      <c r="B5171" t="s">
        <v>25969</v>
      </c>
      <c r="C5171" t="s">
        <v>25970</v>
      </c>
      <c r="D5171">
        <v>1</v>
      </c>
      <c r="F5171" s="126"/>
      <c r="G5171" s="7">
        <v>0</v>
      </c>
      <c r="H5171" s="7">
        <v>0</v>
      </c>
      <c r="I5171" s="7">
        <v>0</v>
      </c>
      <c r="J5171" s="7">
        <v>0</v>
      </c>
      <c r="K5171" s="3">
        <f t="shared" si="189"/>
        <v>0</v>
      </c>
      <c r="L5171" s="3"/>
      <c r="M5171" s="3">
        <f t="shared" si="188"/>
        <v>0</v>
      </c>
      <c r="N5171" s="7"/>
      <c r="O5171" s="5"/>
      <c r="S5171" s="11"/>
    </row>
    <row r="5172" spans="1:22" customFormat="1" x14ac:dyDescent="0.45">
      <c r="A5172">
        <v>968400</v>
      </c>
      <c r="B5172" t="s">
        <v>25971</v>
      </c>
      <c r="C5172" t="s">
        <v>25972</v>
      </c>
      <c r="D5172">
        <v>6</v>
      </c>
      <c r="F5172" s="126"/>
      <c r="G5172" s="7">
        <v>0</v>
      </c>
      <c r="H5172" s="7">
        <v>0</v>
      </c>
      <c r="I5172" s="7">
        <v>0</v>
      </c>
      <c r="J5172" s="7">
        <v>0</v>
      </c>
      <c r="K5172" s="3">
        <f t="shared" si="189"/>
        <v>0</v>
      </c>
      <c r="L5172" s="3"/>
      <c r="M5172" s="3">
        <f t="shared" si="188"/>
        <v>0</v>
      </c>
      <c r="N5172" s="7"/>
      <c r="O5172" s="5"/>
      <c r="S5172" s="11"/>
    </row>
    <row r="5173" spans="1:22" x14ac:dyDescent="0.45">
      <c r="A5173" s="124">
        <v>952235</v>
      </c>
      <c r="B5173" s="124" t="s">
        <v>25973</v>
      </c>
      <c r="C5173" s="124" t="s">
        <v>25974</v>
      </c>
      <c r="D5173" s="124">
        <v>1</v>
      </c>
      <c r="E5173" s="124" t="s">
        <v>16334</v>
      </c>
      <c r="F5173" s="126">
        <v>1.6999999999999999E-3</v>
      </c>
      <c r="G5173" s="126">
        <v>1.375E-2</v>
      </c>
      <c r="H5173" s="126">
        <v>7.4999999999999997E-3</v>
      </c>
      <c r="I5173" s="127">
        <v>0</v>
      </c>
      <c r="J5173" s="127">
        <v>0</v>
      </c>
      <c r="K5173" s="126">
        <f t="shared" si="189"/>
        <v>2.1249999999999998E-2</v>
      </c>
      <c r="L5173" s="3"/>
      <c r="M5173" s="126">
        <f t="shared" si="188"/>
        <v>2.2949999999999998E-2</v>
      </c>
      <c r="O5173" s="131" t="s">
        <v>25975</v>
      </c>
      <c r="P5173" s="128" t="s">
        <v>26918</v>
      </c>
      <c r="Q5173" s="124">
        <f>63641+16125</f>
        <v>79766</v>
      </c>
      <c r="R5173" s="124" t="s">
        <v>16348</v>
      </c>
      <c r="S5173" s="132">
        <v>43641</v>
      </c>
      <c r="T5173" s="129">
        <f>S5173/Q5173</f>
        <v>0.54711280495449188</v>
      </c>
      <c r="V5173" s="125" t="s">
        <v>25976</v>
      </c>
    </row>
    <row r="5174" spans="1:22" customFormat="1" x14ac:dyDescent="0.45">
      <c r="A5174">
        <v>968637</v>
      </c>
      <c r="B5174" t="s">
        <v>25977</v>
      </c>
      <c r="C5174" t="s">
        <v>25978</v>
      </c>
      <c r="D5174">
        <v>1</v>
      </c>
      <c r="F5174" s="126"/>
      <c r="G5174" s="7">
        <v>0</v>
      </c>
      <c r="H5174" s="7">
        <v>0</v>
      </c>
      <c r="I5174" s="7">
        <v>0</v>
      </c>
      <c r="J5174" s="7">
        <v>0</v>
      </c>
      <c r="K5174" s="3">
        <f t="shared" si="189"/>
        <v>0</v>
      </c>
      <c r="L5174" s="3"/>
      <c r="M5174" s="3">
        <f t="shared" si="188"/>
        <v>0</v>
      </c>
      <c r="O5174" s="5"/>
      <c r="S5174" s="11"/>
    </row>
    <row r="5175" spans="1:22" customFormat="1" x14ac:dyDescent="0.45">
      <c r="A5175">
        <v>968770</v>
      </c>
      <c r="B5175" t="s">
        <v>25979</v>
      </c>
      <c r="C5175" t="s">
        <v>25980</v>
      </c>
      <c r="D5175">
        <v>6</v>
      </c>
      <c r="F5175" s="126"/>
      <c r="G5175" s="7">
        <v>0</v>
      </c>
      <c r="H5175" s="7">
        <v>0</v>
      </c>
      <c r="I5175" s="7">
        <v>0</v>
      </c>
      <c r="J5175" s="7">
        <v>0</v>
      </c>
      <c r="K5175" s="3">
        <f t="shared" si="189"/>
        <v>0</v>
      </c>
      <c r="L5175" s="3"/>
      <c r="M5175" s="3">
        <f t="shared" si="188"/>
        <v>0</v>
      </c>
      <c r="N5175" s="7"/>
      <c r="O5175" s="5"/>
      <c r="S5175" s="11"/>
    </row>
    <row r="5176" spans="1:22" customFormat="1" x14ac:dyDescent="0.45">
      <c r="A5176">
        <v>969159</v>
      </c>
      <c r="B5176" t="s">
        <v>25981</v>
      </c>
      <c r="C5176" t="s">
        <v>25982</v>
      </c>
      <c r="D5176">
        <v>2</v>
      </c>
      <c r="F5176" s="126"/>
      <c r="G5176" s="7">
        <v>0</v>
      </c>
      <c r="H5176" s="7">
        <v>0</v>
      </c>
      <c r="I5176" s="7">
        <v>0</v>
      </c>
      <c r="J5176" s="7">
        <v>0</v>
      </c>
      <c r="K5176" s="3">
        <f t="shared" si="189"/>
        <v>0</v>
      </c>
      <c r="L5176" s="3"/>
      <c r="M5176" s="3">
        <f t="shared" si="188"/>
        <v>0</v>
      </c>
      <c r="N5176" s="7"/>
      <c r="O5176" s="5"/>
      <c r="S5176" s="11"/>
    </row>
    <row r="5177" spans="1:22" customFormat="1" x14ac:dyDescent="0.45">
      <c r="A5177">
        <v>969460</v>
      </c>
      <c r="B5177" t="s">
        <v>25983</v>
      </c>
      <c r="C5177" t="s">
        <v>25984</v>
      </c>
      <c r="D5177">
        <v>1</v>
      </c>
      <c r="F5177" s="126"/>
      <c r="G5177" s="3"/>
      <c r="H5177" s="3"/>
      <c r="I5177" s="3"/>
      <c r="J5177" s="3"/>
      <c r="K5177" s="3">
        <f t="shared" si="189"/>
        <v>0</v>
      </c>
      <c r="L5177" s="3"/>
      <c r="M5177" s="3">
        <f t="shared" si="188"/>
        <v>0</v>
      </c>
      <c r="O5177" s="5"/>
      <c r="S5177" s="11"/>
    </row>
    <row r="5178" spans="1:22" customFormat="1" x14ac:dyDescent="0.45">
      <c r="A5178">
        <v>969868</v>
      </c>
      <c r="B5178" t="s">
        <v>25985</v>
      </c>
      <c r="C5178" t="s">
        <v>25986</v>
      </c>
      <c r="D5178">
        <v>2</v>
      </c>
      <c r="F5178" s="126"/>
      <c r="G5178" s="3">
        <v>0</v>
      </c>
      <c r="H5178" s="3">
        <v>0</v>
      </c>
      <c r="I5178" s="3">
        <v>0</v>
      </c>
      <c r="J5178" s="3">
        <v>0</v>
      </c>
      <c r="K5178" s="3">
        <f t="shared" si="189"/>
        <v>0</v>
      </c>
      <c r="L5178" s="3"/>
      <c r="M5178" s="3">
        <f t="shared" si="188"/>
        <v>0</v>
      </c>
      <c r="O5178" s="5"/>
      <c r="S5178" s="11"/>
    </row>
    <row r="5179" spans="1:22" customFormat="1" x14ac:dyDescent="0.45">
      <c r="A5179">
        <v>970608</v>
      </c>
      <c r="B5179" t="s">
        <v>25987</v>
      </c>
      <c r="C5179" t="s">
        <v>25988</v>
      </c>
      <c r="D5179">
        <v>1</v>
      </c>
      <c r="F5179" s="126"/>
      <c r="G5179" s="7">
        <v>0</v>
      </c>
      <c r="H5179" s="7">
        <v>0</v>
      </c>
      <c r="I5179" s="7">
        <v>0</v>
      </c>
      <c r="J5179" s="7">
        <v>0</v>
      </c>
      <c r="K5179" s="3">
        <f t="shared" si="189"/>
        <v>0</v>
      </c>
      <c r="L5179" s="3"/>
      <c r="M5179" s="3">
        <f t="shared" si="188"/>
        <v>0</v>
      </c>
      <c r="N5179" s="7"/>
      <c r="O5179" s="5"/>
      <c r="S5179" s="11"/>
    </row>
    <row r="5180" spans="1:22" customFormat="1" x14ac:dyDescent="0.45">
      <c r="A5180">
        <v>970913</v>
      </c>
      <c r="B5180" t="s">
        <v>25989</v>
      </c>
      <c r="C5180" s="2" t="s">
        <v>25990</v>
      </c>
      <c r="D5180">
        <v>6</v>
      </c>
      <c r="F5180" s="126"/>
      <c r="G5180" s="3">
        <v>0</v>
      </c>
      <c r="H5180" s="3">
        <v>0</v>
      </c>
      <c r="I5180" s="3">
        <v>0</v>
      </c>
      <c r="J5180" s="3">
        <v>0</v>
      </c>
      <c r="K5180" s="3">
        <f t="shared" si="189"/>
        <v>0</v>
      </c>
      <c r="L5180" s="3"/>
      <c r="M5180" s="3">
        <f t="shared" si="188"/>
        <v>0</v>
      </c>
      <c r="O5180" s="5"/>
      <c r="S5180" s="11"/>
    </row>
    <row r="5181" spans="1:22" customFormat="1" x14ac:dyDescent="0.45">
      <c r="A5181">
        <v>971191</v>
      </c>
      <c r="B5181" t="s">
        <v>25991</v>
      </c>
      <c r="C5181" t="s">
        <v>25992</v>
      </c>
      <c r="D5181">
        <v>2</v>
      </c>
      <c r="F5181" s="126"/>
      <c r="G5181" s="7">
        <v>0</v>
      </c>
      <c r="H5181" s="7">
        <v>0</v>
      </c>
      <c r="I5181" s="7">
        <v>0</v>
      </c>
      <c r="J5181" s="7">
        <v>0</v>
      </c>
      <c r="K5181" s="3">
        <f t="shared" si="189"/>
        <v>0</v>
      </c>
      <c r="L5181" s="3"/>
      <c r="M5181" s="3">
        <f t="shared" si="188"/>
        <v>0</v>
      </c>
      <c r="O5181" s="5"/>
      <c r="S5181" s="11"/>
    </row>
    <row r="5182" spans="1:22" customFormat="1" x14ac:dyDescent="0.45">
      <c r="A5182">
        <v>971573</v>
      </c>
      <c r="B5182" t="s">
        <v>25993</v>
      </c>
      <c r="C5182" t="s">
        <v>25994</v>
      </c>
      <c r="D5182">
        <v>3</v>
      </c>
      <c r="F5182" s="126"/>
      <c r="G5182" s="7">
        <v>0</v>
      </c>
      <c r="H5182" s="7">
        <v>0</v>
      </c>
      <c r="I5182" s="7">
        <v>0</v>
      </c>
      <c r="J5182" s="7">
        <v>0</v>
      </c>
      <c r="K5182" s="3">
        <f t="shared" si="189"/>
        <v>0</v>
      </c>
      <c r="L5182" s="3"/>
      <c r="M5182" s="3">
        <f t="shared" si="188"/>
        <v>0</v>
      </c>
      <c r="O5182" s="5"/>
      <c r="S5182" s="11"/>
    </row>
    <row r="5183" spans="1:22" customFormat="1" x14ac:dyDescent="0.45">
      <c r="A5183">
        <v>971689</v>
      </c>
      <c r="B5183" t="s">
        <v>25995</v>
      </c>
      <c r="C5183" t="s">
        <v>16331</v>
      </c>
      <c r="D5183">
        <v>1</v>
      </c>
      <c r="E5183" t="s">
        <v>16331</v>
      </c>
      <c r="F5183" s="126"/>
      <c r="G5183" s="7">
        <v>0</v>
      </c>
      <c r="H5183" s="7">
        <v>0</v>
      </c>
      <c r="I5183" s="7">
        <v>0</v>
      </c>
      <c r="J5183" s="7">
        <v>0</v>
      </c>
      <c r="K5183" s="3">
        <f t="shared" si="189"/>
        <v>0</v>
      </c>
      <c r="L5183" s="3"/>
      <c r="M5183" s="3">
        <f t="shared" si="188"/>
        <v>0</v>
      </c>
      <c r="N5183" s="7"/>
      <c r="O5183" s="5"/>
      <c r="S5183" s="11"/>
    </row>
    <row r="5184" spans="1:22" customFormat="1" x14ac:dyDescent="0.45">
      <c r="A5184">
        <v>971768</v>
      </c>
      <c r="B5184" t="s">
        <v>25996</v>
      </c>
      <c r="C5184" t="s">
        <v>25997</v>
      </c>
      <c r="D5184">
        <v>0</v>
      </c>
      <c r="E5184" t="s">
        <v>16334</v>
      </c>
      <c r="F5184" s="126"/>
      <c r="G5184" s="7">
        <v>0</v>
      </c>
      <c r="H5184" s="7">
        <v>0</v>
      </c>
      <c r="I5184" s="7">
        <v>0</v>
      </c>
      <c r="J5184" s="7">
        <v>0</v>
      </c>
      <c r="K5184" s="3">
        <f t="shared" si="189"/>
        <v>0</v>
      </c>
      <c r="L5184" s="3"/>
      <c r="M5184" s="3">
        <f t="shared" si="188"/>
        <v>0</v>
      </c>
      <c r="O5184" s="5"/>
      <c r="S5184" s="11"/>
    </row>
    <row r="5185" spans="1:19" customFormat="1" x14ac:dyDescent="0.45">
      <c r="A5185">
        <v>971774</v>
      </c>
      <c r="B5185" t="s">
        <v>25998</v>
      </c>
      <c r="C5185" t="s">
        <v>25999</v>
      </c>
      <c r="D5185">
        <v>5</v>
      </c>
      <c r="F5185" s="126"/>
      <c r="G5185" s="7">
        <v>0</v>
      </c>
      <c r="H5185" s="7">
        <v>0</v>
      </c>
      <c r="I5185" s="7">
        <v>0</v>
      </c>
      <c r="J5185" s="7">
        <v>0</v>
      </c>
      <c r="K5185" s="3">
        <f t="shared" si="189"/>
        <v>0</v>
      </c>
      <c r="L5185" s="3"/>
      <c r="M5185" s="3">
        <f t="shared" si="188"/>
        <v>0</v>
      </c>
      <c r="N5185" s="7"/>
      <c r="O5185" s="5"/>
      <c r="S5185" s="11"/>
    </row>
    <row r="5186" spans="1:19" customFormat="1" x14ac:dyDescent="0.45">
      <c r="A5186">
        <v>972057</v>
      </c>
      <c r="B5186" t="s">
        <v>26000</v>
      </c>
      <c r="C5186" t="s">
        <v>26001</v>
      </c>
      <c r="D5186">
        <v>1</v>
      </c>
      <c r="F5186" s="126"/>
      <c r="G5186" s="3">
        <v>0</v>
      </c>
      <c r="H5186" s="3">
        <v>0</v>
      </c>
      <c r="I5186" s="3">
        <v>0</v>
      </c>
      <c r="J5186" s="3">
        <v>0</v>
      </c>
      <c r="K5186" s="3">
        <f t="shared" si="189"/>
        <v>0</v>
      </c>
      <c r="L5186" s="3"/>
      <c r="M5186" s="3">
        <f t="shared" si="188"/>
        <v>0</v>
      </c>
      <c r="O5186" s="5"/>
      <c r="S5186" s="11"/>
    </row>
    <row r="5187" spans="1:19" customFormat="1" x14ac:dyDescent="0.45">
      <c r="A5187">
        <v>972179</v>
      </c>
      <c r="B5187" t="s">
        <v>26002</v>
      </c>
      <c r="C5187" t="s">
        <v>26003</v>
      </c>
      <c r="D5187">
        <v>3</v>
      </c>
      <c r="F5187" s="126"/>
      <c r="G5187" s="7">
        <v>0</v>
      </c>
      <c r="H5187" s="7">
        <v>0</v>
      </c>
      <c r="I5187" s="7">
        <v>0</v>
      </c>
      <c r="J5187" s="7">
        <v>0</v>
      </c>
      <c r="K5187" s="3">
        <f t="shared" si="189"/>
        <v>0</v>
      </c>
      <c r="L5187" s="3"/>
      <c r="M5187" s="3">
        <f t="shared" si="188"/>
        <v>0</v>
      </c>
      <c r="N5187" s="7"/>
      <c r="O5187" s="5"/>
      <c r="S5187" s="11"/>
    </row>
    <row r="5188" spans="1:19" customFormat="1" x14ac:dyDescent="0.45">
      <c r="A5188">
        <v>972596</v>
      </c>
      <c r="B5188" t="s">
        <v>26004</v>
      </c>
      <c r="C5188" t="s">
        <v>16331</v>
      </c>
      <c r="D5188">
        <v>1</v>
      </c>
      <c r="E5188" t="s">
        <v>16331</v>
      </c>
      <c r="F5188" s="126"/>
      <c r="G5188" s="7">
        <v>0</v>
      </c>
      <c r="H5188" s="7">
        <v>0</v>
      </c>
      <c r="I5188" s="7">
        <v>0</v>
      </c>
      <c r="J5188" s="7">
        <v>0</v>
      </c>
      <c r="K5188" s="3">
        <f t="shared" si="189"/>
        <v>0</v>
      </c>
      <c r="L5188" s="3"/>
      <c r="M5188" s="3">
        <f t="shared" si="188"/>
        <v>0</v>
      </c>
      <c r="N5188" s="7"/>
      <c r="O5188" s="5"/>
      <c r="S5188" s="11"/>
    </row>
    <row r="5189" spans="1:19" customFormat="1" x14ac:dyDescent="0.45">
      <c r="A5189">
        <v>972849</v>
      </c>
      <c r="B5189" t="s">
        <v>26005</v>
      </c>
      <c r="C5189" t="s">
        <v>16331</v>
      </c>
      <c r="D5189">
        <v>1</v>
      </c>
      <c r="E5189" t="s">
        <v>16331</v>
      </c>
      <c r="F5189" s="126"/>
      <c r="G5189" s="7">
        <v>0</v>
      </c>
      <c r="H5189" s="7">
        <v>0</v>
      </c>
      <c r="I5189" s="7">
        <v>0</v>
      </c>
      <c r="J5189" s="7">
        <v>0</v>
      </c>
      <c r="K5189" s="3">
        <f t="shared" si="189"/>
        <v>0</v>
      </c>
      <c r="L5189" s="3"/>
      <c r="M5189" s="3">
        <f t="shared" si="188"/>
        <v>0</v>
      </c>
      <c r="O5189" s="5"/>
      <c r="S5189" s="11"/>
    </row>
    <row r="5190" spans="1:19" customFormat="1" x14ac:dyDescent="0.45">
      <c r="A5190">
        <v>972986</v>
      </c>
      <c r="B5190" t="s">
        <v>26006</v>
      </c>
      <c r="C5190" t="s">
        <v>16331</v>
      </c>
      <c r="D5190">
        <v>2</v>
      </c>
      <c r="E5190" t="s">
        <v>16331</v>
      </c>
      <c r="F5190" s="126"/>
      <c r="G5190" s="7">
        <v>0</v>
      </c>
      <c r="H5190" s="7">
        <v>0</v>
      </c>
      <c r="I5190" s="7">
        <v>0</v>
      </c>
      <c r="J5190" s="7">
        <v>0</v>
      </c>
      <c r="K5190" s="3">
        <f t="shared" si="189"/>
        <v>0</v>
      </c>
      <c r="L5190" s="3"/>
      <c r="M5190" s="3">
        <f t="shared" si="188"/>
        <v>0</v>
      </c>
      <c r="N5190" s="7"/>
      <c r="O5190" s="5"/>
      <c r="S5190" s="11"/>
    </row>
    <row r="5191" spans="1:19" customFormat="1" x14ac:dyDescent="0.45">
      <c r="A5191">
        <v>973065</v>
      </c>
      <c r="B5191" t="s">
        <v>26007</v>
      </c>
      <c r="C5191" t="s">
        <v>26008</v>
      </c>
      <c r="D5191">
        <v>1</v>
      </c>
      <c r="F5191" s="126"/>
      <c r="G5191" s="7">
        <v>0</v>
      </c>
      <c r="H5191" s="7">
        <v>0</v>
      </c>
      <c r="I5191" s="7">
        <v>0</v>
      </c>
      <c r="J5191" s="7">
        <v>0</v>
      </c>
      <c r="K5191" s="3">
        <f t="shared" si="189"/>
        <v>0</v>
      </c>
      <c r="L5191" s="3"/>
      <c r="M5191" s="3">
        <f t="shared" si="188"/>
        <v>0</v>
      </c>
      <c r="O5191" s="5"/>
      <c r="S5191" s="11"/>
    </row>
    <row r="5192" spans="1:19" customFormat="1" x14ac:dyDescent="0.45">
      <c r="A5192">
        <v>973220</v>
      </c>
      <c r="B5192" t="s">
        <v>26009</v>
      </c>
      <c r="C5192" t="s">
        <v>26010</v>
      </c>
      <c r="D5192">
        <v>0</v>
      </c>
      <c r="E5192" t="s">
        <v>16561</v>
      </c>
      <c r="F5192" s="126"/>
      <c r="G5192" s="7">
        <v>0</v>
      </c>
      <c r="H5192" s="7">
        <v>0</v>
      </c>
      <c r="I5192" s="7">
        <v>0</v>
      </c>
      <c r="J5192" s="7">
        <v>0</v>
      </c>
      <c r="K5192" s="3">
        <f t="shared" si="189"/>
        <v>0</v>
      </c>
      <c r="L5192" s="3"/>
      <c r="M5192" s="3">
        <f t="shared" si="188"/>
        <v>0</v>
      </c>
      <c r="N5192" s="7"/>
      <c r="O5192" s="5"/>
      <c r="S5192" s="11"/>
    </row>
    <row r="5193" spans="1:19" customFormat="1" x14ac:dyDescent="0.45">
      <c r="A5193">
        <v>973301</v>
      </c>
      <c r="B5193" t="s">
        <v>26011</v>
      </c>
      <c r="C5193" t="s">
        <v>16331</v>
      </c>
      <c r="D5193">
        <v>1</v>
      </c>
      <c r="E5193" t="s">
        <v>16331</v>
      </c>
      <c r="F5193" s="126"/>
      <c r="G5193" s="7">
        <v>0</v>
      </c>
      <c r="H5193" s="7">
        <v>0</v>
      </c>
      <c r="I5193" s="7">
        <v>0</v>
      </c>
      <c r="J5193" s="7">
        <v>0</v>
      </c>
      <c r="K5193" s="3">
        <f t="shared" si="189"/>
        <v>0</v>
      </c>
      <c r="L5193" s="3"/>
      <c r="M5193" s="3">
        <f t="shared" si="188"/>
        <v>0</v>
      </c>
      <c r="O5193" s="5"/>
      <c r="S5193" s="11"/>
    </row>
    <row r="5194" spans="1:19" customFormat="1" x14ac:dyDescent="0.45">
      <c r="A5194">
        <v>973440</v>
      </c>
      <c r="B5194" t="s">
        <v>26012</v>
      </c>
      <c r="C5194" t="s">
        <v>26013</v>
      </c>
      <c r="D5194">
        <v>5</v>
      </c>
      <c r="F5194" s="126"/>
      <c r="G5194" s="3"/>
      <c r="H5194" s="3"/>
      <c r="I5194" s="3"/>
      <c r="J5194" s="3"/>
      <c r="K5194" s="3">
        <f t="shared" si="189"/>
        <v>0</v>
      </c>
      <c r="L5194" s="3"/>
      <c r="M5194" s="3">
        <f t="shared" si="188"/>
        <v>0</v>
      </c>
      <c r="O5194" s="5"/>
      <c r="S5194" s="11"/>
    </row>
    <row r="5195" spans="1:19" customFormat="1" x14ac:dyDescent="0.45">
      <c r="A5195">
        <v>973495</v>
      </c>
      <c r="B5195" t="s">
        <v>26014</v>
      </c>
      <c r="C5195" t="s">
        <v>26015</v>
      </c>
      <c r="D5195">
        <v>2</v>
      </c>
      <c r="F5195" s="126"/>
      <c r="G5195" s="7">
        <v>0</v>
      </c>
      <c r="H5195" s="7">
        <v>0</v>
      </c>
      <c r="I5195" s="7">
        <v>0</v>
      </c>
      <c r="J5195" s="7">
        <v>0</v>
      </c>
      <c r="K5195" s="3">
        <f t="shared" si="189"/>
        <v>0</v>
      </c>
      <c r="L5195" s="3"/>
      <c r="M5195" s="3">
        <f t="shared" si="188"/>
        <v>0</v>
      </c>
      <c r="O5195" s="5"/>
      <c r="S5195" s="11"/>
    </row>
    <row r="5196" spans="1:19" customFormat="1" x14ac:dyDescent="0.45">
      <c r="A5196">
        <v>973710</v>
      </c>
      <c r="B5196" t="s">
        <v>26016</v>
      </c>
      <c r="C5196" t="s">
        <v>16331</v>
      </c>
      <c r="D5196">
        <v>1</v>
      </c>
      <c r="E5196" t="s">
        <v>16331</v>
      </c>
      <c r="F5196" s="126"/>
      <c r="G5196" s="7">
        <v>0</v>
      </c>
      <c r="H5196" s="7">
        <v>0</v>
      </c>
      <c r="I5196" s="7">
        <v>0</v>
      </c>
      <c r="J5196" s="7">
        <v>0</v>
      </c>
      <c r="K5196" s="3">
        <f t="shared" si="189"/>
        <v>0</v>
      </c>
      <c r="L5196" s="3"/>
      <c r="M5196" s="3">
        <f t="shared" si="188"/>
        <v>0</v>
      </c>
      <c r="O5196" s="5"/>
      <c r="S5196" s="11"/>
    </row>
    <row r="5197" spans="1:19" customFormat="1" x14ac:dyDescent="0.45">
      <c r="A5197">
        <v>973711</v>
      </c>
      <c r="B5197" t="s">
        <v>26017</v>
      </c>
      <c r="C5197" t="s">
        <v>26018</v>
      </c>
      <c r="D5197">
        <v>3</v>
      </c>
      <c r="F5197" s="126"/>
      <c r="G5197" s="3">
        <v>0</v>
      </c>
      <c r="H5197" s="3">
        <v>0</v>
      </c>
      <c r="I5197" s="3">
        <v>0</v>
      </c>
      <c r="J5197" s="3">
        <v>0</v>
      </c>
      <c r="K5197" s="3">
        <f t="shared" si="189"/>
        <v>0</v>
      </c>
      <c r="L5197" s="3"/>
      <c r="M5197" s="3">
        <f t="shared" si="188"/>
        <v>0</v>
      </c>
      <c r="O5197" s="5"/>
      <c r="S5197" s="11"/>
    </row>
    <row r="5198" spans="1:19" customFormat="1" x14ac:dyDescent="0.45">
      <c r="A5198">
        <v>973832</v>
      </c>
      <c r="B5198" t="s">
        <v>26019</v>
      </c>
      <c r="C5198" t="s">
        <v>16331</v>
      </c>
      <c r="D5198">
        <v>1</v>
      </c>
      <c r="E5198" t="s">
        <v>16331</v>
      </c>
      <c r="F5198" s="126"/>
      <c r="G5198" s="7">
        <v>0</v>
      </c>
      <c r="H5198" s="7">
        <v>0</v>
      </c>
      <c r="I5198" s="7">
        <v>0</v>
      </c>
      <c r="J5198" s="7">
        <v>0</v>
      </c>
      <c r="K5198" s="3">
        <f t="shared" si="189"/>
        <v>0</v>
      </c>
      <c r="L5198" s="3"/>
      <c r="M5198" s="3">
        <f t="shared" si="188"/>
        <v>0</v>
      </c>
      <c r="O5198" s="5"/>
      <c r="S5198" s="11"/>
    </row>
    <row r="5199" spans="1:19" customFormat="1" x14ac:dyDescent="0.45">
      <c r="A5199">
        <v>974264</v>
      </c>
      <c r="B5199" t="s">
        <v>26020</v>
      </c>
      <c r="C5199" t="s">
        <v>26021</v>
      </c>
      <c r="D5199">
        <v>1</v>
      </c>
      <c r="E5199" t="s">
        <v>16334</v>
      </c>
      <c r="F5199" s="126"/>
      <c r="G5199" s="3"/>
      <c r="H5199" s="3"/>
      <c r="I5199" s="4"/>
      <c r="J5199" s="4"/>
      <c r="K5199" s="3">
        <v>0</v>
      </c>
      <c r="L5199" s="3"/>
      <c r="M5199" s="3">
        <v>0</v>
      </c>
      <c r="N5199" t="s">
        <v>26022</v>
      </c>
      <c r="O5199" s="5"/>
      <c r="S5199" s="11"/>
    </row>
    <row r="5200" spans="1:19" customFormat="1" x14ac:dyDescent="0.45">
      <c r="A5200">
        <v>974429</v>
      </c>
      <c r="B5200" t="s">
        <v>26023</v>
      </c>
      <c r="C5200" t="s">
        <v>26024</v>
      </c>
      <c r="D5200">
        <v>2</v>
      </c>
      <c r="F5200" s="126"/>
      <c r="G5200" s="7">
        <v>0</v>
      </c>
      <c r="H5200" s="7">
        <v>0</v>
      </c>
      <c r="I5200" s="7">
        <v>0</v>
      </c>
      <c r="J5200" s="7">
        <v>0</v>
      </c>
      <c r="K5200" s="3">
        <f t="shared" ref="K5200:K5221" si="190">SUM(G5200:J5200)</f>
        <v>0</v>
      </c>
      <c r="L5200" s="3"/>
      <c r="M5200" s="3">
        <f t="shared" ref="M5200:M5221" si="191">K5200+F5200</f>
        <v>0</v>
      </c>
      <c r="N5200" s="7"/>
      <c r="O5200" s="5"/>
      <c r="S5200" s="11"/>
    </row>
    <row r="5201" spans="1:22" customFormat="1" x14ac:dyDescent="0.45">
      <c r="A5201">
        <v>974610</v>
      </c>
      <c r="B5201" t="s">
        <v>26025</v>
      </c>
      <c r="C5201" t="s">
        <v>16331</v>
      </c>
      <c r="D5201">
        <v>1</v>
      </c>
      <c r="E5201" t="s">
        <v>16331</v>
      </c>
      <c r="F5201" s="126"/>
      <c r="G5201" s="7">
        <v>0</v>
      </c>
      <c r="H5201" s="7">
        <v>0</v>
      </c>
      <c r="I5201" s="7">
        <v>0</v>
      </c>
      <c r="J5201" s="7">
        <v>0</v>
      </c>
      <c r="K5201" s="3">
        <f t="shared" si="190"/>
        <v>0</v>
      </c>
      <c r="L5201" s="3"/>
      <c r="M5201" s="3">
        <f t="shared" si="191"/>
        <v>0</v>
      </c>
      <c r="N5201" s="7"/>
      <c r="O5201" s="5"/>
      <c r="S5201" s="11"/>
    </row>
    <row r="5202" spans="1:22" customFormat="1" x14ac:dyDescent="0.45">
      <c r="A5202">
        <v>975085</v>
      </c>
      <c r="B5202" t="s">
        <v>26026</v>
      </c>
      <c r="C5202" t="s">
        <v>26027</v>
      </c>
      <c r="D5202">
        <v>4</v>
      </c>
      <c r="F5202" s="126"/>
      <c r="G5202" s="3">
        <v>0</v>
      </c>
      <c r="H5202" s="3">
        <v>0</v>
      </c>
      <c r="I5202" s="3">
        <v>0</v>
      </c>
      <c r="J5202" s="3">
        <v>0</v>
      </c>
      <c r="K5202" s="3">
        <f t="shared" si="190"/>
        <v>0</v>
      </c>
      <c r="L5202" s="3"/>
      <c r="M5202" s="3">
        <f t="shared" si="191"/>
        <v>0</v>
      </c>
      <c r="O5202" s="5"/>
      <c r="S5202" s="11"/>
    </row>
    <row r="5203" spans="1:22" customFormat="1" x14ac:dyDescent="0.45">
      <c r="A5203">
        <v>975150</v>
      </c>
      <c r="B5203" t="s">
        <v>26028</v>
      </c>
      <c r="C5203" t="s">
        <v>26029</v>
      </c>
      <c r="D5203">
        <v>0</v>
      </c>
      <c r="E5203" t="s">
        <v>16561</v>
      </c>
      <c r="F5203" s="126"/>
      <c r="G5203" s="7">
        <v>0</v>
      </c>
      <c r="H5203" s="7">
        <v>0</v>
      </c>
      <c r="I5203" s="7">
        <v>0</v>
      </c>
      <c r="J5203" s="7">
        <v>0</v>
      </c>
      <c r="K5203" s="3">
        <f t="shared" si="190"/>
        <v>0</v>
      </c>
      <c r="L5203" s="3"/>
      <c r="M5203" s="3">
        <f t="shared" si="191"/>
        <v>0</v>
      </c>
      <c r="N5203" s="7"/>
      <c r="O5203" s="5"/>
      <c r="S5203" s="11"/>
    </row>
    <row r="5204" spans="1:22" customFormat="1" x14ac:dyDescent="0.45">
      <c r="A5204">
        <v>975357</v>
      </c>
      <c r="B5204" t="s">
        <v>26030</v>
      </c>
      <c r="C5204" t="s">
        <v>16331</v>
      </c>
      <c r="D5204">
        <v>1</v>
      </c>
      <c r="E5204" t="s">
        <v>16331</v>
      </c>
      <c r="F5204" s="126"/>
      <c r="G5204" s="7">
        <v>0</v>
      </c>
      <c r="H5204" s="7">
        <v>0</v>
      </c>
      <c r="I5204" s="7">
        <v>0</v>
      </c>
      <c r="J5204" s="7">
        <v>0</v>
      </c>
      <c r="K5204" s="3">
        <f t="shared" si="190"/>
        <v>0</v>
      </c>
      <c r="L5204" s="3"/>
      <c r="M5204" s="3">
        <f t="shared" si="191"/>
        <v>0</v>
      </c>
      <c r="N5204" s="7"/>
      <c r="O5204" s="5"/>
      <c r="S5204" s="11"/>
    </row>
    <row r="5205" spans="1:22" x14ac:dyDescent="0.45">
      <c r="A5205" s="124">
        <v>779040</v>
      </c>
      <c r="B5205" s="124" t="s">
        <v>26031</v>
      </c>
      <c r="C5205" s="124" t="s">
        <v>26032</v>
      </c>
      <c r="D5205" s="124">
        <v>3</v>
      </c>
      <c r="E5205" s="124" t="s">
        <v>16334</v>
      </c>
      <c r="F5205" s="126">
        <v>1.6999999999999999E-3</v>
      </c>
      <c r="G5205" s="126">
        <v>0.01</v>
      </c>
      <c r="H5205" s="126">
        <v>8.5000000000000006E-3</v>
      </c>
      <c r="I5205" s="127"/>
      <c r="J5205" s="127"/>
      <c r="K5205" s="126">
        <f t="shared" si="190"/>
        <v>1.8500000000000003E-2</v>
      </c>
      <c r="L5205" s="3"/>
      <c r="M5205" s="126">
        <f t="shared" si="191"/>
        <v>2.0200000000000003E-2</v>
      </c>
      <c r="O5205" s="131" t="s">
        <v>26033</v>
      </c>
      <c r="P5205" s="128" t="s">
        <v>26918</v>
      </c>
      <c r="Q5205" s="124">
        <f>180883+47323</f>
        <v>228206</v>
      </c>
      <c r="R5205" s="124" t="s">
        <v>16348</v>
      </c>
      <c r="S5205" s="132">
        <v>80748</v>
      </c>
      <c r="T5205" s="129">
        <f>S5205/Q5205</f>
        <v>0.35383819882036405</v>
      </c>
      <c r="V5205" s="125" t="s">
        <v>26034</v>
      </c>
    </row>
    <row r="5206" spans="1:22" customFormat="1" x14ac:dyDescent="0.45">
      <c r="A5206">
        <v>975897</v>
      </c>
      <c r="B5206" t="s">
        <v>26035</v>
      </c>
      <c r="C5206" t="s">
        <v>26036</v>
      </c>
      <c r="D5206">
        <v>1</v>
      </c>
      <c r="F5206" s="126"/>
      <c r="G5206" s="7">
        <v>0</v>
      </c>
      <c r="H5206" s="7">
        <v>0</v>
      </c>
      <c r="I5206" s="7">
        <v>0</v>
      </c>
      <c r="J5206" s="7">
        <v>0</v>
      </c>
      <c r="K5206" s="3">
        <f t="shared" si="190"/>
        <v>0</v>
      </c>
      <c r="L5206" s="3"/>
      <c r="M5206" s="3">
        <f t="shared" si="191"/>
        <v>0</v>
      </c>
      <c r="N5206" s="7"/>
      <c r="O5206" s="5"/>
      <c r="S5206" s="11"/>
    </row>
    <row r="5207" spans="1:22" customFormat="1" x14ac:dyDescent="0.45">
      <c r="A5207">
        <v>976075</v>
      </c>
      <c r="B5207" t="s">
        <v>26037</v>
      </c>
      <c r="C5207" s="2" t="s">
        <v>26038</v>
      </c>
      <c r="D5207">
        <v>2</v>
      </c>
      <c r="F5207" s="126"/>
      <c r="G5207" s="7">
        <v>0</v>
      </c>
      <c r="H5207" s="7">
        <v>0</v>
      </c>
      <c r="I5207" s="7">
        <v>0</v>
      </c>
      <c r="J5207" s="7">
        <v>0</v>
      </c>
      <c r="K5207" s="3">
        <f t="shared" si="190"/>
        <v>0</v>
      </c>
      <c r="L5207" s="3"/>
      <c r="M5207" s="3">
        <f t="shared" si="191"/>
        <v>0</v>
      </c>
      <c r="N5207" s="7"/>
      <c r="O5207" s="5"/>
      <c r="S5207" s="11"/>
    </row>
    <row r="5208" spans="1:22" customFormat="1" x14ac:dyDescent="0.45">
      <c r="A5208">
        <v>976076</v>
      </c>
      <c r="B5208" t="s">
        <v>26039</v>
      </c>
      <c r="C5208" t="s">
        <v>26040</v>
      </c>
      <c r="D5208">
        <v>1</v>
      </c>
      <c r="F5208" s="126"/>
      <c r="G5208" s="7">
        <v>0</v>
      </c>
      <c r="H5208" s="7">
        <v>0</v>
      </c>
      <c r="I5208" s="7">
        <v>0</v>
      </c>
      <c r="J5208" s="7">
        <v>0</v>
      </c>
      <c r="K5208" s="3">
        <f t="shared" si="190"/>
        <v>0</v>
      </c>
      <c r="L5208" s="3"/>
      <c r="M5208" s="3">
        <f t="shared" si="191"/>
        <v>0</v>
      </c>
      <c r="O5208" s="5"/>
      <c r="S5208" s="11"/>
    </row>
    <row r="5209" spans="1:22" customFormat="1" x14ac:dyDescent="0.45">
      <c r="A5209">
        <v>976267</v>
      </c>
      <c r="B5209" t="s">
        <v>26041</v>
      </c>
      <c r="C5209" t="s">
        <v>26042</v>
      </c>
      <c r="D5209">
        <v>0</v>
      </c>
      <c r="E5209" t="s">
        <v>16561</v>
      </c>
      <c r="F5209" s="126"/>
      <c r="G5209" s="3"/>
      <c r="H5209" s="3"/>
      <c r="I5209" s="3"/>
      <c r="J5209" s="3"/>
      <c r="K5209" s="3">
        <f t="shared" si="190"/>
        <v>0</v>
      </c>
      <c r="L5209" s="3"/>
      <c r="M5209" s="3">
        <f t="shared" si="191"/>
        <v>0</v>
      </c>
      <c r="O5209" s="5"/>
      <c r="S5209" s="11"/>
    </row>
    <row r="5210" spans="1:22" customFormat="1" x14ac:dyDescent="0.45">
      <c r="A5210">
        <v>976846</v>
      </c>
      <c r="B5210" t="s">
        <v>26043</v>
      </c>
      <c r="C5210" t="s">
        <v>16331</v>
      </c>
      <c r="D5210">
        <v>0</v>
      </c>
      <c r="E5210" t="s">
        <v>16331</v>
      </c>
      <c r="F5210" s="126"/>
      <c r="G5210" s="7">
        <v>0</v>
      </c>
      <c r="H5210" s="7">
        <v>0</v>
      </c>
      <c r="I5210" s="7">
        <v>0</v>
      </c>
      <c r="J5210" s="7">
        <v>0</v>
      </c>
      <c r="K5210" s="3">
        <f t="shared" si="190"/>
        <v>0</v>
      </c>
      <c r="L5210" s="3"/>
      <c r="M5210" s="3">
        <f t="shared" si="191"/>
        <v>0</v>
      </c>
      <c r="N5210" s="7"/>
      <c r="O5210" s="5"/>
      <c r="S5210" s="11"/>
    </row>
    <row r="5211" spans="1:22" customFormat="1" x14ac:dyDescent="0.45">
      <c r="A5211">
        <v>976855</v>
      </c>
      <c r="B5211" t="s">
        <v>26044</v>
      </c>
      <c r="C5211" t="s">
        <v>16331</v>
      </c>
      <c r="D5211">
        <v>1</v>
      </c>
      <c r="E5211" t="s">
        <v>16331</v>
      </c>
      <c r="F5211" s="126"/>
      <c r="G5211" s="7">
        <v>0</v>
      </c>
      <c r="H5211" s="7">
        <v>0</v>
      </c>
      <c r="I5211" s="7">
        <v>0</v>
      </c>
      <c r="J5211" s="7">
        <v>0</v>
      </c>
      <c r="K5211" s="3">
        <f t="shared" si="190"/>
        <v>0</v>
      </c>
      <c r="L5211" s="3"/>
      <c r="M5211" s="3">
        <f t="shared" si="191"/>
        <v>0</v>
      </c>
      <c r="N5211" s="7"/>
      <c r="O5211" s="5"/>
      <c r="S5211" s="11"/>
    </row>
    <row r="5212" spans="1:22" x14ac:dyDescent="0.45">
      <c r="A5212" s="124">
        <v>694859</v>
      </c>
      <c r="B5212" s="124" t="s">
        <v>26045</v>
      </c>
      <c r="C5212" s="125" t="s">
        <v>26046</v>
      </c>
      <c r="D5212" s="124">
        <v>4</v>
      </c>
      <c r="E5212" s="124" t="s">
        <v>16334</v>
      </c>
      <c r="F5212" s="126">
        <v>1.6999999999999999E-3</v>
      </c>
      <c r="G5212" s="126"/>
      <c r="H5212" s="126">
        <v>0.03</v>
      </c>
      <c r="I5212" s="127">
        <v>0</v>
      </c>
      <c r="J5212" s="127">
        <v>0</v>
      </c>
      <c r="K5212" s="126">
        <f t="shared" si="190"/>
        <v>0.03</v>
      </c>
      <c r="L5212" s="3"/>
      <c r="M5212" s="126">
        <f t="shared" si="191"/>
        <v>3.1699999999999999E-2</v>
      </c>
      <c r="N5212" s="124" t="s">
        <v>26047</v>
      </c>
      <c r="O5212" s="131" t="s">
        <v>26048</v>
      </c>
      <c r="P5212" s="128" t="s">
        <v>26918</v>
      </c>
      <c r="Q5212" s="124">
        <f>369857+127743</f>
        <v>497600</v>
      </c>
      <c r="R5212" s="124" t="s">
        <v>16348</v>
      </c>
      <c r="S5212" s="132">
        <v>340488</v>
      </c>
      <c r="T5212" s="129">
        <f>S5212/Q5212</f>
        <v>0.68426045016077175</v>
      </c>
      <c r="V5212" s="125" t="s">
        <v>26049</v>
      </c>
    </row>
    <row r="5213" spans="1:22" customFormat="1" x14ac:dyDescent="0.45">
      <c r="A5213">
        <v>977186</v>
      </c>
      <c r="B5213" t="s">
        <v>26050</v>
      </c>
      <c r="C5213" t="s">
        <v>26051</v>
      </c>
      <c r="D5213">
        <v>2</v>
      </c>
      <c r="F5213" s="126"/>
      <c r="G5213" s="7">
        <v>0</v>
      </c>
      <c r="H5213" s="7">
        <v>0</v>
      </c>
      <c r="I5213" s="7">
        <v>0</v>
      </c>
      <c r="J5213" s="7">
        <v>0</v>
      </c>
      <c r="K5213" s="3">
        <f t="shared" si="190"/>
        <v>0</v>
      </c>
      <c r="L5213" s="3"/>
      <c r="M5213" s="3">
        <f t="shared" si="191"/>
        <v>0</v>
      </c>
      <c r="O5213" s="5"/>
      <c r="S5213" s="11"/>
    </row>
    <row r="5214" spans="1:22" customFormat="1" x14ac:dyDescent="0.45">
      <c r="A5214">
        <v>977384</v>
      </c>
      <c r="B5214" t="s">
        <v>26052</v>
      </c>
      <c r="C5214" t="s">
        <v>16331</v>
      </c>
      <c r="D5214">
        <v>1</v>
      </c>
      <c r="E5214" t="s">
        <v>16331</v>
      </c>
      <c r="F5214" s="126"/>
      <c r="G5214" s="7">
        <v>0</v>
      </c>
      <c r="H5214" s="7">
        <v>0</v>
      </c>
      <c r="I5214" s="7">
        <v>0</v>
      </c>
      <c r="J5214" s="7">
        <v>0</v>
      </c>
      <c r="K5214" s="3">
        <f t="shared" si="190"/>
        <v>0</v>
      </c>
      <c r="L5214" s="3"/>
      <c r="M5214" s="3">
        <f t="shared" si="191"/>
        <v>0</v>
      </c>
      <c r="N5214" s="7"/>
      <c r="O5214" s="5"/>
      <c r="S5214" s="11"/>
    </row>
    <row r="5215" spans="1:22" customFormat="1" x14ac:dyDescent="0.45">
      <c r="A5215">
        <v>977586</v>
      </c>
      <c r="B5215" t="s">
        <v>26053</v>
      </c>
      <c r="C5215" t="s">
        <v>16331</v>
      </c>
      <c r="D5215">
        <v>1</v>
      </c>
      <c r="E5215" t="s">
        <v>16331</v>
      </c>
      <c r="F5215" s="126"/>
      <c r="G5215" s="7">
        <v>0</v>
      </c>
      <c r="H5215" s="7">
        <v>0</v>
      </c>
      <c r="I5215" s="7">
        <v>0</v>
      </c>
      <c r="J5215" s="7">
        <v>0</v>
      </c>
      <c r="K5215" s="3">
        <f t="shared" si="190"/>
        <v>0</v>
      </c>
      <c r="L5215" s="3"/>
      <c r="M5215" s="3">
        <f t="shared" si="191"/>
        <v>0</v>
      </c>
      <c r="O5215" s="5"/>
      <c r="S5215" s="11"/>
    </row>
    <row r="5216" spans="1:22" customFormat="1" x14ac:dyDescent="0.45">
      <c r="A5216">
        <v>977595</v>
      </c>
      <c r="B5216" t="s">
        <v>26054</v>
      </c>
      <c r="C5216" t="s">
        <v>26055</v>
      </c>
      <c r="D5216">
        <v>1</v>
      </c>
      <c r="F5216" s="126"/>
      <c r="G5216" s="7">
        <v>0</v>
      </c>
      <c r="H5216" s="7">
        <v>0</v>
      </c>
      <c r="I5216" s="7">
        <v>0</v>
      </c>
      <c r="J5216" s="7">
        <v>0</v>
      </c>
      <c r="K5216" s="3">
        <f t="shared" si="190"/>
        <v>0</v>
      </c>
      <c r="L5216" s="3"/>
      <c r="M5216" s="3">
        <f t="shared" si="191"/>
        <v>0</v>
      </c>
      <c r="O5216" s="5"/>
      <c r="S5216" s="11"/>
    </row>
    <row r="5217" spans="1:23" customFormat="1" x14ac:dyDescent="0.45">
      <c r="A5217">
        <v>977663</v>
      </c>
      <c r="B5217" t="s">
        <v>26056</v>
      </c>
      <c r="C5217" t="s">
        <v>26057</v>
      </c>
      <c r="D5217">
        <v>1</v>
      </c>
      <c r="F5217" s="126"/>
      <c r="G5217" s="3"/>
      <c r="H5217" s="3"/>
      <c r="I5217" s="3"/>
      <c r="J5217" s="3"/>
      <c r="K5217" s="3">
        <f t="shared" si="190"/>
        <v>0</v>
      </c>
      <c r="L5217" s="3"/>
      <c r="M5217" s="3">
        <f t="shared" si="191"/>
        <v>0</v>
      </c>
      <c r="O5217" s="5"/>
      <c r="S5217" s="11"/>
    </row>
    <row r="5218" spans="1:23" customFormat="1" x14ac:dyDescent="0.45">
      <c r="A5218">
        <v>977687</v>
      </c>
      <c r="B5218" t="s">
        <v>26058</v>
      </c>
      <c r="C5218" t="s">
        <v>26059</v>
      </c>
      <c r="D5218">
        <v>1</v>
      </c>
      <c r="F5218" s="126"/>
      <c r="G5218" s="7">
        <v>0</v>
      </c>
      <c r="H5218" s="7">
        <v>0</v>
      </c>
      <c r="I5218" s="7">
        <v>0</v>
      </c>
      <c r="J5218" s="7">
        <v>0</v>
      </c>
      <c r="K5218" s="3">
        <f t="shared" si="190"/>
        <v>0</v>
      </c>
      <c r="L5218" s="3"/>
      <c r="M5218" s="3">
        <f t="shared" si="191"/>
        <v>0</v>
      </c>
      <c r="O5218" s="5"/>
      <c r="S5218" s="11"/>
    </row>
    <row r="5219" spans="1:23" customFormat="1" x14ac:dyDescent="0.45">
      <c r="A5219">
        <v>977929</v>
      </c>
      <c r="B5219" t="s">
        <v>26060</v>
      </c>
      <c r="C5219" t="s">
        <v>26061</v>
      </c>
      <c r="D5219">
        <v>8</v>
      </c>
      <c r="F5219" s="126"/>
      <c r="G5219" s="7">
        <v>0</v>
      </c>
      <c r="H5219" s="7">
        <v>0</v>
      </c>
      <c r="I5219" s="7">
        <v>0</v>
      </c>
      <c r="J5219" s="7">
        <v>0</v>
      </c>
      <c r="K5219" s="3">
        <f t="shared" si="190"/>
        <v>0</v>
      </c>
      <c r="L5219" s="3"/>
      <c r="M5219" s="3">
        <f t="shared" si="191"/>
        <v>0</v>
      </c>
      <c r="O5219" s="5"/>
      <c r="S5219" s="11"/>
    </row>
    <row r="5220" spans="1:23" customFormat="1" x14ac:dyDescent="0.45">
      <c r="A5220">
        <v>978184</v>
      </c>
      <c r="B5220" t="s">
        <v>26062</v>
      </c>
      <c r="C5220" t="s">
        <v>16331</v>
      </c>
      <c r="D5220">
        <v>1</v>
      </c>
      <c r="E5220" t="s">
        <v>16331</v>
      </c>
      <c r="F5220" s="126"/>
      <c r="G5220" s="7">
        <v>0</v>
      </c>
      <c r="H5220" s="7">
        <v>0</v>
      </c>
      <c r="I5220" s="7">
        <v>0</v>
      </c>
      <c r="J5220" s="7">
        <v>0</v>
      </c>
      <c r="K5220" s="3">
        <f t="shared" si="190"/>
        <v>0</v>
      </c>
      <c r="L5220" s="3"/>
      <c r="M5220" s="3">
        <f t="shared" si="191"/>
        <v>0</v>
      </c>
      <c r="N5220" s="7"/>
      <c r="O5220" s="5"/>
      <c r="S5220" s="11"/>
    </row>
    <row r="5221" spans="1:23" customFormat="1" x14ac:dyDescent="0.45">
      <c r="A5221">
        <v>978338</v>
      </c>
      <c r="B5221" t="s">
        <v>26063</v>
      </c>
      <c r="C5221" t="s">
        <v>26064</v>
      </c>
      <c r="D5221">
        <v>1</v>
      </c>
      <c r="F5221" s="126"/>
      <c r="G5221" s="7">
        <v>0</v>
      </c>
      <c r="H5221" s="7">
        <v>0</v>
      </c>
      <c r="I5221" s="7">
        <v>0</v>
      </c>
      <c r="J5221" s="7">
        <v>0</v>
      </c>
      <c r="K5221" s="3">
        <f t="shared" si="190"/>
        <v>0</v>
      </c>
      <c r="L5221" s="3"/>
      <c r="M5221" s="3">
        <f t="shared" si="191"/>
        <v>0</v>
      </c>
      <c r="N5221" s="7"/>
      <c r="O5221" s="5"/>
      <c r="S5221" s="11"/>
    </row>
    <row r="5222" spans="1:23" s="62" customFormat="1" x14ac:dyDescent="0.45">
      <c r="A5222" s="62">
        <v>978705</v>
      </c>
      <c r="B5222" s="62" t="s">
        <v>26065</v>
      </c>
      <c r="C5222" s="62" t="s">
        <v>26066</v>
      </c>
      <c r="D5222" s="62">
        <v>2</v>
      </c>
      <c r="E5222" s="62" t="s">
        <v>16334</v>
      </c>
      <c r="F5222" s="126"/>
      <c r="G5222" s="63"/>
      <c r="H5222" s="64"/>
      <c r="I5222" s="63"/>
      <c r="J5222" s="63"/>
      <c r="K5222" s="64">
        <v>0</v>
      </c>
      <c r="L5222" s="64"/>
      <c r="M5222" s="64">
        <v>0</v>
      </c>
      <c r="N5222" s="62" t="s">
        <v>26067</v>
      </c>
      <c r="S5222" s="11"/>
      <c r="T5222" s="10" t="e">
        <f>S5222/Q5222</f>
        <v>#DIV/0!</v>
      </c>
    </row>
    <row r="5223" spans="1:23" customFormat="1" x14ac:dyDescent="0.45">
      <c r="A5223">
        <v>978795</v>
      </c>
      <c r="B5223" t="s">
        <v>26068</v>
      </c>
      <c r="C5223" t="s">
        <v>26069</v>
      </c>
      <c r="D5223">
        <v>2</v>
      </c>
      <c r="F5223" s="126"/>
      <c r="G5223" s="7">
        <v>0</v>
      </c>
      <c r="H5223" s="7">
        <v>0</v>
      </c>
      <c r="I5223" s="7">
        <v>0</v>
      </c>
      <c r="J5223" s="7">
        <v>0</v>
      </c>
      <c r="K5223" s="3">
        <f t="shared" ref="K5223:K5286" si="192">SUM(G5223:J5223)</f>
        <v>0</v>
      </c>
      <c r="L5223" s="3"/>
      <c r="M5223" s="3">
        <f t="shared" ref="M5223:M5286" si="193">K5223+F5223</f>
        <v>0</v>
      </c>
      <c r="O5223" s="5"/>
      <c r="S5223" s="11"/>
    </row>
    <row r="5224" spans="1:23" x14ac:dyDescent="0.45">
      <c r="A5224" s="124">
        <v>517067</v>
      </c>
      <c r="B5224" s="124" t="s">
        <v>26070</v>
      </c>
      <c r="C5224" s="124" t="s">
        <v>26071</v>
      </c>
      <c r="D5224" s="124">
        <v>1</v>
      </c>
      <c r="E5224" s="124" t="s">
        <v>16334</v>
      </c>
      <c r="F5224" s="126">
        <v>1.6999999999999999E-3</v>
      </c>
      <c r="G5224" s="126">
        <v>0</v>
      </c>
      <c r="H5224" s="126">
        <v>0.05</v>
      </c>
      <c r="I5224" s="127"/>
      <c r="J5224" s="127"/>
      <c r="K5224" s="126">
        <f t="shared" si="192"/>
        <v>0.05</v>
      </c>
      <c r="L5224" s="3"/>
      <c r="M5224" s="126">
        <f t="shared" si="193"/>
        <v>5.1700000000000003E-2</v>
      </c>
      <c r="N5224" s="124" t="s">
        <v>26072</v>
      </c>
      <c r="O5224" s="131" t="s">
        <v>26073</v>
      </c>
      <c r="P5224" s="128" t="s">
        <v>26918</v>
      </c>
      <c r="Q5224" s="130">
        <f>131547+28654</f>
        <v>160201</v>
      </c>
      <c r="R5224" s="124" t="s">
        <v>16348</v>
      </c>
      <c r="S5224" s="132">
        <v>97395</v>
      </c>
      <c r="T5224" s="129">
        <f>S5224/Q5224</f>
        <v>0.60795500652305545</v>
      </c>
      <c r="V5224" s="125" t="s">
        <v>26074</v>
      </c>
      <c r="W5224" s="124" t="s">
        <v>17130</v>
      </c>
    </row>
    <row r="5225" spans="1:23" customFormat="1" x14ac:dyDescent="0.45">
      <c r="A5225">
        <v>979804</v>
      </c>
      <c r="B5225" t="s">
        <v>26075</v>
      </c>
      <c r="C5225" t="s">
        <v>23458</v>
      </c>
      <c r="D5225">
        <v>2</v>
      </c>
      <c r="F5225" s="126"/>
      <c r="G5225" s="7">
        <v>0</v>
      </c>
      <c r="H5225" s="7">
        <v>0</v>
      </c>
      <c r="I5225" s="7">
        <v>0</v>
      </c>
      <c r="J5225" s="7">
        <v>0</v>
      </c>
      <c r="K5225" s="3">
        <f t="shared" si="192"/>
        <v>0</v>
      </c>
      <c r="L5225" s="3"/>
      <c r="M5225" s="3">
        <f t="shared" si="193"/>
        <v>0</v>
      </c>
      <c r="N5225" s="7"/>
      <c r="O5225" s="5"/>
      <c r="S5225" s="11"/>
    </row>
    <row r="5226" spans="1:23" customFormat="1" x14ac:dyDescent="0.45">
      <c r="A5226">
        <v>979818</v>
      </c>
      <c r="B5226" t="s">
        <v>26076</v>
      </c>
      <c r="C5226" t="s">
        <v>16331</v>
      </c>
      <c r="D5226">
        <v>1</v>
      </c>
      <c r="E5226" t="s">
        <v>16331</v>
      </c>
      <c r="F5226" s="126"/>
      <c r="G5226" s="7">
        <v>0</v>
      </c>
      <c r="H5226" s="7">
        <v>0</v>
      </c>
      <c r="I5226" s="7">
        <v>0</v>
      </c>
      <c r="J5226" s="7">
        <v>0</v>
      </c>
      <c r="K5226" s="3">
        <f t="shared" si="192"/>
        <v>0</v>
      </c>
      <c r="L5226" s="3"/>
      <c r="M5226" s="3">
        <f t="shared" si="193"/>
        <v>0</v>
      </c>
      <c r="N5226" s="7"/>
      <c r="O5226" s="5"/>
      <c r="S5226" s="11"/>
    </row>
    <row r="5227" spans="1:23" customFormat="1" x14ac:dyDescent="0.45">
      <c r="A5227">
        <v>979950</v>
      </c>
      <c r="B5227" t="s">
        <v>26077</v>
      </c>
      <c r="C5227" t="s">
        <v>16331</v>
      </c>
      <c r="D5227">
        <v>1</v>
      </c>
      <c r="E5227" t="s">
        <v>16331</v>
      </c>
      <c r="F5227" s="126"/>
      <c r="G5227" s="7">
        <v>0</v>
      </c>
      <c r="H5227" s="7">
        <v>0</v>
      </c>
      <c r="I5227" s="7">
        <v>0</v>
      </c>
      <c r="J5227" s="7">
        <v>0</v>
      </c>
      <c r="K5227" s="3">
        <f t="shared" si="192"/>
        <v>0</v>
      </c>
      <c r="L5227" s="3"/>
      <c r="M5227" s="3">
        <f t="shared" si="193"/>
        <v>0</v>
      </c>
      <c r="N5227" s="7"/>
      <c r="O5227" s="5"/>
      <c r="S5227" s="11"/>
    </row>
    <row r="5228" spans="1:23" customFormat="1" x14ac:dyDescent="0.45">
      <c r="A5228">
        <v>980382</v>
      </c>
      <c r="B5228" t="s">
        <v>26078</v>
      </c>
      <c r="C5228" t="s">
        <v>26079</v>
      </c>
      <c r="D5228">
        <v>5</v>
      </c>
      <c r="F5228" s="126"/>
      <c r="G5228" s="3"/>
      <c r="H5228" s="3"/>
      <c r="I5228" s="3"/>
      <c r="J5228" s="3"/>
      <c r="K5228" s="3">
        <f t="shared" si="192"/>
        <v>0</v>
      </c>
      <c r="L5228" s="3"/>
      <c r="M5228" s="3">
        <f t="shared" si="193"/>
        <v>0</v>
      </c>
      <c r="O5228" s="5"/>
      <c r="S5228" s="11"/>
    </row>
    <row r="5229" spans="1:23" customFormat="1" x14ac:dyDescent="0.45">
      <c r="A5229">
        <v>980861</v>
      </c>
      <c r="B5229" t="s">
        <v>26080</v>
      </c>
      <c r="C5229" t="s">
        <v>26081</v>
      </c>
      <c r="D5229">
        <v>1</v>
      </c>
      <c r="F5229" s="126"/>
      <c r="G5229" s="7">
        <v>0</v>
      </c>
      <c r="H5229" s="7">
        <v>0</v>
      </c>
      <c r="I5229" s="7">
        <v>0</v>
      </c>
      <c r="J5229" s="7">
        <v>0</v>
      </c>
      <c r="K5229" s="3">
        <f t="shared" si="192"/>
        <v>0</v>
      </c>
      <c r="L5229" s="3"/>
      <c r="M5229" s="3">
        <f t="shared" si="193"/>
        <v>0</v>
      </c>
      <c r="O5229" s="5"/>
      <c r="S5229" s="11"/>
    </row>
    <row r="5230" spans="1:23" customFormat="1" x14ac:dyDescent="0.45">
      <c r="A5230">
        <v>982479</v>
      </c>
      <c r="B5230" t="s">
        <v>26082</v>
      </c>
      <c r="C5230" t="s">
        <v>26083</v>
      </c>
      <c r="D5230">
        <v>2</v>
      </c>
      <c r="F5230" s="126"/>
      <c r="G5230" s="7">
        <v>0</v>
      </c>
      <c r="H5230" s="7">
        <v>0</v>
      </c>
      <c r="I5230" s="7">
        <v>0</v>
      </c>
      <c r="J5230" s="7">
        <v>0</v>
      </c>
      <c r="K5230" s="3">
        <f t="shared" si="192"/>
        <v>0</v>
      </c>
      <c r="L5230" s="3"/>
      <c r="M5230" s="3">
        <f t="shared" si="193"/>
        <v>0</v>
      </c>
      <c r="O5230" s="5"/>
      <c r="S5230" s="11"/>
    </row>
    <row r="5231" spans="1:23" customFormat="1" x14ac:dyDescent="0.45">
      <c r="A5231">
        <v>982544</v>
      </c>
      <c r="B5231" t="s">
        <v>26084</v>
      </c>
      <c r="C5231" t="s">
        <v>26085</v>
      </c>
      <c r="D5231">
        <v>1</v>
      </c>
      <c r="F5231" s="126"/>
      <c r="G5231" s="7">
        <v>0</v>
      </c>
      <c r="H5231" s="7">
        <v>0</v>
      </c>
      <c r="I5231" s="7">
        <v>0</v>
      </c>
      <c r="J5231" s="7">
        <v>0</v>
      </c>
      <c r="K5231" s="3">
        <f t="shared" si="192"/>
        <v>0</v>
      </c>
      <c r="L5231" s="3"/>
      <c r="M5231" s="3">
        <f t="shared" si="193"/>
        <v>0</v>
      </c>
      <c r="O5231" s="5"/>
      <c r="S5231" s="11"/>
    </row>
    <row r="5232" spans="1:23" customFormat="1" x14ac:dyDescent="0.45">
      <c r="A5232">
        <v>982589</v>
      </c>
      <c r="B5232" t="s">
        <v>26086</v>
      </c>
      <c r="C5232" t="s">
        <v>26087</v>
      </c>
      <c r="D5232">
        <v>1</v>
      </c>
      <c r="F5232" s="126"/>
      <c r="G5232" s="7">
        <v>0</v>
      </c>
      <c r="H5232" s="7">
        <v>0</v>
      </c>
      <c r="I5232" s="7">
        <v>0</v>
      </c>
      <c r="J5232" s="7">
        <v>0</v>
      </c>
      <c r="K5232" s="3">
        <f t="shared" si="192"/>
        <v>0</v>
      </c>
      <c r="L5232" s="3"/>
      <c r="M5232" s="3">
        <f t="shared" si="193"/>
        <v>0</v>
      </c>
      <c r="N5232" s="7"/>
      <c r="O5232" s="5"/>
      <c r="S5232" s="11"/>
    </row>
    <row r="5233" spans="1:22" customFormat="1" x14ac:dyDescent="0.45">
      <c r="A5233">
        <v>982592</v>
      </c>
      <c r="B5233" t="s">
        <v>26088</v>
      </c>
      <c r="C5233" t="s">
        <v>16331</v>
      </c>
      <c r="D5233">
        <v>1</v>
      </c>
      <c r="E5233" t="s">
        <v>16331</v>
      </c>
      <c r="F5233" s="126"/>
      <c r="G5233" s="7">
        <v>0</v>
      </c>
      <c r="H5233" s="7">
        <v>0</v>
      </c>
      <c r="I5233" s="7">
        <v>0</v>
      </c>
      <c r="J5233" s="7">
        <v>0</v>
      </c>
      <c r="K5233" s="3">
        <f t="shared" si="192"/>
        <v>0</v>
      </c>
      <c r="L5233" s="3"/>
      <c r="M5233" s="3">
        <f t="shared" si="193"/>
        <v>0</v>
      </c>
      <c r="N5233" s="7"/>
      <c r="O5233" s="5"/>
      <c r="S5233" s="11"/>
    </row>
    <row r="5234" spans="1:22" customFormat="1" x14ac:dyDescent="0.45">
      <c r="A5234">
        <v>983074</v>
      </c>
      <c r="B5234" t="s">
        <v>26089</v>
      </c>
      <c r="C5234" t="s">
        <v>26090</v>
      </c>
      <c r="D5234">
        <v>2</v>
      </c>
      <c r="F5234" s="126"/>
      <c r="K5234" s="3">
        <f t="shared" si="192"/>
        <v>0</v>
      </c>
      <c r="L5234" s="3"/>
      <c r="M5234" s="3">
        <f t="shared" si="193"/>
        <v>0</v>
      </c>
      <c r="O5234" s="5"/>
      <c r="S5234" s="11"/>
    </row>
    <row r="5235" spans="1:22" customFormat="1" x14ac:dyDescent="0.45">
      <c r="A5235">
        <v>983232</v>
      </c>
      <c r="B5235" t="s">
        <v>26091</v>
      </c>
      <c r="C5235" t="s">
        <v>26092</v>
      </c>
      <c r="D5235">
        <v>1</v>
      </c>
      <c r="F5235" s="126"/>
      <c r="G5235" s="7">
        <v>0</v>
      </c>
      <c r="H5235" s="7">
        <v>0</v>
      </c>
      <c r="I5235" s="7">
        <v>0</v>
      </c>
      <c r="J5235" s="7">
        <v>0</v>
      </c>
      <c r="K5235" s="3">
        <f t="shared" si="192"/>
        <v>0</v>
      </c>
      <c r="L5235" s="3"/>
      <c r="M5235" s="3">
        <f t="shared" si="193"/>
        <v>0</v>
      </c>
      <c r="N5235" s="7"/>
      <c r="O5235" s="5"/>
      <c r="S5235" s="11"/>
    </row>
    <row r="5236" spans="1:22" customFormat="1" x14ac:dyDescent="0.45">
      <c r="A5236">
        <v>983307</v>
      </c>
      <c r="B5236" t="s">
        <v>26093</v>
      </c>
      <c r="C5236" t="s">
        <v>26094</v>
      </c>
      <c r="D5236">
        <v>0</v>
      </c>
      <c r="E5236" t="s">
        <v>16561</v>
      </c>
      <c r="F5236" s="126"/>
      <c r="G5236" s="7">
        <v>0</v>
      </c>
      <c r="H5236" s="7">
        <v>0</v>
      </c>
      <c r="I5236" s="7">
        <v>0</v>
      </c>
      <c r="J5236" s="7">
        <v>0</v>
      </c>
      <c r="K5236" s="3">
        <f t="shared" si="192"/>
        <v>0</v>
      </c>
      <c r="L5236" s="3"/>
      <c r="M5236" s="3">
        <f t="shared" si="193"/>
        <v>0</v>
      </c>
      <c r="N5236" s="7"/>
      <c r="O5236" s="5"/>
      <c r="S5236" s="11"/>
    </row>
    <row r="5237" spans="1:22" customFormat="1" x14ac:dyDescent="0.45">
      <c r="A5237">
        <v>983414</v>
      </c>
      <c r="B5237" t="s">
        <v>26095</v>
      </c>
      <c r="C5237" t="s">
        <v>26096</v>
      </c>
      <c r="D5237">
        <v>1</v>
      </c>
      <c r="F5237" s="126"/>
      <c r="G5237" s="3"/>
      <c r="H5237" s="3"/>
      <c r="I5237" s="3"/>
      <c r="J5237" s="3"/>
      <c r="K5237" s="3">
        <f t="shared" si="192"/>
        <v>0</v>
      </c>
      <c r="L5237" s="3"/>
      <c r="M5237" s="3">
        <f t="shared" si="193"/>
        <v>0</v>
      </c>
      <c r="O5237" s="5"/>
      <c r="S5237" s="11"/>
    </row>
    <row r="5238" spans="1:22" customFormat="1" x14ac:dyDescent="0.45">
      <c r="A5238">
        <v>984285</v>
      </c>
      <c r="B5238" t="s">
        <v>26097</v>
      </c>
      <c r="C5238" t="s">
        <v>26098</v>
      </c>
      <c r="D5238">
        <v>1</v>
      </c>
      <c r="F5238" s="126"/>
      <c r="G5238" s="3"/>
      <c r="H5238" s="3"/>
      <c r="I5238" s="3"/>
      <c r="J5238" s="3"/>
      <c r="K5238" s="3">
        <f t="shared" si="192"/>
        <v>0</v>
      </c>
      <c r="L5238" s="3"/>
      <c r="M5238" s="3">
        <f t="shared" si="193"/>
        <v>0</v>
      </c>
      <c r="O5238" s="5"/>
      <c r="S5238" s="11"/>
    </row>
    <row r="5239" spans="1:22" customFormat="1" x14ac:dyDescent="0.45">
      <c r="A5239">
        <v>984287</v>
      </c>
      <c r="B5239" t="s">
        <v>26099</v>
      </c>
      <c r="C5239" t="s">
        <v>26100</v>
      </c>
      <c r="D5239">
        <v>0</v>
      </c>
      <c r="E5239" t="s">
        <v>16334</v>
      </c>
      <c r="F5239" s="126"/>
      <c r="G5239" s="7">
        <v>0</v>
      </c>
      <c r="H5239" s="7">
        <v>0</v>
      </c>
      <c r="I5239" s="7">
        <v>0</v>
      </c>
      <c r="J5239" s="7">
        <v>0</v>
      </c>
      <c r="K5239" s="3">
        <f t="shared" si="192"/>
        <v>0</v>
      </c>
      <c r="L5239" s="3"/>
      <c r="M5239" s="3">
        <f t="shared" si="193"/>
        <v>0</v>
      </c>
      <c r="N5239" s="7"/>
      <c r="O5239" s="5"/>
      <c r="S5239" s="11"/>
    </row>
    <row r="5240" spans="1:22" customFormat="1" x14ac:dyDescent="0.45">
      <c r="A5240">
        <v>984829</v>
      </c>
      <c r="B5240" t="s">
        <v>26101</v>
      </c>
      <c r="C5240" t="s">
        <v>26102</v>
      </c>
      <c r="D5240">
        <v>0</v>
      </c>
      <c r="E5240" t="s">
        <v>16561</v>
      </c>
      <c r="F5240" s="126"/>
      <c r="G5240" s="7">
        <v>0</v>
      </c>
      <c r="H5240" s="3">
        <v>0</v>
      </c>
      <c r="I5240" s="3">
        <v>0</v>
      </c>
      <c r="J5240">
        <v>0</v>
      </c>
      <c r="K5240" s="3">
        <f t="shared" si="192"/>
        <v>0</v>
      </c>
      <c r="L5240" s="3"/>
      <c r="M5240" s="3">
        <f t="shared" si="193"/>
        <v>0</v>
      </c>
      <c r="O5240" s="5"/>
      <c r="S5240" s="11"/>
    </row>
    <row r="5241" spans="1:22" customFormat="1" x14ac:dyDescent="0.45">
      <c r="A5241">
        <v>984831</v>
      </c>
      <c r="B5241" t="s">
        <v>26103</v>
      </c>
      <c r="C5241" t="s">
        <v>26104</v>
      </c>
      <c r="D5241">
        <v>9</v>
      </c>
      <c r="F5241" s="126"/>
      <c r="G5241" s="7">
        <v>0</v>
      </c>
      <c r="H5241" s="7">
        <v>0</v>
      </c>
      <c r="I5241" s="7">
        <v>0</v>
      </c>
      <c r="J5241" s="7">
        <v>0</v>
      </c>
      <c r="K5241" s="3">
        <f t="shared" si="192"/>
        <v>0</v>
      </c>
      <c r="L5241" s="3"/>
      <c r="M5241" s="3">
        <f t="shared" si="193"/>
        <v>0</v>
      </c>
      <c r="N5241" s="7"/>
      <c r="O5241" s="5"/>
      <c r="S5241" s="11"/>
    </row>
    <row r="5242" spans="1:22" customFormat="1" x14ac:dyDescent="0.45">
      <c r="A5242">
        <v>985143</v>
      </c>
      <c r="B5242" t="s">
        <v>26105</v>
      </c>
      <c r="C5242" t="s">
        <v>26106</v>
      </c>
      <c r="D5242">
        <v>3</v>
      </c>
      <c r="F5242" s="126"/>
      <c r="G5242" s="7">
        <v>0</v>
      </c>
      <c r="H5242" s="7">
        <v>0</v>
      </c>
      <c r="I5242" s="7">
        <v>0</v>
      </c>
      <c r="J5242" s="7">
        <v>0</v>
      </c>
      <c r="K5242" s="3">
        <f t="shared" si="192"/>
        <v>0</v>
      </c>
      <c r="L5242" s="3"/>
      <c r="M5242" s="3">
        <f t="shared" si="193"/>
        <v>0</v>
      </c>
      <c r="O5242" s="5"/>
      <c r="S5242" s="11"/>
    </row>
    <row r="5243" spans="1:22" x14ac:dyDescent="0.45">
      <c r="A5243" s="124">
        <v>741019</v>
      </c>
      <c r="B5243" s="124" t="s">
        <v>26107</v>
      </c>
      <c r="C5243" s="125" t="s">
        <v>26108</v>
      </c>
      <c r="D5243" s="124">
        <v>1</v>
      </c>
      <c r="E5243" s="124" t="s">
        <v>16334</v>
      </c>
      <c r="F5243" s="126">
        <v>1.6999999999999999E-3</v>
      </c>
      <c r="G5243" s="126">
        <f>(895/100000)+1%</f>
        <v>1.8950000000000002E-2</v>
      </c>
      <c r="H5243" s="126">
        <v>7.4999999999999997E-3</v>
      </c>
      <c r="I5243" s="127">
        <v>0</v>
      </c>
      <c r="J5243" s="127">
        <v>0</v>
      </c>
      <c r="K5243" s="126">
        <f t="shared" si="192"/>
        <v>2.6450000000000001E-2</v>
      </c>
      <c r="L5243" s="3"/>
      <c r="M5243" s="126">
        <f t="shared" si="193"/>
        <v>2.8150000000000001E-2</v>
      </c>
      <c r="N5243" s="124" t="s">
        <v>26109</v>
      </c>
      <c r="O5243" s="131" t="s">
        <v>26110</v>
      </c>
      <c r="P5243" s="128" t="s">
        <v>26918</v>
      </c>
      <c r="Q5243" s="130">
        <f>S5243+58539</f>
        <v>200060</v>
      </c>
      <c r="R5243" s="124" t="s">
        <v>16348</v>
      </c>
      <c r="S5243" s="133">
        <v>141521</v>
      </c>
      <c r="T5243" s="129">
        <f>S5243/Q5243</f>
        <v>0.7073927821653504</v>
      </c>
      <c r="V5243" s="125" t="s">
        <v>26111</v>
      </c>
    </row>
    <row r="5244" spans="1:22" customFormat="1" x14ac:dyDescent="0.45">
      <c r="A5244">
        <v>985840</v>
      </c>
      <c r="B5244" t="s">
        <v>26112</v>
      </c>
      <c r="C5244" t="s">
        <v>26113</v>
      </c>
      <c r="D5244">
        <v>2</v>
      </c>
      <c r="F5244" s="126"/>
      <c r="G5244" s="7">
        <v>0</v>
      </c>
      <c r="H5244" s="7">
        <v>0</v>
      </c>
      <c r="I5244" s="7">
        <v>0</v>
      </c>
      <c r="J5244" s="7">
        <v>0</v>
      </c>
      <c r="K5244" s="3">
        <f t="shared" si="192"/>
        <v>0</v>
      </c>
      <c r="L5244" s="3"/>
      <c r="M5244" s="3">
        <f t="shared" si="193"/>
        <v>0</v>
      </c>
      <c r="N5244" s="7"/>
      <c r="O5244" s="5"/>
      <c r="S5244" s="11"/>
    </row>
    <row r="5245" spans="1:22" customFormat="1" x14ac:dyDescent="0.45">
      <c r="A5245">
        <v>987175</v>
      </c>
      <c r="B5245" t="s">
        <v>26114</v>
      </c>
      <c r="C5245" t="s">
        <v>26115</v>
      </c>
      <c r="D5245">
        <v>1</v>
      </c>
      <c r="F5245" s="126"/>
      <c r="G5245" s="7">
        <v>0</v>
      </c>
      <c r="H5245" s="7">
        <v>0</v>
      </c>
      <c r="I5245" s="7">
        <v>0</v>
      </c>
      <c r="J5245" s="7">
        <v>0</v>
      </c>
      <c r="K5245" s="3">
        <f t="shared" si="192"/>
        <v>0</v>
      </c>
      <c r="L5245" s="3"/>
      <c r="M5245" s="3">
        <f t="shared" si="193"/>
        <v>0</v>
      </c>
      <c r="O5245" s="5"/>
      <c r="S5245" s="11"/>
    </row>
    <row r="5246" spans="1:22" customFormat="1" x14ac:dyDescent="0.45">
      <c r="A5246">
        <v>987190</v>
      </c>
      <c r="B5246" t="s">
        <v>26116</v>
      </c>
      <c r="C5246" s="21" t="s">
        <v>26117</v>
      </c>
      <c r="D5246">
        <v>1</v>
      </c>
      <c r="F5246" s="126"/>
      <c r="G5246" s="7">
        <v>0</v>
      </c>
      <c r="H5246" s="7">
        <v>0</v>
      </c>
      <c r="I5246" s="7">
        <v>0</v>
      </c>
      <c r="J5246" s="7">
        <v>0</v>
      </c>
      <c r="K5246" s="3">
        <f t="shared" si="192"/>
        <v>0</v>
      </c>
      <c r="L5246" s="3"/>
      <c r="M5246" s="3">
        <f t="shared" si="193"/>
        <v>0</v>
      </c>
      <c r="N5246" s="7"/>
      <c r="O5246" s="5"/>
      <c r="S5246" s="11"/>
    </row>
    <row r="5247" spans="1:22" customFormat="1" x14ac:dyDescent="0.45">
      <c r="A5247">
        <v>987228</v>
      </c>
      <c r="B5247" t="s">
        <v>26118</v>
      </c>
      <c r="C5247" t="s">
        <v>26119</v>
      </c>
      <c r="D5247">
        <v>2</v>
      </c>
      <c r="F5247" s="126"/>
      <c r="G5247" s="7">
        <v>0</v>
      </c>
      <c r="H5247" s="7">
        <v>0</v>
      </c>
      <c r="I5247" s="7">
        <v>0</v>
      </c>
      <c r="J5247" s="7">
        <v>0</v>
      </c>
      <c r="K5247" s="3">
        <f t="shared" si="192"/>
        <v>0</v>
      </c>
      <c r="L5247" s="3"/>
      <c r="M5247" s="3">
        <f t="shared" si="193"/>
        <v>0</v>
      </c>
      <c r="N5247" s="7"/>
      <c r="O5247" s="5"/>
      <c r="S5247" s="11"/>
    </row>
    <row r="5248" spans="1:22" x14ac:dyDescent="0.45">
      <c r="A5248" s="124">
        <v>232088</v>
      </c>
      <c r="B5248" s="124" t="s">
        <v>26120</v>
      </c>
      <c r="C5248" s="124" t="s">
        <v>26121</v>
      </c>
      <c r="D5248" s="124">
        <v>5</v>
      </c>
      <c r="E5248" s="124" t="s">
        <v>16334</v>
      </c>
      <c r="F5248" s="126">
        <v>1.6999999999999999E-3</v>
      </c>
      <c r="G5248" s="126">
        <v>3.5000000000000003E-2</v>
      </c>
      <c r="I5248" s="127">
        <v>0</v>
      </c>
      <c r="J5248" s="127"/>
      <c r="K5248" s="126">
        <f t="shared" si="192"/>
        <v>3.5000000000000003E-2</v>
      </c>
      <c r="L5248" s="3"/>
      <c r="M5248" s="126">
        <f t="shared" si="193"/>
        <v>3.6700000000000003E-2</v>
      </c>
      <c r="N5248" s="125"/>
      <c r="O5248" s="125" t="s">
        <v>26122</v>
      </c>
      <c r="P5248" s="128" t="s">
        <v>26918</v>
      </c>
      <c r="Q5248" s="130">
        <f>31618+1313940</f>
        <v>1345558</v>
      </c>
      <c r="R5248" s="124" t="s">
        <v>16348</v>
      </c>
      <c r="S5248" s="130">
        <v>1075127</v>
      </c>
      <c r="T5248" s="129">
        <f>S5248/Q5248</f>
        <v>0.79901944026195826</v>
      </c>
      <c r="V5248" s="125" t="s">
        <v>26123</v>
      </c>
    </row>
    <row r="5249" spans="1:22" customFormat="1" x14ac:dyDescent="0.45">
      <c r="A5249">
        <v>987299</v>
      </c>
      <c r="B5249" t="s">
        <v>26124</v>
      </c>
      <c r="C5249" t="s">
        <v>26125</v>
      </c>
      <c r="D5249">
        <v>1</v>
      </c>
      <c r="F5249" s="126"/>
      <c r="G5249" s="3">
        <v>0</v>
      </c>
      <c r="H5249" s="3">
        <v>0</v>
      </c>
      <c r="I5249" s="3">
        <v>0</v>
      </c>
      <c r="J5249" s="3">
        <v>0</v>
      </c>
      <c r="K5249" s="3">
        <f t="shared" si="192"/>
        <v>0</v>
      </c>
      <c r="L5249" s="3"/>
      <c r="M5249" s="3">
        <f t="shared" si="193"/>
        <v>0</v>
      </c>
      <c r="O5249" s="5"/>
      <c r="S5249" s="11"/>
    </row>
    <row r="5250" spans="1:22" customFormat="1" x14ac:dyDescent="0.45">
      <c r="A5250">
        <v>987842</v>
      </c>
      <c r="B5250" t="s">
        <v>26126</v>
      </c>
      <c r="C5250" t="s">
        <v>26127</v>
      </c>
      <c r="D5250">
        <v>6</v>
      </c>
      <c r="F5250" s="126"/>
      <c r="G5250" s="7">
        <v>0</v>
      </c>
      <c r="H5250" s="7">
        <v>0</v>
      </c>
      <c r="I5250" s="7">
        <v>0</v>
      </c>
      <c r="J5250" s="7">
        <v>0</v>
      </c>
      <c r="K5250" s="3">
        <f t="shared" si="192"/>
        <v>0</v>
      </c>
      <c r="L5250" s="3"/>
      <c r="M5250" s="3">
        <f t="shared" si="193"/>
        <v>0</v>
      </c>
      <c r="O5250" s="5"/>
      <c r="S5250" s="11"/>
    </row>
    <row r="5251" spans="1:22" customFormat="1" x14ac:dyDescent="0.45">
      <c r="A5251">
        <v>987892</v>
      </c>
      <c r="B5251" t="s">
        <v>26128</v>
      </c>
      <c r="C5251" t="s">
        <v>26129</v>
      </c>
      <c r="D5251">
        <v>1</v>
      </c>
      <c r="F5251" s="126"/>
      <c r="G5251" s="7">
        <v>0</v>
      </c>
      <c r="H5251" s="7">
        <v>0</v>
      </c>
      <c r="I5251" s="7">
        <v>0</v>
      </c>
      <c r="J5251" s="7">
        <v>0</v>
      </c>
      <c r="K5251" s="3">
        <f t="shared" si="192"/>
        <v>0</v>
      </c>
      <c r="L5251" s="3"/>
      <c r="M5251" s="3">
        <f t="shared" si="193"/>
        <v>0</v>
      </c>
      <c r="O5251" s="5"/>
      <c r="S5251" s="11"/>
    </row>
    <row r="5252" spans="1:22" customFormat="1" x14ac:dyDescent="0.45">
      <c r="A5252">
        <v>987996</v>
      </c>
      <c r="B5252" t="s">
        <v>26130</v>
      </c>
      <c r="C5252" t="s">
        <v>26131</v>
      </c>
      <c r="D5252">
        <v>1</v>
      </c>
      <c r="F5252" s="126"/>
      <c r="G5252" s="7">
        <v>0</v>
      </c>
      <c r="H5252" s="7">
        <v>0</v>
      </c>
      <c r="I5252" s="7">
        <v>0</v>
      </c>
      <c r="J5252" s="7">
        <v>0</v>
      </c>
      <c r="K5252" s="3">
        <f t="shared" si="192"/>
        <v>0</v>
      </c>
      <c r="L5252" s="3"/>
      <c r="M5252" s="3">
        <f t="shared" si="193"/>
        <v>0</v>
      </c>
      <c r="O5252" s="5"/>
      <c r="S5252" s="11"/>
    </row>
    <row r="5253" spans="1:22" customFormat="1" x14ac:dyDescent="0.45">
      <c r="A5253">
        <v>988218</v>
      </c>
      <c r="B5253" t="s">
        <v>26132</v>
      </c>
      <c r="C5253" t="s">
        <v>26133</v>
      </c>
      <c r="D5253">
        <v>1</v>
      </c>
      <c r="F5253" s="126"/>
      <c r="G5253" s="3"/>
      <c r="H5253" s="3"/>
      <c r="I5253" s="3"/>
      <c r="J5253" s="3"/>
      <c r="K5253" s="3">
        <f t="shared" si="192"/>
        <v>0</v>
      </c>
      <c r="L5253" s="3"/>
      <c r="M5253" s="3">
        <f t="shared" si="193"/>
        <v>0</v>
      </c>
      <c r="O5253" s="5"/>
      <c r="S5253" s="11"/>
    </row>
    <row r="5254" spans="1:22" customFormat="1" x14ac:dyDescent="0.45">
      <c r="A5254">
        <v>988707</v>
      </c>
      <c r="B5254" t="s">
        <v>26134</v>
      </c>
      <c r="C5254" t="s">
        <v>26135</v>
      </c>
      <c r="D5254">
        <v>1</v>
      </c>
      <c r="F5254" s="126"/>
      <c r="G5254" s="7">
        <v>0</v>
      </c>
      <c r="H5254" s="7">
        <v>0</v>
      </c>
      <c r="I5254" s="7">
        <v>0</v>
      </c>
      <c r="J5254" s="7">
        <v>0</v>
      </c>
      <c r="K5254" s="3">
        <f t="shared" si="192"/>
        <v>0</v>
      </c>
      <c r="L5254" s="3"/>
      <c r="M5254" s="3">
        <f t="shared" si="193"/>
        <v>0</v>
      </c>
      <c r="N5254" s="7"/>
      <c r="O5254" s="5" t="s">
        <v>17075</v>
      </c>
      <c r="S5254" s="11"/>
    </row>
    <row r="5255" spans="1:22" customFormat="1" x14ac:dyDescent="0.45">
      <c r="A5255">
        <v>989627</v>
      </c>
      <c r="B5255" t="s">
        <v>26136</v>
      </c>
      <c r="C5255" t="s">
        <v>26137</v>
      </c>
      <c r="D5255">
        <v>1</v>
      </c>
      <c r="F5255" s="126"/>
      <c r="G5255" s="7">
        <v>0</v>
      </c>
      <c r="H5255" s="7">
        <v>0</v>
      </c>
      <c r="I5255" s="7">
        <v>0</v>
      </c>
      <c r="J5255" s="7">
        <v>0</v>
      </c>
      <c r="K5255" s="3">
        <f t="shared" si="192"/>
        <v>0</v>
      </c>
      <c r="L5255" s="3"/>
      <c r="M5255" s="3">
        <f t="shared" si="193"/>
        <v>0</v>
      </c>
      <c r="N5255" s="7"/>
      <c r="O5255" s="5"/>
      <c r="S5255" s="11"/>
    </row>
    <row r="5256" spans="1:22" customFormat="1" x14ac:dyDescent="0.45">
      <c r="A5256">
        <v>989644</v>
      </c>
      <c r="B5256" t="s">
        <v>26138</v>
      </c>
      <c r="C5256" t="s">
        <v>26139</v>
      </c>
      <c r="D5256">
        <v>2</v>
      </c>
      <c r="F5256" s="126"/>
      <c r="G5256" s="7">
        <v>0</v>
      </c>
      <c r="H5256" s="7">
        <v>0</v>
      </c>
      <c r="I5256" s="7">
        <v>0</v>
      </c>
      <c r="J5256" s="7">
        <v>0</v>
      </c>
      <c r="K5256" s="3">
        <f t="shared" si="192"/>
        <v>0</v>
      </c>
      <c r="L5256" s="3"/>
      <c r="M5256" s="3">
        <f t="shared" si="193"/>
        <v>0</v>
      </c>
      <c r="O5256" s="5"/>
      <c r="S5256" s="11"/>
    </row>
    <row r="5257" spans="1:22" customFormat="1" x14ac:dyDescent="0.45">
      <c r="A5257">
        <v>990075</v>
      </c>
      <c r="B5257" t="s">
        <v>26140</v>
      </c>
      <c r="C5257" t="s">
        <v>26141</v>
      </c>
      <c r="D5257">
        <v>1</v>
      </c>
      <c r="F5257" s="126"/>
      <c r="G5257" s="3">
        <v>0</v>
      </c>
      <c r="H5257" s="3">
        <v>0</v>
      </c>
      <c r="I5257" s="3">
        <v>0</v>
      </c>
      <c r="J5257" s="3">
        <v>0</v>
      </c>
      <c r="K5257" s="3">
        <f t="shared" si="192"/>
        <v>0</v>
      </c>
      <c r="L5257" s="3"/>
      <c r="M5257" s="3">
        <f t="shared" si="193"/>
        <v>0</v>
      </c>
      <c r="O5257" s="5"/>
      <c r="S5257" s="11"/>
    </row>
    <row r="5258" spans="1:22" customFormat="1" x14ac:dyDescent="0.45">
      <c r="A5258">
        <v>990457</v>
      </c>
      <c r="B5258" t="s">
        <v>26142</v>
      </c>
      <c r="C5258" t="s">
        <v>26143</v>
      </c>
      <c r="D5258">
        <v>1</v>
      </c>
      <c r="F5258" s="126"/>
      <c r="G5258" s="7">
        <v>0</v>
      </c>
      <c r="H5258" s="7">
        <v>0</v>
      </c>
      <c r="I5258" s="7">
        <v>0</v>
      </c>
      <c r="J5258" s="7">
        <v>0</v>
      </c>
      <c r="K5258" s="3">
        <f t="shared" si="192"/>
        <v>0</v>
      </c>
      <c r="L5258" s="3"/>
      <c r="M5258" s="3">
        <f t="shared" si="193"/>
        <v>0</v>
      </c>
      <c r="O5258" s="5"/>
      <c r="S5258" s="11"/>
    </row>
    <row r="5259" spans="1:22" x14ac:dyDescent="0.45">
      <c r="A5259" s="124">
        <v>580185</v>
      </c>
      <c r="B5259" s="124" t="s">
        <v>26144</v>
      </c>
      <c r="C5259" s="124" t="s">
        <v>26145</v>
      </c>
      <c r="D5259" s="124">
        <v>11</v>
      </c>
      <c r="E5259" s="124" t="s">
        <v>16334</v>
      </c>
      <c r="F5259" s="126">
        <v>1.6999999999999999E-3</v>
      </c>
      <c r="G5259" s="126">
        <v>0.01</v>
      </c>
      <c r="H5259" s="126">
        <v>1.4E-2</v>
      </c>
      <c r="I5259" s="127"/>
      <c r="J5259" s="127"/>
      <c r="K5259" s="126">
        <f t="shared" si="192"/>
        <v>2.4E-2</v>
      </c>
      <c r="L5259" s="9"/>
      <c r="M5259" s="126">
        <f t="shared" si="193"/>
        <v>2.5700000000000001E-2</v>
      </c>
      <c r="O5259" s="125" t="s">
        <v>26146</v>
      </c>
      <c r="P5259" s="128" t="s">
        <v>26918</v>
      </c>
      <c r="Q5259" s="130">
        <v>704780</v>
      </c>
      <c r="R5259" s="130" t="s">
        <v>16348</v>
      </c>
      <c r="S5259" s="130">
        <v>676921</v>
      </c>
      <c r="T5259" s="129">
        <f>S5259/Q5259</f>
        <v>0.96047135276256423</v>
      </c>
      <c r="U5259" s="130"/>
      <c r="V5259" s="125" t="s">
        <v>26147</v>
      </c>
    </row>
    <row r="5260" spans="1:22" customFormat="1" x14ac:dyDescent="0.45">
      <c r="A5260">
        <v>990759</v>
      </c>
      <c r="B5260" t="s">
        <v>26148</v>
      </c>
      <c r="C5260" t="s">
        <v>26149</v>
      </c>
      <c r="D5260">
        <v>1</v>
      </c>
      <c r="F5260" s="126"/>
      <c r="G5260" s="7">
        <v>0</v>
      </c>
      <c r="H5260" s="7">
        <v>0</v>
      </c>
      <c r="I5260" s="7">
        <v>0</v>
      </c>
      <c r="J5260" s="7">
        <v>0</v>
      </c>
      <c r="K5260" s="3">
        <f t="shared" si="192"/>
        <v>0</v>
      </c>
      <c r="L5260" s="3"/>
      <c r="M5260" s="3">
        <f t="shared" si="193"/>
        <v>0</v>
      </c>
      <c r="N5260" s="7"/>
      <c r="O5260" s="5"/>
      <c r="S5260" s="11"/>
    </row>
    <row r="5261" spans="1:22" customFormat="1" x14ac:dyDescent="0.45">
      <c r="A5261">
        <v>991182</v>
      </c>
      <c r="B5261" t="s">
        <v>26150</v>
      </c>
      <c r="C5261" t="s">
        <v>26151</v>
      </c>
      <c r="D5261">
        <v>1</v>
      </c>
      <c r="F5261" s="126"/>
      <c r="G5261" s="3"/>
      <c r="H5261" s="3"/>
      <c r="I5261" s="3"/>
      <c r="J5261" s="3"/>
      <c r="K5261" s="3">
        <f t="shared" si="192"/>
        <v>0</v>
      </c>
      <c r="L5261" s="3"/>
      <c r="M5261" s="3">
        <f t="shared" si="193"/>
        <v>0</v>
      </c>
      <c r="O5261" s="5"/>
      <c r="S5261" s="11"/>
    </row>
    <row r="5262" spans="1:22" customFormat="1" x14ac:dyDescent="0.45">
      <c r="A5262">
        <v>992297</v>
      </c>
      <c r="B5262" t="s">
        <v>26152</v>
      </c>
      <c r="C5262" t="s">
        <v>26153</v>
      </c>
      <c r="D5262">
        <v>3</v>
      </c>
      <c r="F5262" s="126"/>
      <c r="G5262" s="7">
        <v>0</v>
      </c>
      <c r="H5262" s="7">
        <v>0</v>
      </c>
      <c r="I5262" s="7">
        <v>0</v>
      </c>
      <c r="J5262" s="7">
        <v>0</v>
      </c>
      <c r="K5262" s="3">
        <f t="shared" si="192"/>
        <v>0</v>
      </c>
      <c r="L5262" s="3"/>
      <c r="M5262" s="3">
        <f t="shared" si="193"/>
        <v>0</v>
      </c>
      <c r="N5262" s="7"/>
      <c r="O5262" s="5"/>
      <c r="S5262" s="11"/>
    </row>
    <row r="5263" spans="1:22" customFormat="1" x14ac:dyDescent="0.45">
      <c r="A5263">
        <v>992520</v>
      </c>
      <c r="B5263" t="s">
        <v>26154</v>
      </c>
      <c r="C5263" t="s">
        <v>26155</v>
      </c>
      <c r="D5263">
        <v>2</v>
      </c>
      <c r="F5263" s="126"/>
      <c r="G5263" s="7">
        <v>0</v>
      </c>
      <c r="H5263" s="7">
        <v>0</v>
      </c>
      <c r="I5263" s="7">
        <v>0</v>
      </c>
      <c r="J5263" s="7">
        <v>0</v>
      </c>
      <c r="K5263" s="3">
        <f t="shared" si="192"/>
        <v>0</v>
      </c>
      <c r="L5263" s="3"/>
      <c r="M5263" s="3">
        <f t="shared" si="193"/>
        <v>0</v>
      </c>
      <c r="N5263" s="7"/>
      <c r="O5263" s="5"/>
      <c r="S5263" s="11"/>
    </row>
    <row r="5264" spans="1:22" x14ac:dyDescent="0.45">
      <c r="A5264" s="124">
        <v>775068</v>
      </c>
      <c r="B5264" s="124" t="s">
        <v>26156</v>
      </c>
      <c r="C5264" s="124" t="s">
        <v>26145</v>
      </c>
      <c r="D5264" s="124">
        <v>26</v>
      </c>
      <c r="E5264" s="124" t="s">
        <v>16334</v>
      </c>
      <c r="F5264" s="126">
        <v>1.6999999999999999E-3</v>
      </c>
      <c r="G5264" s="126">
        <v>0.01</v>
      </c>
      <c r="H5264" s="126">
        <v>1.4E-2</v>
      </c>
      <c r="I5264" s="127"/>
      <c r="J5264" s="127"/>
      <c r="K5264" s="126">
        <f t="shared" si="192"/>
        <v>2.4E-2</v>
      </c>
      <c r="L5264" s="3"/>
      <c r="M5264" s="126">
        <f t="shared" si="193"/>
        <v>2.5700000000000001E-2</v>
      </c>
      <c r="N5264" s="125"/>
      <c r="O5264" s="125" t="s">
        <v>26146</v>
      </c>
      <c r="P5264" s="128" t="s">
        <v>26918</v>
      </c>
      <c r="Q5264" s="124">
        <f>704780+11419</f>
        <v>716199</v>
      </c>
      <c r="R5264" s="124" t="s">
        <v>16348</v>
      </c>
      <c r="S5264" s="130">
        <v>690245</v>
      </c>
      <c r="T5264" s="129">
        <f>S5264/Q5264</f>
        <v>0.96376146853039446</v>
      </c>
      <c r="V5264" s="125" t="s">
        <v>26157</v>
      </c>
    </row>
    <row r="5265" spans="1:24" customFormat="1" x14ac:dyDescent="0.45">
      <c r="A5265">
        <v>993281</v>
      </c>
      <c r="B5265" t="s">
        <v>26158</v>
      </c>
      <c r="C5265" t="s">
        <v>26159</v>
      </c>
      <c r="D5265">
        <v>0</v>
      </c>
      <c r="E5265" t="s">
        <v>16561</v>
      </c>
      <c r="F5265" s="126"/>
      <c r="G5265" s="7">
        <v>0</v>
      </c>
      <c r="H5265" s="7">
        <v>0</v>
      </c>
      <c r="I5265" s="7">
        <v>0</v>
      </c>
      <c r="J5265" s="7">
        <v>0</v>
      </c>
      <c r="K5265" s="3">
        <f t="shared" si="192"/>
        <v>0</v>
      </c>
      <c r="L5265" s="3"/>
      <c r="M5265" s="3">
        <f t="shared" si="193"/>
        <v>0</v>
      </c>
      <c r="N5265" s="7"/>
      <c r="O5265" s="5"/>
      <c r="S5265" s="11"/>
    </row>
    <row r="5266" spans="1:24" customFormat="1" x14ac:dyDescent="0.45">
      <c r="A5266">
        <v>993733</v>
      </c>
      <c r="B5266" t="s">
        <v>26160</v>
      </c>
      <c r="C5266" t="s">
        <v>26161</v>
      </c>
      <c r="D5266">
        <v>1</v>
      </c>
      <c r="F5266" s="126"/>
      <c r="G5266" s="7">
        <v>0</v>
      </c>
      <c r="H5266" s="7">
        <v>0</v>
      </c>
      <c r="I5266" s="7">
        <v>0</v>
      </c>
      <c r="J5266" s="7">
        <v>0</v>
      </c>
      <c r="K5266" s="3">
        <f t="shared" si="192"/>
        <v>0</v>
      </c>
      <c r="L5266" s="3"/>
      <c r="M5266" s="3">
        <f t="shared" si="193"/>
        <v>0</v>
      </c>
      <c r="N5266" s="7"/>
      <c r="O5266" s="5"/>
      <c r="S5266" s="11"/>
    </row>
    <row r="5267" spans="1:24" customFormat="1" x14ac:dyDescent="0.45">
      <c r="A5267">
        <v>993978</v>
      </c>
      <c r="B5267" t="s">
        <v>26162</v>
      </c>
      <c r="C5267" t="s">
        <v>16331</v>
      </c>
      <c r="D5267">
        <v>1</v>
      </c>
      <c r="E5267" t="s">
        <v>16331</v>
      </c>
      <c r="F5267" s="126"/>
      <c r="G5267" s="7">
        <v>0</v>
      </c>
      <c r="H5267" s="7">
        <v>0</v>
      </c>
      <c r="I5267" s="7">
        <v>0</v>
      </c>
      <c r="J5267" s="7">
        <v>0</v>
      </c>
      <c r="K5267" s="3">
        <f t="shared" si="192"/>
        <v>0</v>
      </c>
      <c r="L5267" s="3"/>
      <c r="M5267" s="3">
        <f t="shared" si="193"/>
        <v>0</v>
      </c>
      <c r="O5267" s="5"/>
      <c r="S5267" s="11"/>
    </row>
    <row r="5268" spans="1:24" customFormat="1" x14ac:dyDescent="0.45">
      <c r="A5268">
        <v>994212</v>
      </c>
      <c r="B5268" t="s">
        <v>26163</v>
      </c>
      <c r="C5268" t="s">
        <v>26164</v>
      </c>
      <c r="D5268">
        <v>4</v>
      </c>
      <c r="F5268" s="126"/>
      <c r="G5268" s="7">
        <v>0</v>
      </c>
      <c r="H5268" s="7">
        <v>0</v>
      </c>
      <c r="I5268" s="7">
        <v>0</v>
      </c>
      <c r="J5268" s="7">
        <v>0</v>
      </c>
      <c r="K5268" s="3">
        <f t="shared" si="192"/>
        <v>0</v>
      </c>
      <c r="L5268" s="3"/>
      <c r="M5268" s="3">
        <f t="shared" si="193"/>
        <v>0</v>
      </c>
      <c r="N5268" s="7"/>
      <c r="O5268" s="5"/>
      <c r="S5268" s="11"/>
    </row>
    <row r="5269" spans="1:24" customFormat="1" x14ac:dyDescent="0.45">
      <c r="A5269">
        <v>994538</v>
      </c>
      <c r="B5269" t="s">
        <v>26165</v>
      </c>
      <c r="C5269" t="s">
        <v>26166</v>
      </c>
      <c r="D5269">
        <v>2</v>
      </c>
      <c r="F5269" s="126"/>
      <c r="G5269" s="3"/>
      <c r="H5269" s="3"/>
      <c r="I5269" s="3"/>
      <c r="J5269" s="3"/>
      <c r="K5269" s="3">
        <f t="shared" si="192"/>
        <v>0</v>
      </c>
      <c r="L5269" s="3"/>
      <c r="M5269" s="3">
        <f t="shared" si="193"/>
        <v>0</v>
      </c>
      <c r="O5269" s="5"/>
      <c r="S5269" s="11"/>
    </row>
    <row r="5270" spans="1:24" customFormat="1" x14ac:dyDescent="0.45">
      <c r="A5270">
        <v>994563</v>
      </c>
      <c r="B5270" t="s">
        <v>26167</v>
      </c>
      <c r="C5270" t="s">
        <v>26168</v>
      </c>
      <c r="D5270">
        <v>3</v>
      </c>
      <c r="F5270" s="126"/>
      <c r="G5270" s="3">
        <v>0</v>
      </c>
      <c r="H5270" s="3">
        <v>0</v>
      </c>
      <c r="I5270" s="3">
        <v>0</v>
      </c>
      <c r="J5270" s="3">
        <v>0</v>
      </c>
      <c r="K5270" s="3">
        <f t="shared" si="192"/>
        <v>0</v>
      </c>
      <c r="L5270" s="3"/>
      <c r="M5270" s="3">
        <f t="shared" si="193"/>
        <v>0</v>
      </c>
      <c r="O5270" s="5"/>
      <c r="S5270" s="11"/>
    </row>
    <row r="5271" spans="1:24" customFormat="1" x14ac:dyDescent="0.45">
      <c r="A5271">
        <v>995000</v>
      </c>
      <c r="B5271" t="s">
        <v>26169</v>
      </c>
      <c r="C5271" t="s">
        <v>26170</v>
      </c>
      <c r="D5271">
        <v>1</v>
      </c>
      <c r="F5271" s="126"/>
      <c r="G5271" s="3">
        <v>0</v>
      </c>
      <c r="H5271" s="3">
        <v>0</v>
      </c>
      <c r="I5271" s="3">
        <v>0</v>
      </c>
      <c r="J5271" s="3">
        <v>0</v>
      </c>
      <c r="K5271" s="3">
        <f t="shared" si="192"/>
        <v>0</v>
      </c>
      <c r="L5271" s="3"/>
      <c r="M5271" s="3">
        <f t="shared" si="193"/>
        <v>0</v>
      </c>
      <c r="O5271" s="5"/>
      <c r="S5271" s="11"/>
    </row>
    <row r="5272" spans="1:24" customFormat="1" x14ac:dyDescent="0.45">
      <c r="A5272">
        <v>995133</v>
      </c>
      <c r="B5272" t="s">
        <v>26171</v>
      </c>
      <c r="C5272" t="s">
        <v>26172</v>
      </c>
      <c r="D5272">
        <v>1</v>
      </c>
      <c r="F5272" s="126"/>
      <c r="G5272" s="7">
        <v>0</v>
      </c>
      <c r="H5272" s="7">
        <v>0</v>
      </c>
      <c r="I5272" s="7">
        <v>0</v>
      </c>
      <c r="J5272" s="7">
        <v>0</v>
      </c>
      <c r="K5272" s="3">
        <f t="shared" si="192"/>
        <v>0</v>
      </c>
      <c r="L5272" s="3"/>
      <c r="M5272" s="3">
        <f t="shared" si="193"/>
        <v>0</v>
      </c>
      <c r="O5272" s="5"/>
      <c r="S5272" s="11"/>
    </row>
    <row r="5273" spans="1:24" customFormat="1" x14ac:dyDescent="0.45">
      <c r="A5273">
        <v>995291</v>
      </c>
      <c r="B5273" t="s">
        <v>26173</v>
      </c>
      <c r="C5273" t="s">
        <v>26174</v>
      </c>
      <c r="D5273">
        <v>1</v>
      </c>
      <c r="E5273" t="s">
        <v>16334</v>
      </c>
      <c r="F5273" s="126"/>
      <c r="G5273" s="3"/>
      <c r="H5273" s="3"/>
      <c r="I5273" s="3"/>
      <c r="J5273" s="3"/>
      <c r="K5273" s="3">
        <f t="shared" si="192"/>
        <v>0</v>
      </c>
      <c r="L5273" s="3"/>
      <c r="M5273" s="3">
        <f t="shared" si="193"/>
        <v>0</v>
      </c>
      <c r="O5273" s="5"/>
      <c r="S5273" s="11"/>
    </row>
    <row r="5274" spans="1:24" customFormat="1" x14ac:dyDescent="0.45">
      <c r="A5274">
        <v>995869</v>
      </c>
      <c r="B5274" t="s">
        <v>26175</v>
      </c>
      <c r="C5274" t="s">
        <v>26176</v>
      </c>
      <c r="D5274">
        <v>3</v>
      </c>
      <c r="F5274" s="126"/>
      <c r="G5274" s="7">
        <v>0</v>
      </c>
      <c r="H5274" s="7">
        <v>0</v>
      </c>
      <c r="I5274" s="7">
        <v>0</v>
      </c>
      <c r="J5274" s="7">
        <v>0</v>
      </c>
      <c r="K5274" s="3">
        <f t="shared" si="192"/>
        <v>0</v>
      </c>
      <c r="L5274" s="3"/>
      <c r="M5274" s="3">
        <f t="shared" si="193"/>
        <v>0</v>
      </c>
      <c r="O5274" s="5"/>
      <c r="S5274" s="11"/>
    </row>
    <row r="5275" spans="1:24" customFormat="1" x14ac:dyDescent="0.45">
      <c r="A5275">
        <v>996181</v>
      </c>
      <c r="B5275" t="s">
        <v>26177</v>
      </c>
      <c r="C5275" t="s">
        <v>26178</v>
      </c>
      <c r="D5275">
        <v>1</v>
      </c>
      <c r="F5275" s="126"/>
      <c r="G5275" s="7">
        <v>0</v>
      </c>
      <c r="H5275" s="7">
        <v>0</v>
      </c>
      <c r="I5275" s="7">
        <v>0</v>
      </c>
      <c r="J5275" s="7">
        <v>0</v>
      </c>
      <c r="K5275" s="3">
        <f t="shared" si="192"/>
        <v>0</v>
      </c>
      <c r="L5275" s="3"/>
      <c r="M5275" s="3">
        <f t="shared" si="193"/>
        <v>0</v>
      </c>
      <c r="N5275" s="7"/>
      <c r="O5275" s="5"/>
      <c r="S5275" s="11"/>
    </row>
    <row r="5276" spans="1:24" customFormat="1" x14ac:dyDescent="0.45">
      <c r="A5276">
        <v>996981</v>
      </c>
      <c r="B5276" t="s">
        <v>26179</v>
      </c>
      <c r="C5276" t="s">
        <v>26180</v>
      </c>
      <c r="D5276">
        <v>4</v>
      </c>
      <c r="F5276" s="126"/>
      <c r="G5276" s="3"/>
      <c r="H5276" s="3"/>
      <c r="I5276" s="3"/>
      <c r="J5276" s="3"/>
      <c r="K5276" s="3">
        <f t="shared" si="192"/>
        <v>0</v>
      </c>
      <c r="L5276" s="3"/>
      <c r="M5276" s="3">
        <f t="shared" si="193"/>
        <v>0</v>
      </c>
      <c r="O5276" s="5"/>
      <c r="S5276" s="11"/>
    </row>
    <row r="5277" spans="1:24" customFormat="1" x14ac:dyDescent="0.45">
      <c r="A5277">
        <v>997314</v>
      </c>
      <c r="B5277" t="s">
        <v>26181</v>
      </c>
      <c r="C5277" t="s">
        <v>16331</v>
      </c>
      <c r="D5277">
        <v>1</v>
      </c>
      <c r="E5277" t="s">
        <v>16331</v>
      </c>
      <c r="F5277" s="126"/>
      <c r="G5277" s="7">
        <v>0</v>
      </c>
      <c r="H5277" s="7">
        <v>0</v>
      </c>
      <c r="I5277" s="7">
        <v>0</v>
      </c>
      <c r="J5277" s="7">
        <v>0</v>
      </c>
      <c r="K5277" s="3">
        <f t="shared" si="192"/>
        <v>0</v>
      </c>
      <c r="L5277" s="3"/>
      <c r="M5277" s="3">
        <f t="shared" si="193"/>
        <v>0</v>
      </c>
      <c r="O5277" s="5"/>
      <c r="S5277" s="11"/>
    </row>
    <row r="5278" spans="1:24" customFormat="1" x14ac:dyDescent="0.45">
      <c r="A5278">
        <v>997398</v>
      </c>
      <c r="B5278" t="s">
        <v>26182</v>
      </c>
      <c r="C5278" t="s">
        <v>26183</v>
      </c>
      <c r="D5278">
        <v>0</v>
      </c>
      <c r="E5278" t="s">
        <v>16561</v>
      </c>
      <c r="F5278" s="126"/>
      <c r="G5278" s="7">
        <v>0</v>
      </c>
      <c r="H5278" s="7">
        <v>0</v>
      </c>
      <c r="I5278" s="7">
        <v>0</v>
      </c>
      <c r="J5278" s="7">
        <v>0</v>
      </c>
      <c r="K5278" s="3">
        <f t="shared" si="192"/>
        <v>0</v>
      </c>
      <c r="L5278" s="3"/>
      <c r="M5278" s="3">
        <f t="shared" si="193"/>
        <v>0</v>
      </c>
      <c r="O5278" s="5"/>
      <c r="S5278" s="11"/>
    </row>
    <row r="5279" spans="1:24" customFormat="1" x14ac:dyDescent="0.45">
      <c r="A5279">
        <v>997666</v>
      </c>
      <c r="B5279" t="s">
        <v>26184</v>
      </c>
      <c r="C5279" t="s">
        <v>26185</v>
      </c>
      <c r="D5279">
        <v>2</v>
      </c>
      <c r="F5279" s="126"/>
      <c r="G5279" s="7">
        <v>0</v>
      </c>
      <c r="H5279" s="7">
        <v>0</v>
      </c>
      <c r="I5279" s="7">
        <v>0</v>
      </c>
      <c r="J5279" s="7">
        <v>0</v>
      </c>
      <c r="K5279" s="3">
        <f t="shared" si="192"/>
        <v>0</v>
      </c>
      <c r="L5279" s="3"/>
      <c r="M5279" s="3">
        <f t="shared" si="193"/>
        <v>0</v>
      </c>
      <c r="N5279" s="7"/>
      <c r="O5279" s="5"/>
      <c r="S5279" s="11"/>
    </row>
    <row r="5280" spans="1:24" x14ac:dyDescent="0.45">
      <c r="A5280" s="124">
        <v>228865</v>
      </c>
      <c r="B5280" s="124" t="s">
        <v>26186</v>
      </c>
      <c r="C5280" s="124" t="s">
        <v>26187</v>
      </c>
      <c r="D5280" s="124">
        <v>2</v>
      </c>
      <c r="E5280" s="124" t="s">
        <v>16334</v>
      </c>
      <c r="F5280" s="126">
        <v>1.6999999999999999E-3</v>
      </c>
      <c r="G5280" s="126">
        <v>0</v>
      </c>
      <c r="H5280" s="127">
        <v>7.4999999999999997E-3</v>
      </c>
      <c r="I5280" s="126"/>
      <c r="J5280" s="126"/>
      <c r="K5280" s="126">
        <f t="shared" si="192"/>
        <v>7.4999999999999997E-3</v>
      </c>
      <c r="L5280" s="3"/>
      <c r="M5280" s="126">
        <f t="shared" si="193"/>
        <v>9.1999999999999998E-3</v>
      </c>
      <c r="N5280" s="124" t="s">
        <v>26188</v>
      </c>
      <c r="O5280" s="125" t="s">
        <v>26189</v>
      </c>
      <c r="P5280" s="128" t="s">
        <v>26918</v>
      </c>
      <c r="Q5280" s="130">
        <f>1728358+26103</f>
        <v>1754461</v>
      </c>
      <c r="R5280" s="124" t="s">
        <v>16348</v>
      </c>
      <c r="S5280" s="133">
        <v>1545892</v>
      </c>
      <c r="T5280" s="129">
        <f>S5280/Q5280</f>
        <v>0.88112075446533156</v>
      </c>
      <c r="V5280" s="125" t="s">
        <v>26190</v>
      </c>
      <c r="X5280" s="124" t="s">
        <v>26191</v>
      </c>
    </row>
    <row r="5281" spans="1:19" customFormat="1" x14ac:dyDescent="0.45">
      <c r="A5281">
        <v>998644</v>
      </c>
      <c r="B5281" t="s">
        <v>26192</v>
      </c>
      <c r="C5281" t="s">
        <v>26193</v>
      </c>
      <c r="D5281">
        <v>3</v>
      </c>
      <c r="F5281" s="126"/>
      <c r="G5281" s="3">
        <v>0</v>
      </c>
      <c r="H5281" s="3">
        <v>0</v>
      </c>
      <c r="I5281" s="3">
        <v>0</v>
      </c>
      <c r="J5281" s="3">
        <v>0</v>
      </c>
      <c r="K5281" s="3">
        <f t="shared" si="192"/>
        <v>0</v>
      </c>
      <c r="L5281" s="3"/>
      <c r="M5281" s="3">
        <f t="shared" si="193"/>
        <v>0</v>
      </c>
      <c r="O5281" s="5"/>
      <c r="S5281" s="11"/>
    </row>
    <row r="5282" spans="1:19" customFormat="1" x14ac:dyDescent="0.45">
      <c r="A5282">
        <v>998733</v>
      </c>
      <c r="B5282" t="s">
        <v>26194</v>
      </c>
      <c r="C5282" t="s">
        <v>26195</v>
      </c>
      <c r="D5282">
        <v>2</v>
      </c>
      <c r="F5282" s="126"/>
      <c r="G5282" s="3">
        <v>0</v>
      </c>
      <c r="H5282" s="3">
        <v>0</v>
      </c>
      <c r="I5282" s="3">
        <v>0</v>
      </c>
      <c r="J5282" s="3">
        <v>0</v>
      </c>
      <c r="K5282" s="3">
        <f t="shared" si="192"/>
        <v>0</v>
      </c>
      <c r="L5282" s="3"/>
      <c r="M5282" s="3">
        <f t="shared" si="193"/>
        <v>0</v>
      </c>
      <c r="O5282" s="5"/>
      <c r="S5282" s="11"/>
    </row>
    <row r="5283" spans="1:19" customFormat="1" x14ac:dyDescent="0.45">
      <c r="A5283">
        <v>999207</v>
      </c>
      <c r="B5283" t="s">
        <v>26196</v>
      </c>
      <c r="C5283" t="s">
        <v>26197</v>
      </c>
      <c r="D5283">
        <v>2</v>
      </c>
      <c r="F5283" s="126"/>
      <c r="G5283" s="7">
        <v>0</v>
      </c>
      <c r="H5283" s="7">
        <v>0</v>
      </c>
      <c r="I5283" s="7">
        <v>0</v>
      </c>
      <c r="J5283" s="7">
        <v>0</v>
      </c>
      <c r="K5283" s="3">
        <f t="shared" si="192"/>
        <v>0</v>
      </c>
      <c r="L5283" s="3"/>
      <c r="M5283" s="3">
        <f t="shared" si="193"/>
        <v>0</v>
      </c>
      <c r="N5283" s="7"/>
      <c r="O5283" s="5"/>
      <c r="S5283" s="11"/>
    </row>
    <row r="5284" spans="1:19" customFormat="1" x14ac:dyDescent="0.45">
      <c r="A5284">
        <v>1000611</v>
      </c>
      <c r="B5284" t="s">
        <v>26198</v>
      </c>
      <c r="C5284" t="s">
        <v>26199</v>
      </c>
      <c r="D5284">
        <v>1</v>
      </c>
      <c r="F5284" s="126"/>
      <c r="G5284" s="7">
        <v>0</v>
      </c>
      <c r="H5284" s="7">
        <v>0</v>
      </c>
      <c r="I5284" s="7">
        <v>0</v>
      </c>
      <c r="J5284" s="7">
        <v>0</v>
      </c>
      <c r="K5284" s="3">
        <f t="shared" si="192"/>
        <v>0</v>
      </c>
      <c r="L5284" s="3"/>
      <c r="M5284" s="3">
        <f t="shared" si="193"/>
        <v>0</v>
      </c>
      <c r="N5284" s="7"/>
      <c r="O5284" s="5"/>
      <c r="S5284" s="11"/>
    </row>
    <row r="5285" spans="1:19" customFormat="1" x14ac:dyDescent="0.45">
      <c r="A5285">
        <v>1001420</v>
      </c>
      <c r="B5285" t="s">
        <v>26200</v>
      </c>
      <c r="C5285" t="s">
        <v>26201</v>
      </c>
      <c r="D5285">
        <v>1</v>
      </c>
      <c r="F5285" s="126"/>
      <c r="G5285" s="3">
        <v>0</v>
      </c>
      <c r="H5285" s="3">
        <v>0</v>
      </c>
      <c r="I5285" s="3">
        <v>0</v>
      </c>
      <c r="J5285" s="3">
        <v>0</v>
      </c>
      <c r="K5285" s="3">
        <f t="shared" si="192"/>
        <v>0</v>
      </c>
      <c r="L5285" s="3"/>
      <c r="M5285" s="3">
        <f t="shared" si="193"/>
        <v>0</v>
      </c>
      <c r="O5285" s="5"/>
      <c r="S5285" s="11"/>
    </row>
    <row r="5286" spans="1:19" customFormat="1" x14ac:dyDescent="0.45">
      <c r="A5286">
        <v>1001528</v>
      </c>
      <c r="B5286" t="s">
        <v>26202</v>
      </c>
      <c r="C5286" t="s">
        <v>26203</v>
      </c>
      <c r="D5286">
        <v>0</v>
      </c>
      <c r="E5286" t="s">
        <v>16334</v>
      </c>
      <c r="F5286" s="126"/>
      <c r="G5286" s="3">
        <v>0</v>
      </c>
      <c r="H5286" s="3">
        <v>0</v>
      </c>
      <c r="I5286" s="3">
        <v>0</v>
      </c>
      <c r="J5286" s="3">
        <v>0</v>
      </c>
      <c r="K5286" s="3">
        <f t="shared" si="192"/>
        <v>0</v>
      </c>
      <c r="L5286" s="3"/>
      <c r="M5286" s="3">
        <f t="shared" si="193"/>
        <v>0</v>
      </c>
      <c r="O5286" s="5"/>
      <c r="S5286" s="11"/>
    </row>
    <row r="5287" spans="1:19" customFormat="1" x14ac:dyDescent="0.45">
      <c r="A5287">
        <v>1002289</v>
      </c>
      <c r="B5287" t="s">
        <v>26204</v>
      </c>
      <c r="C5287" t="s">
        <v>26205</v>
      </c>
      <c r="D5287">
        <v>1</v>
      </c>
      <c r="F5287" s="126"/>
      <c r="G5287" s="7">
        <v>0</v>
      </c>
      <c r="H5287" s="7">
        <v>0</v>
      </c>
      <c r="I5287" s="7">
        <v>0</v>
      </c>
      <c r="J5287" s="7">
        <v>0</v>
      </c>
      <c r="K5287" s="3">
        <f t="shared" ref="K5287:K5350" si="194">SUM(G5287:J5287)</f>
        <v>0</v>
      </c>
      <c r="L5287" s="3"/>
      <c r="M5287" s="3">
        <f t="shared" ref="M5287:M5350" si="195">K5287+F5287</f>
        <v>0</v>
      </c>
      <c r="N5287" s="7"/>
      <c r="O5287" s="5"/>
      <c r="S5287" s="11"/>
    </row>
    <row r="5288" spans="1:19" customFormat="1" x14ac:dyDescent="0.45">
      <c r="A5288">
        <v>1002299</v>
      </c>
      <c r="B5288" t="s">
        <v>26206</v>
      </c>
      <c r="C5288" t="s">
        <v>16331</v>
      </c>
      <c r="D5288">
        <v>1</v>
      </c>
      <c r="E5288" t="s">
        <v>16331</v>
      </c>
      <c r="F5288" s="126"/>
      <c r="G5288" s="7">
        <v>0</v>
      </c>
      <c r="H5288" s="7">
        <v>0</v>
      </c>
      <c r="I5288" s="7">
        <v>0</v>
      </c>
      <c r="J5288" s="7">
        <v>0</v>
      </c>
      <c r="K5288" s="3">
        <f t="shared" si="194"/>
        <v>0</v>
      </c>
      <c r="L5288" s="3"/>
      <c r="M5288" s="3">
        <f t="shared" si="195"/>
        <v>0</v>
      </c>
      <c r="O5288" s="5"/>
      <c r="S5288" s="11"/>
    </row>
    <row r="5289" spans="1:19" customFormat="1" x14ac:dyDescent="0.45">
      <c r="A5289">
        <v>1002900</v>
      </c>
      <c r="B5289" t="s">
        <v>26207</v>
      </c>
      <c r="C5289" t="s">
        <v>26208</v>
      </c>
      <c r="D5289">
        <v>0</v>
      </c>
      <c r="E5289" t="s">
        <v>16334</v>
      </c>
      <c r="F5289" s="126"/>
      <c r="G5289" s="7">
        <v>0</v>
      </c>
      <c r="H5289" s="7">
        <v>0</v>
      </c>
      <c r="I5289" s="7">
        <v>0</v>
      </c>
      <c r="J5289" s="7">
        <v>0</v>
      </c>
      <c r="K5289" s="3">
        <f t="shared" si="194"/>
        <v>0</v>
      </c>
      <c r="L5289" s="3"/>
      <c r="M5289" s="3">
        <f t="shared" si="195"/>
        <v>0</v>
      </c>
      <c r="N5289" s="7"/>
      <c r="O5289" s="5"/>
      <c r="S5289" s="11"/>
    </row>
    <row r="5290" spans="1:19" customFormat="1" x14ac:dyDescent="0.45">
      <c r="A5290">
        <v>1003652</v>
      </c>
      <c r="B5290" t="s">
        <v>26209</v>
      </c>
      <c r="C5290" t="s">
        <v>26210</v>
      </c>
      <c r="D5290">
        <v>2</v>
      </c>
      <c r="F5290" s="126"/>
      <c r="G5290" s="3">
        <v>0</v>
      </c>
      <c r="H5290" s="3">
        <v>0</v>
      </c>
      <c r="I5290" s="3">
        <v>0</v>
      </c>
      <c r="J5290" s="3">
        <v>0</v>
      </c>
      <c r="K5290" s="3">
        <f t="shared" si="194"/>
        <v>0</v>
      </c>
      <c r="L5290" s="3"/>
      <c r="M5290" s="3">
        <f t="shared" si="195"/>
        <v>0</v>
      </c>
      <c r="O5290" s="5"/>
      <c r="S5290" s="11"/>
    </row>
    <row r="5291" spans="1:19" customFormat="1" x14ac:dyDescent="0.45">
      <c r="A5291">
        <v>1004385</v>
      </c>
      <c r="B5291" t="s">
        <v>26211</v>
      </c>
      <c r="C5291" t="s">
        <v>26212</v>
      </c>
      <c r="D5291">
        <v>0</v>
      </c>
      <c r="E5291" t="s">
        <v>16334</v>
      </c>
      <c r="F5291" s="126"/>
      <c r="G5291" s="3">
        <v>0</v>
      </c>
      <c r="H5291" s="3">
        <v>0</v>
      </c>
      <c r="I5291" s="3">
        <v>0</v>
      </c>
      <c r="J5291" s="3">
        <v>0</v>
      </c>
      <c r="K5291" s="3">
        <f t="shared" si="194"/>
        <v>0</v>
      </c>
      <c r="L5291" s="3"/>
      <c r="M5291" s="3">
        <f t="shared" si="195"/>
        <v>0</v>
      </c>
      <c r="O5291" s="5"/>
      <c r="S5291" s="11"/>
    </row>
    <row r="5292" spans="1:19" customFormat="1" x14ac:dyDescent="0.45">
      <c r="A5292">
        <v>1005338</v>
      </c>
      <c r="B5292" t="s">
        <v>26213</v>
      </c>
      <c r="C5292" t="s">
        <v>26214</v>
      </c>
      <c r="D5292">
        <v>1</v>
      </c>
      <c r="F5292" s="126"/>
      <c r="K5292" s="3">
        <f t="shared" si="194"/>
        <v>0</v>
      </c>
      <c r="L5292" s="3"/>
      <c r="M5292" s="3">
        <f t="shared" si="195"/>
        <v>0</v>
      </c>
      <c r="O5292" s="5"/>
      <c r="S5292" s="11"/>
    </row>
    <row r="5293" spans="1:19" customFormat="1" x14ac:dyDescent="0.45">
      <c r="A5293">
        <v>1006120</v>
      </c>
      <c r="B5293" t="s">
        <v>26215</v>
      </c>
      <c r="C5293" t="s">
        <v>26216</v>
      </c>
      <c r="D5293">
        <v>1</v>
      </c>
      <c r="F5293" s="126"/>
      <c r="G5293" s="7">
        <v>0</v>
      </c>
      <c r="H5293" s="7">
        <v>0</v>
      </c>
      <c r="I5293" s="7">
        <v>0</v>
      </c>
      <c r="J5293" s="7">
        <v>0</v>
      </c>
      <c r="K5293" s="3">
        <f t="shared" si="194"/>
        <v>0</v>
      </c>
      <c r="L5293" s="3"/>
      <c r="M5293" s="3">
        <f t="shared" si="195"/>
        <v>0</v>
      </c>
      <c r="O5293" s="5"/>
      <c r="S5293" s="11"/>
    </row>
    <row r="5294" spans="1:19" customFormat="1" x14ac:dyDescent="0.45">
      <c r="A5294">
        <v>1006214</v>
      </c>
      <c r="B5294" t="s">
        <v>26217</v>
      </c>
      <c r="C5294" t="s">
        <v>26218</v>
      </c>
      <c r="D5294">
        <v>1</v>
      </c>
      <c r="F5294" s="126"/>
      <c r="G5294" s="7">
        <v>0</v>
      </c>
      <c r="H5294" s="7">
        <v>0</v>
      </c>
      <c r="I5294" s="7">
        <v>0</v>
      </c>
      <c r="J5294" s="7">
        <v>0</v>
      </c>
      <c r="K5294" s="3">
        <f t="shared" si="194"/>
        <v>0</v>
      </c>
      <c r="L5294" s="3"/>
      <c r="M5294" s="3">
        <f t="shared" si="195"/>
        <v>0</v>
      </c>
      <c r="N5294" s="7"/>
      <c r="O5294" s="5"/>
      <c r="S5294" s="11"/>
    </row>
    <row r="5295" spans="1:19" customFormat="1" x14ac:dyDescent="0.45">
      <c r="A5295">
        <v>1006548</v>
      </c>
      <c r="B5295" t="s">
        <v>26219</v>
      </c>
      <c r="C5295" t="s">
        <v>26220</v>
      </c>
      <c r="D5295">
        <v>2</v>
      </c>
      <c r="F5295" s="126"/>
      <c r="G5295" s="3">
        <v>0</v>
      </c>
      <c r="H5295" s="3">
        <v>0</v>
      </c>
      <c r="I5295" s="3">
        <v>0</v>
      </c>
      <c r="J5295" s="3">
        <v>0</v>
      </c>
      <c r="K5295" s="3">
        <f t="shared" si="194"/>
        <v>0</v>
      </c>
      <c r="L5295" s="3"/>
      <c r="M5295" s="3">
        <f t="shared" si="195"/>
        <v>0</v>
      </c>
      <c r="O5295" s="5"/>
      <c r="S5295" s="11"/>
    </row>
    <row r="5296" spans="1:19" customFormat="1" x14ac:dyDescent="0.45">
      <c r="A5296">
        <v>1006718</v>
      </c>
      <c r="B5296" t="s">
        <v>26221</v>
      </c>
      <c r="C5296" t="s">
        <v>26222</v>
      </c>
      <c r="D5296">
        <v>6</v>
      </c>
      <c r="F5296" s="126"/>
      <c r="G5296" s="3">
        <v>0</v>
      </c>
      <c r="H5296" s="3">
        <v>0</v>
      </c>
      <c r="I5296" s="3">
        <v>0</v>
      </c>
      <c r="J5296" s="3">
        <v>0</v>
      </c>
      <c r="K5296" s="3">
        <f t="shared" si="194"/>
        <v>0</v>
      </c>
      <c r="L5296" s="3"/>
      <c r="M5296" s="3">
        <f t="shared" si="195"/>
        <v>0</v>
      </c>
      <c r="O5296" s="5"/>
      <c r="S5296" s="11"/>
    </row>
    <row r="5297" spans="1:23" customFormat="1" x14ac:dyDescent="0.45">
      <c r="A5297">
        <v>1006940</v>
      </c>
      <c r="B5297" t="s">
        <v>26223</v>
      </c>
      <c r="C5297" t="s">
        <v>26224</v>
      </c>
      <c r="D5297">
        <v>3</v>
      </c>
      <c r="F5297" s="126"/>
      <c r="G5297" s="3">
        <v>0</v>
      </c>
      <c r="H5297" s="3">
        <v>0</v>
      </c>
      <c r="I5297" s="3">
        <v>0</v>
      </c>
      <c r="J5297" s="3">
        <v>0</v>
      </c>
      <c r="K5297" s="3">
        <f t="shared" si="194"/>
        <v>0</v>
      </c>
      <c r="L5297" s="3"/>
      <c r="M5297" s="3">
        <f t="shared" si="195"/>
        <v>0</v>
      </c>
      <c r="O5297" s="5"/>
      <c r="S5297" s="11"/>
    </row>
    <row r="5298" spans="1:23" x14ac:dyDescent="0.45">
      <c r="A5298" s="124">
        <v>204571</v>
      </c>
      <c r="B5298" s="124" t="s">
        <v>26225</v>
      </c>
      <c r="C5298" s="124" t="s">
        <v>26226</v>
      </c>
      <c r="D5298" s="124">
        <v>25</v>
      </c>
      <c r="E5298" s="124" t="s">
        <v>16417</v>
      </c>
      <c r="F5298" s="126"/>
      <c r="G5298" s="135">
        <v>0</v>
      </c>
      <c r="H5298" s="135">
        <v>0</v>
      </c>
      <c r="I5298" s="126">
        <v>4.4999999999999997E-3</v>
      </c>
      <c r="J5298" s="126">
        <v>3.5999999999999997E-2</v>
      </c>
      <c r="K5298" s="126">
        <f t="shared" si="194"/>
        <v>4.0499999999999994E-2</v>
      </c>
      <c r="L5298" s="3"/>
      <c r="M5298" s="126">
        <f t="shared" si="195"/>
        <v>4.0499999999999994E-2</v>
      </c>
      <c r="O5298" s="125" t="s">
        <v>26227</v>
      </c>
      <c r="Q5298" s="130">
        <v>1848000000</v>
      </c>
      <c r="R5298" s="124" t="s">
        <v>16348</v>
      </c>
      <c r="S5298" s="130">
        <v>100000000</v>
      </c>
      <c r="T5298" s="129">
        <f>S5298/Q5298</f>
        <v>5.4112554112554112E-2</v>
      </c>
      <c r="V5298" s="125" t="s">
        <v>26228</v>
      </c>
      <c r="W5298" s="124" t="s">
        <v>17021</v>
      </c>
    </row>
    <row r="5299" spans="1:23" customFormat="1" x14ac:dyDescent="0.45">
      <c r="A5299">
        <v>1007096</v>
      </c>
      <c r="B5299" t="s">
        <v>26229</v>
      </c>
      <c r="C5299" t="s">
        <v>16331</v>
      </c>
      <c r="D5299">
        <v>0</v>
      </c>
      <c r="E5299" t="s">
        <v>16331</v>
      </c>
      <c r="F5299" s="126"/>
      <c r="G5299" s="7">
        <v>0</v>
      </c>
      <c r="H5299" s="7">
        <v>0</v>
      </c>
      <c r="I5299" s="7">
        <v>0</v>
      </c>
      <c r="J5299" s="7">
        <v>0</v>
      </c>
      <c r="K5299" s="3">
        <f t="shared" si="194"/>
        <v>0</v>
      </c>
      <c r="L5299" s="3"/>
      <c r="M5299" s="3">
        <f t="shared" si="195"/>
        <v>0</v>
      </c>
      <c r="N5299" s="7"/>
      <c r="O5299" s="2" t="s">
        <v>26230</v>
      </c>
      <c r="S5299" s="11"/>
    </row>
    <row r="5300" spans="1:23" customFormat="1" x14ac:dyDescent="0.45">
      <c r="A5300">
        <v>1007217</v>
      </c>
      <c r="B5300" t="s">
        <v>26231</v>
      </c>
      <c r="C5300" t="s">
        <v>26232</v>
      </c>
      <c r="D5300">
        <v>3</v>
      </c>
      <c r="F5300" s="126"/>
      <c r="G5300" s="7">
        <v>0</v>
      </c>
      <c r="H5300" s="7">
        <v>0</v>
      </c>
      <c r="I5300" s="7">
        <v>0</v>
      </c>
      <c r="J5300" s="7">
        <v>0</v>
      </c>
      <c r="K5300" s="3">
        <f t="shared" si="194"/>
        <v>0</v>
      </c>
      <c r="L5300" s="3"/>
      <c r="M5300" s="3">
        <f t="shared" si="195"/>
        <v>0</v>
      </c>
      <c r="O5300" s="5"/>
      <c r="S5300" s="11"/>
    </row>
    <row r="5301" spans="1:23" customFormat="1" x14ac:dyDescent="0.45">
      <c r="A5301">
        <v>1007218</v>
      </c>
      <c r="B5301" t="s">
        <v>26233</v>
      </c>
      <c r="C5301" t="s">
        <v>26234</v>
      </c>
      <c r="D5301">
        <v>1</v>
      </c>
      <c r="F5301" s="126"/>
      <c r="G5301" s="3">
        <v>0</v>
      </c>
      <c r="H5301" s="3">
        <v>0</v>
      </c>
      <c r="I5301" s="3">
        <v>0</v>
      </c>
      <c r="J5301" s="3">
        <v>0</v>
      </c>
      <c r="K5301" s="3">
        <f t="shared" si="194"/>
        <v>0</v>
      </c>
      <c r="L5301" s="3"/>
      <c r="M5301" s="3">
        <f t="shared" si="195"/>
        <v>0</v>
      </c>
      <c r="O5301" s="5"/>
      <c r="S5301" s="11"/>
    </row>
    <row r="5302" spans="1:23" customFormat="1" x14ac:dyDescent="0.45">
      <c r="A5302">
        <v>1007274</v>
      </c>
      <c r="B5302" t="s">
        <v>26235</v>
      </c>
      <c r="C5302" t="s">
        <v>26236</v>
      </c>
      <c r="D5302">
        <v>2</v>
      </c>
      <c r="F5302" s="126"/>
      <c r="G5302" s="3">
        <v>0</v>
      </c>
      <c r="H5302" s="3">
        <v>0</v>
      </c>
      <c r="I5302" s="3">
        <v>0</v>
      </c>
      <c r="J5302" s="3">
        <v>0</v>
      </c>
      <c r="K5302" s="3">
        <f t="shared" si="194"/>
        <v>0</v>
      </c>
      <c r="L5302" s="3"/>
      <c r="M5302" s="3">
        <f t="shared" si="195"/>
        <v>0</v>
      </c>
      <c r="O5302" s="5"/>
      <c r="S5302" s="11"/>
    </row>
    <row r="5303" spans="1:23" customFormat="1" x14ac:dyDescent="0.45">
      <c r="A5303">
        <v>1007400</v>
      </c>
      <c r="B5303" t="s">
        <v>26237</v>
      </c>
      <c r="C5303" t="s">
        <v>26238</v>
      </c>
      <c r="D5303">
        <v>1</v>
      </c>
      <c r="F5303" s="126"/>
      <c r="G5303" s="3">
        <v>0</v>
      </c>
      <c r="H5303" s="3">
        <v>0</v>
      </c>
      <c r="I5303" s="3">
        <v>0</v>
      </c>
      <c r="J5303" s="3">
        <v>0</v>
      </c>
      <c r="K5303" s="3">
        <f t="shared" si="194"/>
        <v>0</v>
      </c>
      <c r="L5303" s="3"/>
      <c r="M5303" s="3">
        <f t="shared" si="195"/>
        <v>0</v>
      </c>
      <c r="O5303" s="5"/>
      <c r="S5303" s="11"/>
    </row>
    <row r="5304" spans="1:23" customFormat="1" x14ac:dyDescent="0.45">
      <c r="A5304">
        <v>1007473</v>
      </c>
      <c r="B5304" t="s">
        <v>26239</v>
      </c>
      <c r="C5304" s="2" t="s">
        <v>26240</v>
      </c>
      <c r="D5304">
        <v>14</v>
      </c>
      <c r="F5304" s="126"/>
      <c r="G5304" s="7">
        <v>0</v>
      </c>
      <c r="H5304" s="7">
        <v>0</v>
      </c>
      <c r="I5304" s="7">
        <v>0</v>
      </c>
      <c r="J5304" s="7">
        <v>0</v>
      </c>
      <c r="K5304" s="3">
        <f t="shared" si="194"/>
        <v>0</v>
      </c>
      <c r="L5304" s="3"/>
      <c r="M5304" s="3">
        <f t="shared" si="195"/>
        <v>0</v>
      </c>
      <c r="N5304" s="7"/>
      <c r="O5304" s="5"/>
      <c r="S5304" s="11"/>
    </row>
    <row r="5305" spans="1:23" customFormat="1" x14ac:dyDescent="0.45">
      <c r="A5305">
        <v>1007625</v>
      </c>
      <c r="B5305" t="s">
        <v>26241</v>
      </c>
      <c r="C5305" t="s">
        <v>16331</v>
      </c>
      <c r="D5305">
        <v>0</v>
      </c>
      <c r="E5305" t="s">
        <v>16331</v>
      </c>
      <c r="F5305" s="126"/>
      <c r="K5305" s="3">
        <f t="shared" si="194"/>
        <v>0</v>
      </c>
      <c r="L5305" s="3"/>
      <c r="M5305" s="3">
        <f t="shared" si="195"/>
        <v>0</v>
      </c>
      <c r="O5305" s="5"/>
      <c r="S5305" s="11"/>
    </row>
    <row r="5306" spans="1:23" customFormat="1" x14ac:dyDescent="0.45">
      <c r="A5306">
        <v>1007669</v>
      </c>
      <c r="B5306" t="s">
        <v>26242</v>
      </c>
      <c r="C5306" t="s">
        <v>26243</v>
      </c>
      <c r="D5306">
        <v>1</v>
      </c>
      <c r="F5306" s="126"/>
      <c r="G5306" s="3">
        <v>0</v>
      </c>
      <c r="H5306" s="3">
        <v>0</v>
      </c>
      <c r="I5306" s="3">
        <v>0</v>
      </c>
      <c r="J5306" s="3">
        <v>0</v>
      </c>
      <c r="K5306" s="3">
        <f t="shared" si="194"/>
        <v>0</v>
      </c>
      <c r="L5306" s="3"/>
      <c r="M5306" s="3">
        <f t="shared" si="195"/>
        <v>0</v>
      </c>
      <c r="O5306" s="5"/>
      <c r="S5306" s="11"/>
    </row>
    <row r="5307" spans="1:23" customFormat="1" x14ac:dyDescent="0.45">
      <c r="A5307">
        <v>1008239</v>
      </c>
      <c r="B5307" t="s">
        <v>26244</v>
      </c>
      <c r="C5307" t="s">
        <v>26245</v>
      </c>
      <c r="D5307">
        <v>1</v>
      </c>
      <c r="F5307" s="126"/>
      <c r="K5307" s="3">
        <f t="shared" si="194"/>
        <v>0</v>
      </c>
      <c r="L5307" s="3"/>
      <c r="M5307" s="3">
        <f t="shared" si="195"/>
        <v>0</v>
      </c>
      <c r="O5307" s="5"/>
      <c r="S5307" s="11"/>
    </row>
    <row r="5308" spans="1:23" x14ac:dyDescent="0.45">
      <c r="A5308" s="124">
        <v>938369</v>
      </c>
      <c r="B5308" s="124" t="s">
        <v>26246</v>
      </c>
      <c r="C5308" s="124" t="s">
        <v>26247</v>
      </c>
      <c r="D5308" s="124">
        <v>3</v>
      </c>
      <c r="E5308" s="124" t="s">
        <v>16334</v>
      </c>
      <c r="F5308" s="126">
        <v>1.6999999999999999E-3</v>
      </c>
      <c r="G5308" s="126">
        <v>2.5000000000000001E-2</v>
      </c>
      <c r="H5308" s="126">
        <v>7.4999999999999997E-3</v>
      </c>
      <c r="I5308" s="127"/>
      <c r="J5308" s="127"/>
      <c r="K5308" s="126">
        <f t="shared" si="194"/>
        <v>3.2500000000000001E-2</v>
      </c>
      <c r="L5308" s="3"/>
      <c r="M5308" s="126">
        <f t="shared" si="195"/>
        <v>3.4200000000000001E-2</v>
      </c>
      <c r="N5308" s="124" t="s">
        <v>26248</v>
      </c>
      <c r="O5308" s="131" t="s">
        <v>26249</v>
      </c>
      <c r="P5308" s="128" t="s">
        <v>26918</v>
      </c>
      <c r="Q5308" s="124">
        <f>77098+67195</f>
        <v>144293</v>
      </c>
      <c r="R5308" s="124" t="s">
        <v>16348</v>
      </c>
      <c r="S5308" s="132">
        <v>77098</v>
      </c>
      <c r="T5308" s="129">
        <f>S5308/Q5308</f>
        <v>0.53431559396505723</v>
      </c>
      <c r="V5308" s="125" t="s">
        <v>26250</v>
      </c>
    </row>
    <row r="5309" spans="1:23" customFormat="1" x14ac:dyDescent="0.45">
      <c r="A5309">
        <v>1008798</v>
      </c>
      <c r="B5309" t="s">
        <v>26251</v>
      </c>
      <c r="C5309" t="s">
        <v>26252</v>
      </c>
      <c r="D5309">
        <v>3</v>
      </c>
      <c r="F5309" s="126"/>
      <c r="G5309" s="7">
        <v>0</v>
      </c>
      <c r="H5309" s="7">
        <v>0</v>
      </c>
      <c r="I5309" s="7">
        <v>0</v>
      </c>
      <c r="J5309" s="7">
        <v>0</v>
      </c>
      <c r="K5309" s="3">
        <f t="shared" si="194"/>
        <v>0</v>
      </c>
      <c r="L5309" s="3"/>
      <c r="M5309" s="3">
        <f t="shared" si="195"/>
        <v>0</v>
      </c>
      <c r="N5309" s="7"/>
      <c r="O5309" s="5"/>
      <c r="S5309" s="11"/>
    </row>
    <row r="5310" spans="1:23" customFormat="1" x14ac:dyDescent="0.45">
      <c r="A5310">
        <v>1009145</v>
      </c>
      <c r="B5310" t="s">
        <v>26253</v>
      </c>
      <c r="C5310" t="s">
        <v>26254</v>
      </c>
      <c r="D5310">
        <v>1</v>
      </c>
      <c r="F5310" s="126"/>
      <c r="G5310" s="7">
        <v>0</v>
      </c>
      <c r="H5310" s="7">
        <v>0</v>
      </c>
      <c r="I5310" s="7">
        <v>0</v>
      </c>
      <c r="J5310" s="7">
        <v>0</v>
      </c>
      <c r="K5310" s="3">
        <f t="shared" si="194"/>
        <v>0</v>
      </c>
      <c r="L5310" s="3"/>
      <c r="M5310" s="3">
        <f t="shared" si="195"/>
        <v>0</v>
      </c>
      <c r="N5310" s="7"/>
      <c r="O5310" s="5"/>
      <c r="S5310" s="11"/>
    </row>
    <row r="5311" spans="1:23" customFormat="1" x14ac:dyDescent="0.45">
      <c r="A5311">
        <v>1009438</v>
      </c>
      <c r="B5311" t="s">
        <v>26255</v>
      </c>
      <c r="C5311" t="s">
        <v>16331</v>
      </c>
      <c r="D5311">
        <v>2</v>
      </c>
      <c r="E5311" t="s">
        <v>16331</v>
      </c>
      <c r="F5311" s="126"/>
      <c r="G5311" s="7">
        <v>0</v>
      </c>
      <c r="H5311" s="7">
        <v>0</v>
      </c>
      <c r="I5311" s="7">
        <v>0</v>
      </c>
      <c r="J5311" s="7">
        <v>0</v>
      </c>
      <c r="K5311" s="3">
        <f t="shared" si="194"/>
        <v>0</v>
      </c>
      <c r="L5311" s="3"/>
      <c r="M5311" s="3">
        <f t="shared" si="195"/>
        <v>0</v>
      </c>
      <c r="O5311" s="5"/>
      <c r="S5311" s="11"/>
    </row>
    <row r="5312" spans="1:23" customFormat="1" x14ac:dyDescent="0.45">
      <c r="A5312">
        <v>1013370</v>
      </c>
      <c r="B5312" t="s">
        <v>26256</v>
      </c>
      <c r="C5312" t="s">
        <v>16331</v>
      </c>
      <c r="D5312">
        <v>1</v>
      </c>
      <c r="E5312" t="s">
        <v>16331</v>
      </c>
      <c r="F5312" s="126"/>
      <c r="K5312" s="3">
        <f t="shared" si="194"/>
        <v>0</v>
      </c>
      <c r="L5312" s="3"/>
      <c r="M5312" s="3">
        <f t="shared" si="195"/>
        <v>0</v>
      </c>
      <c r="O5312" s="5"/>
      <c r="S5312" s="11"/>
    </row>
    <row r="5313" spans="1:24" x14ac:dyDescent="0.45">
      <c r="A5313" s="124">
        <v>114610</v>
      </c>
      <c r="B5313" s="124" t="s">
        <v>26257</v>
      </c>
      <c r="C5313" s="125" t="s">
        <v>26258</v>
      </c>
      <c r="D5313" s="124">
        <v>6</v>
      </c>
      <c r="E5313" s="124" t="s">
        <v>16334</v>
      </c>
      <c r="F5313" s="126">
        <v>1.6999999999999999E-3</v>
      </c>
      <c r="G5313" s="126">
        <v>0.01</v>
      </c>
      <c r="H5313" s="126">
        <v>0.01</v>
      </c>
      <c r="I5313" s="127">
        <v>0</v>
      </c>
      <c r="J5313" s="127">
        <v>0</v>
      </c>
      <c r="K5313" s="126">
        <f t="shared" si="194"/>
        <v>0.02</v>
      </c>
      <c r="L5313" s="3"/>
      <c r="M5313" s="126">
        <f t="shared" si="195"/>
        <v>2.1700000000000001E-2</v>
      </c>
      <c r="O5313" s="125" t="s">
        <v>26259</v>
      </c>
      <c r="P5313" s="128" t="s">
        <v>26918</v>
      </c>
      <c r="Q5313" s="132">
        <v>199171</v>
      </c>
      <c r="R5313" s="130" t="s">
        <v>16348</v>
      </c>
      <c r="S5313" s="130">
        <v>199794</v>
      </c>
      <c r="T5313" s="134">
        <f>S5313/Q5313</f>
        <v>1.0031279654166521</v>
      </c>
      <c r="V5313" s="125" t="s">
        <v>26260</v>
      </c>
    </row>
    <row r="5314" spans="1:24" x14ac:dyDescent="0.45">
      <c r="A5314" s="124">
        <v>121712</v>
      </c>
      <c r="B5314" s="124" t="s">
        <v>26261</v>
      </c>
      <c r="C5314" s="125" t="s">
        <v>26262</v>
      </c>
      <c r="D5314" s="124">
        <v>8</v>
      </c>
      <c r="E5314" s="124" t="s">
        <v>16334</v>
      </c>
      <c r="F5314" s="126">
        <v>1.6999999999999999E-3</v>
      </c>
      <c r="G5314" s="126">
        <f>3.495%+0.995%</f>
        <v>4.4900000000000002E-2</v>
      </c>
      <c r="H5314" s="126">
        <v>7.4999999999999997E-3</v>
      </c>
      <c r="I5314" s="127">
        <v>0</v>
      </c>
      <c r="J5314" s="127">
        <v>0</v>
      </c>
      <c r="K5314" s="126">
        <f t="shared" si="194"/>
        <v>5.2400000000000002E-2</v>
      </c>
      <c r="L5314" s="3"/>
      <c r="M5314" s="126">
        <f t="shared" si="195"/>
        <v>5.4100000000000002E-2</v>
      </c>
      <c r="O5314" s="125" t="s">
        <v>26263</v>
      </c>
      <c r="P5314" s="128" t="s">
        <v>26918</v>
      </c>
      <c r="Q5314" s="124">
        <v>190420</v>
      </c>
      <c r="R5314" s="124" t="s">
        <v>16348</v>
      </c>
      <c r="S5314" s="130">
        <v>161700</v>
      </c>
      <c r="T5314" s="129">
        <f>S5314/Q5314</f>
        <v>0.84917550677449849</v>
      </c>
      <c r="V5314" s="125" t="s">
        <v>26264</v>
      </c>
      <c r="W5314" s="124" t="s">
        <v>17021</v>
      </c>
    </row>
    <row r="5315" spans="1:24" customFormat="1" x14ac:dyDescent="0.45">
      <c r="A5315">
        <v>120776</v>
      </c>
      <c r="B5315" t="s">
        <v>26265</v>
      </c>
      <c r="C5315" s="2" t="s">
        <v>26266</v>
      </c>
      <c r="D5315">
        <v>23</v>
      </c>
      <c r="E5315" t="s">
        <v>26267</v>
      </c>
      <c r="F5315" s="126"/>
      <c r="G5315" s="3"/>
      <c r="H5315" s="3"/>
      <c r="I5315" s="3"/>
      <c r="J5315" s="3"/>
      <c r="K5315" s="3">
        <f t="shared" si="194"/>
        <v>0</v>
      </c>
      <c r="L5315" s="3"/>
      <c r="M5315" s="3">
        <f t="shared" si="195"/>
        <v>0</v>
      </c>
      <c r="O5315" s="5"/>
      <c r="S5315" s="11"/>
    </row>
    <row r="5316" spans="1:24" x14ac:dyDescent="0.45">
      <c r="A5316" s="124">
        <v>712096</v>
      </c>
      <c r="B5316" s="124" t="s">
        <v>26268</v>
      </c>
      <c r="C5316" s="124" t="s">
        <v>26269</v>
      </c>
      <c r="D5316" s="124">
        <v>2</v>
      </c>
      <c r="E5316" s="124" t="s">
        <v>16334</v>
      </c>
      <c r="F5316" s="126">
        <v>1.6999999999999999E-3</v>
      </c>
      <c r="G5316" s="126"/>
      <c r="H5316" s="126"/>
      <c r="I5316" s="127"/>
      <c r="J5316" s="127">
        <v>4.7999999999999996E-3</v>
      </c>
      <c r="K5316" s="127">
        <f t="shared" si="194"/>
        <v>4.7999999999999996E-3</v>
      </c>
      <c r="L5316" s="4"/>
      <c r="M5316" s="126">
        <f t="shared" si="195"/>
        <v>6.4999999999999997E-3</v>
      </c>
      <c r="N5316" s="124" t="s">
        <v>26270</v>
      </c>
      <c r="O5316" s="125" t="s">
        <v>26269</v>
      </c>
      <c r="P5316" s="128" t="s">
        <v>26918</v>
      </c>
      <c r="Q5316" s="124">
        <f>34946+17381</f>
        <v>52327</v>
      </c>
      <c r="R5316" s="124" t="s">
        <v>16348</v>
      </c>
      <c r="S5316" s="132">
        <v>34946</v>
      </c>
      <c r="T5316" s="129">
        <f>S5316/Q5316</f>
        <v>0.6678387830374376</v>
      </c>
      <c r="V5316" s="125" t="s">
        <v>26271</v>
      </c>
      <c r="X5316" s="124" t="s">
        <v>17089</v>
      </c>
    </row>
    <row r="5317" spans="1:24" customFormat="1" x14ac:dyDescent="0.45">
      <c r="A5317">
        <v>150321</v>
      </c>
      <c r="B5317" t="s">
        <v>26272</v>
      </c>
      <c r="C5317" s="2" t="s">
        <v>20745</v>
      </c>
      <c r="D5317" s="2">
        <v>4</v>
      </c>
      <c r="E5317" t="s">
        <v>26267</v>
      </c>
      <c r="F5317" s="126"/>
      <c r="G5317" s="3"/>
      <c r="H5317" s="3"/>
      <c r="I5317" s="3"/>
      <c r="J5317" s="3"/>
      <c r="K5317" s="3">
        <f t="shared" si="194"/>
        <v>0</v>
      </c>
      <c r="L5317" s="3"/>
      <c r="M5317" s="3">
        <f t="shared" si="195"/>
        <v>0</v>
      </c>
      <c r="O5317" s="5"/>
      <c r="S5317" s="11"/>
    </row>
    <row r="5318" spans="1:24" customFormat="1" x14ac:dyDescent="0.45">
      <c r="A5318">
        <v>189954</v>
      </c>
      <c r="B5318" t="s">
        <v>26273</v>
      </c>
      <c r="C5318" t="s">
        <v>26274</v>
      </c>
      <c r="D5318" s="2">
        <v>6</v>
      </c>
      <c r="F5318" s="126"/>
      <c r="G5318" s="3">
        <v>0</v>
      </c>
      <c r="H5318" s="3">
        <v>0</v>
      </c>
      <c r="I5318" s="3">
        <v>0</v>
      </c>
      <c r="J5318" s="3">
        <v>0</v>
      </c>
      <c r="K5318" s="3">
        <f t="shared" si="194"/>
        <v>0</v>
      </c>
      <c r="L5318" s="3"/>
      <c r="M5318" s="3">
        <f t="shared" si="195"/>
        <v>0</v>
      </c>
      <c r="N5318" s="3"/>
      <c r="O5318" s="5"/>
      <c r="S5318" s="11"/>
    </row>
    <row r="5319" spans="1:24" customFormat="1" x14ac:dyDescent="0.45">
      <c r="A5319">
        <v>139256</v>
      </c>
      <c r="B5319" t="s">
        <v>26275</v>
      </c>
      <c r="C5319" t="s">
        <v>26276</v>
      </c>
      <c r="D5319" s="2">
        <v>1</v>
      </c>
      <c r="F5319" s="126"/>
      <c r="G5319" s="3">
        <v>0</v>
      </c>
      <c r="H5319" s="3">
        <v>0</v>
      </c>
      <c r="I5319" s="3">
        <v>0</v>
      </c>
      <c r="J5319" s="3">
        <v>0</v>
      </c>
      <c r="K5319" s="3">
        <f t="shared" si="194"/>
        <v>0</v>
      </c>
      <c r="L5319" s="3"/>
      <c r="M5319" s="3">
        <f t="shared" si="195"/>
        <v>0</v>
      </c>
      <c r="N5319" s="3"/>
      <c r="O5319" s="5"/>
      <c r="S5319" s="11"/>
    </row>
    <row r="5320" spans="1:24" customFormat="1" x14ac:dyDescent="0.45">
      <c r="A5320">
        <v>190792</v>
      </c>
      <c r="B5320" t="s">
        <v>26277</v>
      </c>
      <c r="C5320" t="s">
        <v>26278</v>
      </c>
      <c r="D5320" s="2">
        <v>2</v>
      </c>
      <c r="F5320" s="126"/>
      <c r="G5320" s="3">
        <v>0</v>
      </c>
      <c r="H5320" s="3">
        <v>0</v>
      </c>
      <c r="I5320" s="3">
        <v>0</v>
      </c>
      <c r="J5320" s="3">
        <v>0</v>
      </c>
      <c r="K5320" s="3">
        <f t="shared" si="194"/>
        <v>0</v>
      </c>
      <c r="L5320" s="3"/>
      <c r="M5320" s="3">
        <f t="shared" si="195"/>
        <v>0</v>
      </c>
      <c r="N5320" s="3"/>
      <c r="O5320" s="5"/>
      <c r="S5320" s="11"/>
    </row>
    <row r="5321" spans="1:24" customFormat="1" x14ac:dyDescent="0.45">
      <c r="A5321">
        <v>150269</v>
      </c>
      <c r="B5321" t="s">
        <v>26279</v>
      </c>
      <c r="C5321" t="s">
        <v>26280</v>
      </c>
      <c r="D5321" s="2">
        <v>1</v>
      </c>
      <c r="F5321" s="126"/>
      <c r="G5321" s="3">
        <v>0</v>
      </c>
      <c r="H5321" s="3">
        <v>0</v>
      </c>
      <c r="I5321" s="3">
        <v>0</v>
      </c>
      <c r="J5321" s="3">
        <v>0</v>
      </c>
      <c r="K5321" s="3">
        <f t="shared" si="194"/>
        <v>0</v>
      </c>
      <c r="L5321" s="3"/>
      <c r="M5321" s="3">
        <f t="shared" si="195"/>
        <v>0</v>
      </c>
      <c r="N5321" s="3"/>
      <c r="O5321" s="5"/>
      <c r="S5321" s="11"/>
    </row>
    <row r="5322" spans="1:24" customFormat="1" x14ac:dyDescent="0.45">
      <c r="A5322">
        <v>189227</v>
      </c>
      <c r="B5322" t="s">
        <v>26281</v>
      </c>
      <c r="C5322" t="s">
        <v>26282</v>
      </c>
      <c r="D5322" s="2">
        <v>0</v>
      </c>
      <c r="E5322" t="s">
        <v>16509</v>
      </c>
      <c r="F5322" s="126"/>
      <c r="G5322" s="3">
        <v>0</v>
      </c>
      <c r="H5322" s="3">
        <v>0</v>
      </c>
      <c r="I5322" s="3">
        <v>0</v>
      </c>
      <c r="J5322" s="3">
        <v>0</v>
      </c>
      <c r="K5322" s="3">
        <f t="shared" si="194"/>
        <v>0</v>
      </c>
      <c r="L5322" s="3"/>
      <c r="M5322" s="3">
        <f t="shared" si="195"/>
        <v>0</v>
      </c>
      <c r="N5322" s="3"/>
      <c r="O5322" s="5"/>
      <c r="S5322" s="11"/>
    </row>
    <row r="5323" spans="1:24" customFormat="1" x14ac:dyDescent="0.45">
      <c r="A5323">
        <v>191857</v>
      </c>
      <c r="B5323" t="s">
        <v>26283</v>
      </c>
      <c r="C5323" t="s">
        <v>26284</v>
      </c>
      <c r="D5323" s="2">
        <v>1</v>
      </c>
      <c r="F5323" s="126"/>
      <c r="G5323" s="3">
        <v>0</v>
      </c>
      <c r="H5323" s="3">
        <v>0</v>
      </c>
      <c r="I5323" s="3">
        <v>0</v>
      </c>
      <c r="J5323" s="3">
        <v>0</v>
      </c>
      <c r="K5323" s="3">
        <f t="shared" si="194"/>
        <v>0</v>
      </c>
      <c r="L5323" s="3"/>
      <c r="M5323" s="3">
        <f t="shared" si="195"/>
        <v>0</v>
      </c>
      <c r="N5323" s="3"/>
      <c r="O5323" s="5"/>
      <c r="S5323" s="11"/>
    </row>
    <row r="5324" spans="1:24" customFormat="1" x14ac:dyDescent="0.45">
      <c r="A5324">
        <v>142806</v>
      </c>
      <c r="B5324" t="s">
        <v>26285</v>
      </c>
      <c r="C5324" t="s">
        <v>26286</v>
      </c>
      <c r="D5324" s="2">
        <v>2</v>
      </c>
      <c r="F5324" s="126"/>
      <c r="G5324" s="3">
        <v>0</v>
      </c>
      <c r="H5324" s="3">
        <v>0</v>
      </c>
      <c r="I5324" s="3">
        <v>0</v>
      </c>
      <c r="J5324" s="3">
        <v>0</v>
      </c>
      <c r="K5324" s="3">
        <f t="shared" si="194"/>
        <v>0</v>
      </c>
      <c r="L5324" s="3"/>
      <c r="M5324" s="3">
        <f t="shared" si="195"/>
        <v>0</v>
      </c>
      <c r="N5324" s="3"/>
      <c r="O5324" s="5"/>
      <c r="S5324" s="11"/>
    </row>
    <row r="5325" spans="1:24" customFormat="1" x14ac:dyDescent="0.45">
      <c r="A5325">
        <v>171279</v>
      </c>
      <c r="B5325" t="s">
        <v>26287</v>
      </c>
      <c r="C5325" t="s">
        <v>26288</v>
      </c>
      <c r="D5325" s="2">
        <v>5</v>
      </c>
      <c r="F5325" s="126"/>
      <c r="G5325" s="3">
        <v>0</v>
      </c>
      <c r="H5325" s="3">
        <v>0</v>
      </c>
      <c r="I5325" s="3">
        <v>0</v>
      </c>
      <c r="J5325" s="3">
        <v>0</v>
      </c>
      <c r="K5325" s="3">
        <f t="shared" si="194"/>
        <v>0</v>
      </c>
      <c r="L5325" s="3"/>
      <c r="M5325" s="3">
        <f t="shared" si="195"/>
        <v>0</v>
      </c>
      <c r="N5325" s="3"/>
      <c r="O5325" s="5"/>
      <c r="S5325" s="11"/>
    </row>
    <row r="5326" spans="1:24" customFormat="1" x14ac:dyDescent="0.45">
      <c r="A5326">
        <v>196146</v>
      </c>
      <c r="B5326" t="s">
        <v>26289</v>
      </c>
      <c r="C5326" t="s">
        <v>26290</v>
      </c>
      <c r="D5326" s="2">
        <v>1</v>
      </c>
      <c r="F5326" s="126"/>
      <c r="G5326" s="3">
        <v>0</v>
      </c>
      <c r="H5326" s="3">
        <v>0</v>
      </c>
      <c r="I5326" s="3">
        <v>0</v>
      </c>
      <c r="J5326" s="3">
        <v>0</v>
      </c>
      <c r="K5326" s="3">
        <f t="shared" si="194"/>
        <v>0</v>
      </c>
      <c r="L5326" s="3"/>
      <c r="M5326" s="3">
        <f t="shared" si="195"/>
        <v>0</v>
      </c>
      <c r="N5326" s="3"/>
      <c r="O5326" s="5"/>
      <c r="S5326" s="11"/>
    </row>
    <row r="5327" spans="1:24" customFormat="1" x14ac:dyDescent="0.45">
      <c r="A5327">
        <v>208330</v>
      </c>
      <c r="B5327" t="s">
        <v>26291</v>
      </c>
      <c r="C5327" t="s">
        <v>26292</v>
      </c>
      <c r="D5327" s="2">
        <v>0</v>
      </c>
      <c r="E5327" t="s">
        <v>26293</v>
      </c>
      <c r="F5327" s="126"/>
      <c r="G5327" s="3">
        <v>0</v>
      </c>
      <c r="H5327" s="3">
        <v>0</v>
      </c>
      <c r="I5327" s="3">
        <v>0</v>
      </c>
      <c r="J5327" s="3">
        <v>0</v>
      </c>
      <c r="K5327" s="3">
        <f t="shared" si="194"/>
        <v>0</v>
      </c>
      <c r="L5327" s="3"/>
      <c r="M5327" s="3">
        <f t="shared" si="195"/>
        <v>0</v>
      </c>
      <c r="N5327" s="3"/>
      <c r="O5327" s="5"/>
      <c r="S5327" s="11"/>
    </row>
    <row r="5328" spans="1:24" customFormat="1" x14ac:dyDescent="0.45">
      <c r="A5328">
        <v>209539</v>
      </c>
      <c r="B5328" t="s">
        <v>26294</v>
      </c>
      <c r="C5328" t="s">
        <v>26295</v>
      </c>
      <c r="D5328" s="2">
        <v>1</v>
      </c>
      <c r="F5328" s="126"/>
      <c r="G5328" s="3">
        <v>0</v>
      </c>
      <c r="H5328" s="3">
        <v>0</v>
      </c>
      <c r="I5328" s="3">
        <v>0</v>
      </c>
      <c r="J5328" s="3">
        <v>0</v>
      </c>
      <c r="K5328" s="3">
        <f t="shared" si="194"/>
        <v>0</v>
      </c>
      <c r="L5328" s="3"/>
      <c r="M5328" s="3">
        <f t="shared" si="195"/>
        <v>0</v>
      </c>
      <c r="N5328" s="3"/>
      <c r="O5328" s="5"/>
      <c r="S5328" s="11"/>
    </row>
    <row r="5329" spans="1:19" customFormat="1" x14ac:dyDescent="0.45">
      <c r="A5329">
        <v>142402</v>
      </c>
      <c r="B5329" t="s">
        <v>26296</v>
      </c>
      <c r="C5329" t="s">
        <v>26297</v>
      </c>
      <c r="D5329" s="2">
        <v>0</v>
      </c>
      <c r="E5329" t="s">
        <v>26267</v>
      </c>
      <c r="F5329" s="126"/>
      <c r="G5329" s="3">
        <v>0</v>
      </c>
      <c r="H5329" s="3">
        <v>0</v>
      </c>
      <c r="I5329" s="3">
        <v>0</v>
      </c>
      <c r="J5329" s="3">
        <v>0</v>
      </c>
      <c r="K5329" s="3">
        <f t="shared" si="194"/>
        <v>0</v>
      </c>
      <c r="L5329" s="3"/>
      <c r="M5329" s="3">
        <f t="shared" si="195"/>
        <v>0</v>
      </c>
      <c r="N5329" s="3"/>
      <c r="O5329" s="5"/>
      <c r="S5329" s="11"/>
    </row>
    <row r="5330" spans="1:19" customFormat="1" x14ac:dyDescent="0.45">
      <c r="A5330">
        <v>204650</v>
      </c>
      <c r="B5330" t="s">
        <v>26298</v>
      </c>
      <c r="C5330" t="s">
        <v>26299</v>
      </c>
      <c r="D5330" s="2">
        <v>6</v>
      </c>
      <c r="F5330" s="126"/>
      <c r="G5330" s="3"/>
      <c r="H5330" s="3"/>
      <c r="I5330" s="3"/>
      <c r="J5330" s="3"/>
      <c r="K5330" s="3">
        <f t="shared" si="194"/>
        <v>0</v>
      </c>
      <c r="L5330" s="3"/>
      <c r="M5330" s="3">
        <f t="shared" si="195"/>
        <v>0</v>
      </c>
      <c r="N5330" s="3"/>
      <c r="O5330" s="5"/>
      <c r="S5330" s="11"/>
    </row>
    <row r="5331" spans="1:19" customFormat="1" x14ac:dyDescent="0.45">
      <c r="A5331">
        <v>221740</v>
      </c>
      <c r="B5331" t="s">
        <v>26300</v>
      </c>
      <c r="C5331" t="s">
        <v>26301</v>
      </c>
      <c r="D5331" s="2">
        <v>4</v>
      </c>
      <c r="F5331" s="126"/>
      <c r="G5331" s="3">
        <v>0</v>
      </c>
      <c r="H5331" s="3">
        <v>0</v>
      </c>
      <c r="I5331" s="3">
        <v>0</v>
      </c>
      <c r="J5331" s="3">
        <v>0</v>
      </c>
      <c r="K5331" s="3">
        <f t="shared" si="194"/>
        <v>0</v>
      </c>
      <c r="L5331" s="3"/>
      <c r="M5331" s="3">
        <f t="shared" si="195"/>
        <v>0</v>
      </c>
      <c r="N5331" s="3"/>
      <c r="O5331" s="5"/>
      <c r="S5331" s="11"/>
    </row>
    <row r="5332" spans="1:19" customFormat="1" x14ac:dyDescent="0.45">
      <c r="A5332">
        <v>141831</v>
      </c>
      <c r="B5332" t="s">
        <v>26302</v>
      </c>
      <c r="C5332" s="2" t="s">
        <v>26303</v>
      </c>
      <c r="D5332" s="2">
        <v>0</v>
      </c>
      <c r="E5332" t="s">
        <v>16417</v>
      </c>
      <c r="F5332" s="126"/>
      <c r="G5332" s="3"/>
      <c r="H5332" s="3"/>
      <c r="I5332" s="3"/>
      <c r="J5332" s="3"/>
      <c r="K5332" s="3">
        <f t="shared" si="194"/>
        <v>0</v>
      </c>
      <c r="L5332" s="3"/>
      <c r="M5332" s="3">
        <f t="shared" si="195"/>
        <v>0</v>
      </c>
      <c r="N5332" s="3"/>
      <c r="O5332" s="5"/>
      <c r="S5332" s="11"/>
    </row>
    <row r="5333" spans="1:19" customFormat="1" x14ac:dyDescent="0.45">
      <c r="A5333">
        <v>192356</v>
      </c>
      <c r="B5333" t="s">
        <v>26304</v>
      </c>
      <c r="C5333" t="s">
        <v>26305</v>
      </c>
      <c r="D5333" s="2">
        <v>4</v>
      </c>
      <c r="F5333" s="126"/>
      <c r="G5333" s="3">
        <v>0</v>
      </c>
      <c r="H5333" s="3">
        <v>0</v>
      </c>
      <c r="I5333" s="3">
        <v>0</v>
      </c>
      <c r="J5333" s="3">
        <v>0</v>
      </c>
      <c r="K5333" s="3">
        <f t="shared" si="194"/>
        <v>0</v>
      </c>
      <c r="L5333" s="3"/>
      <c r="M5333" s="3">
        <f t="shared" si="195"/>
        <v>0</v>
      </c>
      <c r="N5333" s="3"/>
      <c r="O5333" s="5"/>
      <c r="S5333" s="11"/>
    </row>
    <row r="5334" spans="1:19" customFormat="1" x14ac:dyDescent="0.45">
      <c r="A5334">
        <v>224915</v>
      </c>
      <c r="B5334" t="s">
        <v>26306</v>
      </c>
      <c r="C5334" t="s">
        <v>26307</v>
      </c>
      <c r="D5334" s="2">
        <v>2</v>
      </c>
      <c r="F5334" s="126"/>
      <c r="G5334" s="3">
        <v>0</v>
      </c>
      <c r="H5334" s="3">
        <v>0</v>
      </c>
      <c r="I5334" s="3">
        <v>0</v>
      </c>
      <c r="J5334" s="3">
        <v>0</v>
      </c>
      <c r="K5334" s="3">
        <f t="shared" si="194"/>
        <v>0</v>
      </c>
      <c r="L5334" s="3"/>
      <c r="M5334" s="3">
        <f t="shared" si="195"/>
        <v>0</v>
      </c>
      <c r="N5334" s="3"/>
      <c r="O5334" s="5"/>
      <c r="S5334" s="11"/>
    </row>
    <row r="5335" spans="1:19" customFormat="1" x14ac:dyDescent="0.45">
      <c r="A5335">
        <v>116310</v>
      </c>
      <c r="B5335" t="s">
        <v>26308</v>
      </c>
      <c r="C5335" t="s">
        <v>26309</v>
      </c>
      <c r="D5335" s="2">
        <v>0</v>
      </c>
      <c r="E5335" t="s">
        <v>16509</v>
      </c>
      <c r="F5335" s="126"/>
      <c r="G5335" s="3"/>
      <c r="H5335" s="3"/>
      <c r="I5335" s="3"/>
      <c r="J5335" s="3"/>
      <c r="K5335" s="3">
        <f t="shared" si="194"/>
        <v>0</v>
      </c>
      <c r="L5335" s="3"/>
      <c r="M5335" s="3">
        <f t="shared" si="195"/>
        <v>0</v>
      </c>
      <c r="N5335" s="3"/>
      <c r="O5335" s="5"/>
      <c r="S5335" s="11"/>
    </row>
    <row r="5336" spans="1:19" customFormat="1" x14ac:dyDescent="0.45">
      <c r="A5336">
        <v>150101</v>
      </c>
      <c r="B5336" t="s">
        <v>26310</v>
      </c>
      <c r="C5336" t="s">
        <v>26311</v>
      </c>
      <c r="D5336" s="2">
        <v>1</v>
      </c>
      <c r="F5336" s="126"/>
      <c r="G5336" s="3"/>
      <c r="H5336" s="3"/>
      <c r="I5336" s="3"/>
      <c r="J5336" s="3"/>
      <c r="K5336" s="3">
        <f t="shared" si="194"/>
        <v>0</v>
      </c>
      <c r="L5336" s="3"/>
      <c r="M5336" s="3">
        <f t="shared" si="195"/>
        <v>0</v>
      </c>
      <c r="N5336" s="3"/>
      <c r="O5336" s="5"/>
      <c r="S5336" s="11"/>
    </row>
    <row r="5337" spans="1:19" customFormat="1" x14ac:dyDescent="0.45">
      <c r="A5337">
        <v>197248</v>
      </c>
      <c r="B5337" t="s">
        <v>26312</v>
      </c>
      <c r="C5337" t="s">
        <v>26313</v>
      </c>
      <c r="D5337" s="2">
        <v>1</v>
      </c>
      <c r="F5337" s="126"/>
      <c r="G5337" s="3">
        <v>0</v>
      </c>
      <c r="H5337" s="3">
        <v>0</v>
      </c>
      <c r="I5337" s="3">
        <v>0</v>
      </c>
      <c r="J5337" s="3">
        <v>0</v>
      </c>
      <c r="K5337" s="3">
        <f t="shared" si="194"/>
        <v>0</v>
      </c>
      <c r="L5337" s="3"/>
      <c r="M5337" s="3">
        <f t="shared" si="195"/>
        <v>0</v>
      </c>
      <c r="N5337" s="3"/>
      <c r="O5337" s="5"/>
      <c r="S5337" s="11"/>
    </row>
    <row r="5338" spans="1:19" customFormat="1" x14ac:dyDescent="0.45">
      <c r="A5338">
        <v>207801</v>
      </c>
      <c r="B5338" t="s">
        <v>26314</v>
      </c>
      <c r="C5338" t="s">
        <v>26315</v>
      </c>
      <c r="D5338" s="2">
        <v>1</v>
      </c>
      <c r="F5338" s="126"/>
      <c r="G5338" s="3">
        <v>0</v>
      </c>
      <c r="H5338" s="3">
        <v>0</v>
      </c>
      <c r="I5338" s="3">
        <v>0</v>
      </c>
      <c r="J5338" s="3">
        <v>0</v>
      </c>
      <c r="K5338" s="3">
        <f t="shared" si="194"/>
        <v>0</v>
      </c>
      <c r="L5338" s="3"/>
      <c r="M5338" s="3">
        <f t="shared" si="195"/>
        <v>0</v>
      </c>
      <c r="N5338" s="3"/>
      <c r="O5338" s="5"/>
      <c r="S5338" s="11"/>
    </row>
    <row r="5339" spans="1:19" customFormat="1" x14ac:dyDescent="0.45">
      <c r="A5339">
        <v>144340</v>
      </c>
      <c r="B5339" t="s">
        <v>26316</v>
      </c>
      <c r="C5339" t="s">
        <v>26317</v>
      </c>
      <c r="D5339" s="2">
        <v>2</v>
      </c>
      <c r="F5339" s="126"/>
      <c r="G5339" s="3"/>
      <c r="H5339" s="3"/>
      <c r="I5339" s="3"/>
      <c r="J5339" s="3"/>
      <c r="K5339" s="3">
        <f t="shared" si="194"/>
        <v>0</v>
      </c>
      <c r="L5339" s="3"/>
      <c r="M5339" s="3">
        <f t="shared" si="195"/>
        <v>0</v>
      </c>
      <c r="N5339" s="3"/>
      <c r="O5339" s="5"/>
      <c r="S5339" s="11"/>
    </row>
    <row r="5340" spans="1:19" customFormat="1" x14ac:dyDescent="0.45">
      <c r="A5340">
        <v>402408</v>
      </c>
      <c r="B5340" t="s">
        <v>26318</v>
      </c>
      <c r="C5340" t="s">
        <v>26319</v>
      </c>
      <c r="D5340" s="2">
        <v>1</v>
      </c>
      <c r="E5340" t="s">
        <v>26267</v>
      </c>
      <c r="F5340" s="126"/>
      <c r="G5340" s="3">
        <v>0</v>
      </c>
      <c r="H5340" s="3">
        <v>0</v>
      </c>
      <c r="I5340" s="3">
        <v>0</v>
      </c>
      <c r="J5340" s="3">
        <v>0</v>
      </c>
      <c r="K5340" s="3">
        <f t="shared" si="194"/>
        <v>0</v>
      </c>
      <c r="L5340" s="3"/>
      <c r="M5340" s="3">
        <f t="shared" si="195"/>
        <v>0</v>
      </c>
      <c r="N5340" s="3"/>
      <c r="O5340" s="5"/>
      <c r="S5340" s="11"/>
    </row>
    <row r="5341" spans="1:19" customFormat="1" x14ac:dyDescent="0.45">
      <c r="A5341">
        <v>222067</v>
      </c>
      <c r="B5341" t="s">
        <v>26320</v>
      </c>
      <c r="C5341" t="s">
        <v>26321</v>
      </c>
      <c r="D5341" s="2">
        <v>5</v>
      </c>
      <c r="F5341" s="126"/>
      <c r="G5341" s="3">
        <v>0</v>
      </c>
      <c r="H5341" s="3">
        <v>0</v>
      </c>
      <c r="I5341" s="3">
        <v>0</v>
      </c>
      <c r="J5341" s="3">
        <v>0</v>
      </c>
      <c r="K5341" s="3">
        <f t="shared" si="194"/>
        <v>0</v>
      </c>
      <c r="L5341" s="3"/>
      <c r="M5341" s="3">
        <f t="shared" si="195"/>
        <v>0</v>
      </c>
      <c r="N5341" s="3"/>
      <c r="O5341" s="5"/>
      <c r="S5341" s="11"/>
    </row>
    <row r="5342" spans="1:19" customFormat="1" x14ac:dyDescent="0.45">
      <c r="A5342">
        <v>402411</v>
      </c>
      <c r="B5342" t="s">
        <v>26322</v>
      </c>
      <c r="C5342" t="s">
        <v>26323</v>
      </c>
      <c r="D5342" s="2">
        <v>1</v>
      </c>
      <c r="F5342" s="126"/>
      <c r="G5342" s="3">
        <v>0</v>
      </c>
      <c r="H5342" s="3">
        <v>0</v>
      </c>
      <c r="I5342" s="3">
        <v>0</v>
      </c>
      <c r="J5342" s="3">
        <v>0</v>
      </c>
      <c r="K5342" s="3">
        <f t="shared" si="194"/>
        <v>0</v>
      </c>
      <c r="L5342" s="3"/>
      <c r="M5342" s="3">
        <f t="shared" si="195"/>
        <v>0</v>
      </c>
      <c r="N5342" s="3"/>
      <c r="O5342" s="5"/>
      <c r="S5342" s="11"/>
    </row>
    <row r="5343" spans="1:19" customFormat="1" x14ac:dyDescent="0.45">
      <c r="A5343">
        <v>301612</v>
      </c>
      <c r="B5343" t="s">
        <v>26324</v>
      </c>
      <c r="C5343" t="s">
        <v>26325</v>
      </c>
      <c r="D5343" s="2">
        <v>2</v>
      </c>
      <c r="F5343" s="126"/>
      <c r="G5343" s="3"/>
      <c r="H5343" s="3"/>
      <c r="I5343" s="3"/>
      <c r="J5343" s="3"/>
      <c r="K5343" s="3">
        <f t="shared" si="194"/>
        <v>0</v>
      </c>
      <c r="L5343" s="3"/>
      <c r="M5343" s="3">
        <f t="shared" si="195"/>
        <v>0</v>
      </c>
      <c r="N5343" s="3"/>
      <c r="O5343" s="5"/>
      <c r="S5343" s="11"/>
    </row>
    <row r="5344" spans="1:19" customFormat="1" x14ac:dyDescent="0.45">
      <c r="A5344">
        <v>225986</v>
      </c>
      <c r="B5344" t="s">
        <v>26326</v>
      </c>
      <c r="C5344" t="s">
        <v>26327</v>
      </c>
      <c r="D5344" s="2">
        <v>2</v>
      </c>
      <c r="F5344" s="126"/>
      <c r="G5344" s="3">
        <v>0</v>
      </c>
      <c r="H5344" s="3">
        <v>0</v>
      </c>
      <c r="I5344" s="3">
        <v>0</v>
      </c>
      <c r="J5344" s="3">
        <v>0</v>
      </c>
      <c r="K5344" s="3">
        <f t="shared" si="194"/>
        <v>0</v>
      </c>
      <c r="L5344" s="3"/>
      <c r="M5344" s="3">
        <f t="shared" si="195"/>
        <v>0</v>
      </c>
      <c r="N5344" s="3"/>
      <c r="O5344" s="5"/>
      <c r="S5344" s="11"/>
    </row>
    <row r="5345" spans="1:22" customFormat="1" x14ac:dyDescent="0.45">
      <c r="A5345">
        <v>409324</v>
      </c>
      <c r="B5345" t="s">
        <v>26328</v>
      </c>
      <c r="C5345" t="s">
        <v>26329</v>
      </c>
      <c r="D5345" s="2">
        <v>15</v>
      </c>
      <c r="F5345" s="126"/>
      <c r="G5345" s="3">
        <v>0</v>
      </c>
      <c r="H5345" s="3">
        <v>0</v>
      </c>
      <c r="I5345" s="3">
        <v>0</v>
      </c>
      <c r="J5345" s="3">
        <v>0</v>
      </c>
      <c r="K5345" s="3">
        <f t="shared" si="194"/>
        <v>0</v>
      </c>
      <c r="L5345" s="3"/>
      <c r="M5345" s="3">
        <f t="shared" si="195"/>
        <v>0</v>
      </c>
      <c r="N5345" s="3"/>
      <c r="O5345" s="5"/>
      <c r="S5345" s="11"/>
    </row>
    <row r="5346" spans="1:22" customFormat="1" x14ac:dyDescent="0.45">
      <c r="A5346">
        <v>196923</v>
      </c>
      <c r="B5346" t="s">
        <v>26330</v>
      </c>
      <c r="C5346" t="s">
        <v>26331</v>
      </c>
      <c r="D5346" s="2">
        <v>0</v>
      </c>
      <c r="E5346" t="s">
        <v>16509</v>
      </c>
      <c r="F5346" s="126"/>
      <c r="G5346" s="3">
        <v>0</v>
      </c>
      <c r="H5346" s="3">
        <v>0</v>
      </c>
      <c r="I5346" s="3">
        <v>0</v>
      </c>
      <c r="J5346" s="3">
        <v>0</v>
      </c>
      <c r="K5346" s="3">
        <f t="shared" si="194"/>
        <v>0</v>
      </c>
      <c r="L5346" s="3"/>
      <c r="M5346" s="3">
        <f t="shared" si="195"/>
        <v>0</v>
      </c>
      <c r="N5346" s="3"/>
      <c r="O5346" s="5"/>
      <c r="S5346" s="11"/>
    </row>
    <row r="5347" spans="1:22" customFormat="1" x14ac:dyDescent="0.45">
      <c r="A5347">
        <v>431002</v>
      </c>
      <c r="B5347" t="s">
        <v>26332</v>
      </c>
      <c r="C5347" t="s">
        <v>26333</v>
      </c>
      <c r="D5347" s="2">
        <v>1</v>
      </c>
      <c r="F5347" s="126"/>
      <c r="G5347" s="3">
        <v>0</v>
      </c>
      <c r="H5347" s="3">
        <v>0</v>
      </c>
      <c r="I5347" s="3">
        <v>0</v>
      </c>
      <c r="J5347" s="3">
        <v>0</v>
      </c>
      <c r="K5347" s="3">
        <f t="shared" si="194"/>
        <v>0</v>
      </c>
      <c r="L5347" s="3"/>
      <c r="M5347" s="3">
        <f t="shared" si="195"/>
        <v>0</v>
      </c>
      <c r="N5347" s="3"/>
      <c r="O5347" s="5"/>
      <c r="S5347" s="11"/>
    </row>
    <row r="5348" spans="1:22" customFormat="1" x14ac:dyDescent="0.45">
      <c r="A5348">
        <v>402945</v>
      </c>
      <c r="B5348" t="s">
        <v>26334</v>
      </c>
      <c r="C5348" t="s">
        <v>26335</v>
      </c>
      <c r="D5348" s="2">
        <v>0</v>
      </c>
      <c r="E5348" t="s">
        <v>26267</v>
      </c>
      <c r="F5348" s="126"/>
      <c r="G5348" s="3">
        <v>0</v>
      </c>
      <c r="H5348" s="3">
        <v>0</v>
      </c>
      <c r="I5348" s="3">
        <v>0</v>
      </c>
      <c r="J5348" s="3">
        <v>0</v>
      </c>
      <c r="K5348" s="3">
        <f t="shared" si="194"/>
        <v>0</v>
      </c>
      <c r="L5348" s="3"/>
      <c r="M5348" s="3">
        <f t="shared" si="195"/>
        <v>0</v>
      </c>
      <c r="N5348" s="3"/>
      <c r="O5348" s="5"/>
      <c r="S5348" s="11"/>
    </row>
    <row r="5349" spans="1:22" customFormat="1" x14ac:dyDescent="0.45">
      <c r="A5349">
        <v>301531</v>
      </c>
      <c r="B5349" t="s">
        <v>26336</v>
      </c>
      <c r="C5349" t="s">
        <v>26337</v>
      </c>
      <c r="D5349" s="2">
        <v>1</v>
      </c>
      <c r="F5349" s="126"/>
      <c r="G5349" s="3">
        <v>0</v>
      </c>
      <c r="H5349" s="3">
        <v>0</v>
      </c>
      <c r="I5349" s="3">
        <v>0</v>
      </c>
      <c r="J5349" s="3">
        <v>0</v>
      </c>
      <c r="K5349" s="3">
        <f t="shared" si="194"/>
        <v>0</v>
      </c>
      <c r="L5349" s="3"/>
      <c r="M5349" s="3">
        <f t="shared" si="195"/>
        <v>0</v>
      </c>
      <c r="N5349" s="3"/>
      <c r="O5349" s="5"/>
      <c r="S5349" s="11"/>
    </row>
    <row r="5350" spans="1:22" customFormat="1" x14ac:dyDescent="0.45">
      <c r="A5350">
        <v>215406</v>
      </c>
      <c r="B5350" t="s">
        <v>26338</v>
      </c>
      <c r="C5350" t="s">
        <v>26339</v>
      </c>
      <c r="D5350" s="2">
        <v>2</v>
      </c>
      <c r="F5350" s="126"/>
      <c r="G5350" s="3">
        <v>0</v>
      </c>
      <c r="H5350" s="3">
        <v>0</v>
      </c>
      <c r="I5350" s="3">
        <v>0</v>
      </c>
      <c r="J5350" s="3">
        <v>0</v>
      </c>
      <c r="K5350" s="3">
        <f t="shared" si="194"/>
        <v>0</v>
      </c>
      <c r="L5350" s="3"/>
      <c r="M5350" s="3">
        <f t="shared" si="195"/>
        <v>0</v>
      </c>
      <c r="N5350" s="3"/>
      <c r="O5350" s="5"/>
      <c r="S5350" s="11"/>
    </row>
    <row r="5351" spans="1:22" customFormat="1" x14ac:dyDescent="0.45">
      <c r="A5351">
        <v>434571</v>
      </c>
      <c r="B5351" t="s">
        <v>26340</v>
      </c>
      <c r="C5351" t="s">
        <v>26341</v>
      </c>
      <c r="D5351" s="2">
        <v>2</v>
      </c>
      <c r="F5351" s="126"/>
      <c r="G5351" s="3">
        <v>0</v>
      </c>
      <c r="H5351" s="3">
        <v>0</v>
      </c>
      <c r="I5351" s="3">
        <v>0</v>
      </c>
      <c r="J5351" s="3">
        <v>0</v>
      </c>
      <c r="K5351" s="3">
        <f t="shared" ref="K5351:K5354" si="196">SUM(G5351:J5351)</f>
        <v>0</v>
      </c>
      <c r="L5351" s="3"/>
      <c r="M5351" s="3">
        <f t="shared" ref="M5351:M5354" si="197">K5351+F5351</f>
        <v>0</v>
      </c>
      <c r="N5351" s="3"/>
      <c r="O5351" s="5"/>
      <c r="S5351" s="11"/>
    </row>
    <row r="5352" spans="1:22" customFormat="1" x14ac:dyDescent="0.45">
      <c r="A5352">
        <v>401834</v>
      </c>
      <c r="B5352" t="s">
        <v>26342</v>
      </c>
      <c r="C5352" t="s">
        <v>26343</v>
      </c>
      <c r="D5352" s="2">
        <v>2</v>
      </c>
      <c r="F5352" s="126"/>
      <c r="G5352" s="3"/>
      <c r="H5352" s="3"/>
      <c r="I5352" s="3"/>
      <c r="J5352" s="3"/>
      <c r="K5352" s="3">
        <f t="shared" si="196"/>
        <v>0</v>
      </c>
      <c r="L5352" s="3"/>
      <c r="M5352" s="3">
        <f t="shared" si="197"/>
        <v>0</v>
      </c>
      <c r="N5352" s="3"/>
      <c r="O5352" s="5"/>
      <c r="S5352" s="11"/>
    </row>
    <row r="5353" spans="1:22" customFormat="1" x14ac:dyDescent="0.45">
      <c r="A5353">
        <v>437558</v>
      </c>
      <c r="B5353" t="s">
        <v>26344</v>
      </c>
      <c r="C5353" t="s">
        <v>26345</v>
      </c>
      <c r="D5353" s="2">
        <v>2</v>
      </c>
      <c r="F5353" s="126"/>
      <c r="G5353" s="3">
        <v>0</v>
      </c>
      <c r="H5353" s="3">
        <v>0</v>
      </c>
      <c r="I5353" s="3">
        <v>0</v>
      </c>
      <c r="J5353" s="3">
        <v>0</v>
      </c>
      <c r="K5353" s="3">
        <f t="shared" si="196"/>
        <v>0</v>
      </c>
      <c r="L5353" s="3"/>
      <c r="M5353" s="3">
        <f t="shared" si="197"/>
        <v>0</v>
      </c>
      <c r="N5353" s="3"/>
      <c r="O5353" s="5"/>
      <c r="S5353" s="11"/>
    </row>
    <row r="5354" spans="1:22" customFormat="1" x14ac:dyDescent="0.45">
      <c r="A5354">
        <v>413235</v>
      </c>
      <c r="B5354" t="s">
        <v>26346</v>
      </c>
      <c r="C5354" t="s">
        <v>26347</v>
      </c>
      <c r="D5354" s="2">
        <v>5</v>
      </c>
      <c r="F5354" s="126"/>
      <c r="G5354" s="3">
        <v>0</v>
      </c>
      <c r="H5354" s="3">
        <v>0</v>
      </c>
      <c r="I5354" s="3">
        <v>0</v>
      </c>
      <c r="J5354" s="3">
        <v>0</v>
      </c>
      <c r="K5354" s="3">
        <f t="shared" si="196"/>
        <v>0</v>
      </c>
      <c r="L5354" s="3"/>
      <c r="M5354" s="3">
        <f t="shared" si="197"/>
        <v>0</v>
      </c>
      <c r="N5354" s="3"/>
      <c r="O5354" s="5"/>
      <c r="S5354" s="11"/>
    </row>
    <row r="5355" spans="1:22" customFormat="1" x14ac:dyDescent="0.45">
      <c r="A5355">
        <v>440718</v>
      </c>
      <c r="B5355" t="s">
        <v>26348</v>
      </c>
      <c r="C5355" t="s">
        <v>21901</v>
      </c>
      <c r="D5355" s="2">
        <v>2</v>
      </c>
      <c r="E5355" t="s">
        <v>26349</v>
      </c>
      <c r="F5355" s="126">
        <f>0.38%+0.3%</f>
        <v>6.8000000000000005E-3</v>
      </c>
      <c r="G5355" s="25">
        <f>495/100000</f>
        <v>4.9500000000000004E-3</v>
      </c>
      <c r="H5355" s="3">
        <v>0</v>
      </c>
      <c r="I5355" s="4">
        <v>0</v>
      </c>
      <c r="J5355" s="4">
        <v>0</v>
      </c>
      <c r="K5355" s="3"/>
      <c r="L5355" s="3"/>
      <c r="M5355" s="3"/>
      <c r="N5355" s="3" t="s">
        <v>26350</v>
      </c>
      <c r="O5355" s="24" t="s">
        <v>16704</v>
      </c>
      <c r="Q5355" s="6">
        <v>36154</v>
      </c>
      <c r="R5355" s="6" t="s">
        <v>16</v>
      </c>
      <c r="S5355" s="11">
        <v>29005</v>
      </c>
      <c r="T5355" s="10">
        <f>S5355/Q5355</f>
        <v>0.80226254356364446</v>
      </c>
      <c r="U5355" s="6"/>
      <c r="V5355" s="2" t="s">
        <v>26351</v>
      </c>
    </row>
    <row r="5356" spans="1:22" customFormat="1" x14ac:dyDescent="0.45">
      <c r="A5356">
        <v>429047</v>
      </c>
      <c r="B5356" t="s">
        <v>26352</v>
      </c>
      <c r="C5356" t="s">
        <v>26353</v>
      </c>
      <c r="D5356" s="2">
        <v>3</v>
      </c>
      <c r="F5356" s="126"/>
      <c r="G5356" s="3">
        <v>0</v>
      </c>
      <c r="H5356" s="3">
        <v>0</v>
      </c>
      <c r="I5356" s="3">
        <v>0</v>
      </c>
      <c r="J5356" s="3">
        <v>0</v>
      </c>
      <c r="K5356" s="3">
        <f t="shared" ref="K5356:K5398" si="198">SUM(G5356:J5356)</f>
        <v>0</v>
      </c>
      <c r="L5356" s="3"/>
      <c r="M5356" s="3">
        <f t="shared" ref="M5356:M5398" si="199">K5356+F5356</f>
        <v>0</v>
      </c>
      <c r="N5356" s="3"/>
      <c r="O5356" s="5"/>
      <c r="S5356" s="11"/>
    </row>
    <row r="5357" spans="1:22" customFormat="1" x14ac:dyDescent="0.45">
      <c r="A5357">
        <v>429896</v>
      </c>
      <c r="B5357" t="s">
        <v>26354</v>
      </c>
      <c r="C5357" t="s">
        <v>26355</v>
      </c>
      <c r="D5357" s="2">
        <v>1</v>
      </c>
      <c r="F5357" s="126"/>
      <c r="G5357" s="3">
        <v>0</v>
      </c>
      <c r="H5357" s="3">
        <v>0</v>
      </c>
      <c r="I5357" s="3">
        <v>0</v>
      </c>
      <c r="J5357" s="3">
        <v>0</v>
      </c>
      <c r="K5357" s="3">
        <f t="shared" si="198"/>
        <v>0</v>
      </c>
      <c r="L5357" s="3"/>
      <c r="M5357" s="3">
        <f t="shared" si="199"/>
        <v>0</v>
      </c>
      <c r="N5357" s="3"/>
      <c r="O5357" s="5"/>
      <c r="S5357" s="11"/>
    </row>
    <row r="5358" spans="1:22" customFormat="1" x14ac:dyDescent="0.45">
      <c r="A5358">
        <v>441987</v>
      </c>
      <c r="B5358" t="s">
        <v>26356</v>
      </c>
      <c r="C5358" t="s">
        <v>26357</v>
      </c>
      <c r="D5358" s="2">
        <v>1</v>
      </c>
      <c r="F5358" s="126"/>
      <c r="G5358" s="3">
        <v>0</v>
      </c>
      <c r="H5358" s="3">
        <v>0</v>
      </c>
      <c r="I5358" s="3">
        <v>0</v>
      </c>
      <c r="J5358" s="3">
        <v>0</v>
      </c>
      <c r="K5358" s="3">
        <f t="shared" si="198"/>
        <v>0</v>
      </c>
      <c r="L5358" s="3"/>
      <c r="M5358" s="3">
        <f t="shared" si="199"/>
        <v>0</v>
      </c>
      <c r="N5358" s="3"/>
      <c r="O5358" s="5"/>
      <c r="S5358" s="11"/>
    </row>
    <row r="5359" spans="1:22" customFormat="1" x14ac:dyDescent="0.45">
      <c r="A5359">
        <v>454592</v>
      </c>
      <c r="B5359" t="s">
        <v>26358</v>
      </c>
      <c r="C5359" t="s">
        <v>26359</v>
      </c>
      <c r="D5359" s="2">
        <v>2</v>
      </c>
      <c r="F5359" s="126"/>
      <c r="G5359" s="3">
        <v>0</v>
      </c>
      <c r="H5359" s="3">
        <v>0</v>
      </c>
      <c r="I5359" s="3">
        <v>0</v>
      </c>
      <c r="J5359" s="3">
        <v>0</v>
      </c>
      <c r="K5359" s="3">
        <f t="shared" si="198"/>
        <v>0</v>
      </c>
      <c r="L5359" s="3"/>
      <c r="M5359" s="3">
        <f t="shared" si="199"/>
        <v>0</v>
      </c>
      <c r="N5359" s="3"/>
      <c r="O5359" s="5"/>
      <c r="S5359" s="11"/>
    </row>
    <row r="5360" spans="1:22" customFormat="1" x14ac:dyDescent="0.45">
      <c r="A5360">
        <v>431647</v>
      </c>
      <c r="B5360" t="s">
        <v>26360</v>
      </c>
      <c r="C5360" t="s">
        <v>26361</v>
      </c>
      <c r="D5360" s="2">
        <v>1</v>
      </c>
      <c r="F5360" s="126"/>
      <c r="G5360" s="3">
        <v>0</v>
      </c>
      <c r="H5360" s="3">
        <v>0</v>
      </c>
      <c r="I5360" s="3">
        <v>0</v>
      </c>
      <c r="J5360" s="3">
        <v>0</v>
      </c>
      <c r="K5360" s="3">
        <f t="shared" si="198"/>
        <v>0</v>
      </c>
      <c r="L5360" s="3"/>
      <c r="M5360" s="3">
        <f t="shared" si="199"/>
        <v>0</v>
      </c>
      <c r="N5360" s="3"/>
      <c r="O5360" s="5"/>
      <c r="S5360" s="11"/>
    </row>
    <row r="5361" spans="1:19" customFormat="1" x14ac:dyDescent="0.45">
      <c r="A5361">
        <v>455243</v>
      </c>
      <c r="B5361" t="s">
        <v>26362</v>
      </c>
      <c r="C5361" t="s">
        <v>26363</v>
      </c>
      <c r="D5361" s="2">
        <v>1</v>
      </c>
      <c r="F5361" s="126"/>
      <c r="G5361" s="3">
        <v>0</v>
      </c>
      <c r="H5361" s="3">
        <v>0</v>
      </c>
      <c r="I5361" s="3">
        <v>0</v>
      </c>
      <c r="J5361" s="3">
        <v>0</v>
      </c>
      <c r="K5361" s="3">
        <f t="shared" si="198"/>
        <v>0</v>
      </c>
      <c r="L5361" s="3"/>
      <c r="M5361" s="3">
        <f t="shared" si="199"/>
        <v>0</v>
      </c>
      <c r="N5361" s="3"/>
      <c r="O5361" s="5"/>
      <c r="S5361" s="11"/>
    </row>
    <row r="5362" spans="1:19" customFormat="1" x14ac:dyDescent="0.45">
      <c r="A5362">
        <v>462217</v>
      </c>
      <c r="B5362" t="s">
        <v>26364</v>
      </c>
      <c r="C5362" t="s">
        <v>26365</v>
      </c>
      <c r="D5362" s="2">
        <v>1</v>
      </c>
      <c r="F5362" s="126"/>
      <c r="G5362" s="3">
        <v>0</v>
      </c>
      <c r="H5362" s="3">
        <v>0</v>
      </c>
      <c r="I5362" s="3">
        <v>0</v>
      </c>
      <c r="J5362" s="3">
        <v>0</v>
      </c>
      <c r="K5362" s="3">
        <f t="shared" si="198"/>
        <v>0</v>
      </c>
      <c r="L5362" s="3"/>
      <c r="M5362" s="3">
        <f t="shared" si="199"/>
        <v>0</v>
      </c>
      <c r="N5362" s="3"/>
      <c r="O5362" s="5"/>
      <c r="S5362" s="11"/>
    </row>
    <row r="5363" spans="1:19" customFormat="1" x14ac:dyDescent="0.45">
      <c r="A5363">
        <v>170942</v>
      </c>
      <c r="B5363" t="s">
        <v>26366</v>
      </c>
      <c r="C5363" t="s">
        <v>26367</v>
      </c>
      <c r="D5363" s="2">
        <v>2</v>
      </c>
      <c r="F5363" s="126"/>
      <c r="G5363" s="3">
        <v>0</v>
      </c>
      <c r="H5363" s="3">
        <v>0</v>
      </c>
      <c r="I5363" s="3">
        <v>0</v>
      </c>
      <c r="J5363" s="3">
        <v>0</v>
      </c>
      <c r="K5363" s="3">
        <f t="shared" si="198"/>
        <v>0</v>
      </c>
      <c r="L5363" s="3"/>
      <c r="M5363" s="3">
        <f t="shared" si="199"/>
        <v>0</v>
      </c>
      <c r="N5363" s="3"/>
      <c r="O5363" s="5"/>
      <c r="S5363" s="11"/>
    </row>
    <row r="5364" spans="1:19" customFormat="1" x14ac:dyDescent="0.45">
      <c r="A5364">
        <v>401123</v>
      </c>
      <c r="B5364" t="s">
        <v>26368</v>
      </c>
      <c r="C5364" t="s">
        <v>26369</v>
      </c>
      <c r="D5364" s="2">
        <v>2</v>
      </c>
      <c r="F5364" s="126"/>
      <c r="G5364" s="3"/>
      <c r="H5364" s="3"/>
      <c r="I5364" s="3"/>
      <c r="J5364" s="3"/>
      <c r="K5364" s="3">
        <f t="shared" si="198"/>
        <v>0</v>
      </c>
      <c r="L5364" s="3"/>
      <c r="M5364" s="3">
        <f t="shared" si="199"/>
        <v>0</v>
      </c>
      <c r="N5364" s="3"/>
      <c r="O5364" s="5"/>
      <c r="S5364" s="11"/>
    </row>
    <row r="5365" spans="1:19" customFormat="1" x14ac:dyDescent="0.45">
      <c r="A5365">
        <v>219614</v>
      </c>
      <c r="B5365" t="s">
        <v>26370</v>
      </c>
      <c r="C5365" t="s">
        <v>26371</v>
      </c>
      <c r="D5365" s="2">
        <v>1</v>
      </c>
      <c r="F5365" s="126"/>
      <c r="G5365" s="3"/>
      <c r="H5365" s="3"/>
      <c r="I5365" s="3"/>
      <c r="J5365" s="3"/>
      <c r="K5365" s="3">
        <f t="shared" si="198"/>
        <v>0</v>
      </c>
      <c r="L5365" s="3"/>
      <c r="M5365" s="3">
        <f t="shared" si="199"/>
        <v>0</v>
      </c>
      <c r="N5365" s="3"/>
      <c r="O5365" s="5"/>
      <c r="S5365" s="11"/>
    </row>
    <row r="5366" spans="1:19" customFormat="1" x14ac:dyDescent="0.45">
      <c r="A5366">
        <v>313934</v>
      </c>
      <c r="B5366" t="s">
        <v>26372</v>
      </c>
      <c r="C5366" t="s">
        <v>26373</v>
      </c>
      <c r="D5366" s="2">
        <v>1</v>
      </c>
      <c r="F5366" s="126"/>
      <c r="G5366" s="3">
        <v>0</v>
      </c>
      <c r="H5366" s="3">
        <v>0</v>
      </c>
      <c r="I5366" s="3">
        <v>0</v>
      </c>
      <c r="J5366" s="3">
        <v>0</v>
      </c>
      <c r="K5366" s="3">
        <f t="shared" si="198"/>
        <v>0</v>
      </c>
      <c r="L5366" s="3"/>
      <c r="M5366" s="3">
        <f t="shared" si="199"/>
        <v>0</v>
      </c>
      <c r="N5366" s="3"/>
      <c r="O5366" s="5"/>
      <c r="S5366" s="11"/>
    </row>
    <row r="5367" spans="1:19" customFormat="1" x14ac:dyDescent="0.45">
      <c r="A5367">
        <v>446785</v>
      </c>
      <c r="B5367" t="s">
        <v>26374</v>
      </c>
      <c r="C5367" t="s">
        <v>26375</v>
      </c>
      <c r="D5367" s="2">
        <v>1</v>
      </c>
      <c r="F5367" s="126"/>
      <c r="G5367" s="3"/>
      <c r="H5367" s="3"/>
      <c r="I5367" s="3"/>
      <c r="J5367" s="3"/>
      <c r="K5367" s="3">
        <f t="shared" si="198"/>
        <v>0</v>
      </c>
      <c r="L5367" s="3"/>
      <c r="M5367" s="3">
        <f t="shared" si="199"/>
        <v>0</v>
      </c>
      <c r="N5367" s="3"/>
      <c r="O5367" s="5"/>
      <c r="S5367" s="11"/>
    </row>
    <row r="5368" spans="1:19" customFormat="1" x14ac:dyDescent="0.45">
      <c r="A5368">
        <v>431634</v>
      </c>
      <c r="B5368" t="s">
        <v>26376</v>
      </c>
      <c r="C5368" t="s">
        <v>26377</v>
      </c>
      <c r="D5368" s="2">
        <v>2</v>
      </c>
      <c r="F5368" s="126"/>
      <c r="G5368" s="3">
        <v>0</v>
      </c>
      <c r="H5368" s="3">
        <v>0</v>
      </c>
      <c r="I5368" s="3">
        <v>0</v>
      </c>
      <c r="J5368" s="3">
        <v>0</v>
      </c>
      <c r="K5368" s="3">
        <f t="shared" si="198"/>
        <v>0</v>
      </c>
      <c r="L5368" s="3"/>
      <c r="M5368" s="3">
        <f t="shared" si="199"/>
        <v>0</v>
      </c>
      <c r="N5368" s="3"/>
      <c r="O5368" s="5"/>
      <c r="S5368" s="11"/>
    </row>
    <row r="5369" spans="1:19" customFormat="1" x14ac:dyDescent="0.45">
      <c r="A5369">
        <v>464465</v>
      </c>
      <c r="B5369" t="s">
        <v>26378</v>
      </c>
      <c r="C5369" t="s">
        <v>19717</v>
      </c>
      <c r="D5369" s="2">
        <v>1</v>
      </c>
      <c r="F5369" s="126"/>
      <c r="G5369" s="3"/>
      <c r="H5369" s="3"/>
      <c r="I5369" s="3"/>
      <c r="J5369" s="3"/>
      <c r="K5369" s="3">
        <f t="shared" si="198"/>
        <v>0</v>
      </c>
      <c r="L5369" s="3"/>
      <c r="M5369" s="3">
        <f t="shared" si="199"/>
        <v>0</v>
      </c>
      <c r="N5369" s="3"/>
      <c r="O5369" s="5"/>
      <c r="S5369" s="11"/>
    </row>
    <row r="5370" spans="1:19" customFormat="1" x14ac:dyDescent="0.45">
      <c r="A5370">
        <v>465575</v>
      </c>
      <c r="B5370" t="s">
        <v>26379</v>
      </c>
      <c r="C5370" t="s">
        <v>26380</v>
      </c>
      <c r="D5370" s="2">
        <v>1</v>
      </c>
      <c r="F5370" s="126"/>
      <c r="G5370" s="3">
        <v>0</v>
      </c>
      <c r="H5370" s="3">
        <v>0</v>
      </c>
      <c r="I5370" s="3">
        <v>0</v>
      </c>
      <c r="J5370" s="3">
        <v>0</v>
      </c>
      <c r="K5370" s="3">
        <f t="shared" si="198"/>
        <v>0</v>
      </c>
      <c r="L5370" s="3"/>
      <c r="M5370" s="3">
        <f t="shared" si="199"/>
        <v>0</v>
      </c>
      <c r="N5370" s="3"/>
      <c r="O5370" s="5"/>
      <c r="S5370" s="11"/>
    </row>
    <row r="5371" spans="1:19" customFormat="1" x14ac:dyDescent="0.45">
      <c r="A5371">
        <v>478936</v>
      </c>
      <c r="B5371" t="s">
        <v>26381</v>
      </c>
      <c r="C5371" t="s">
        <v>26382</v>
      </c>
      <c r="D5371" s="2">
        <v>1</v>
      </c>
      <c r="F5371" s="126"/>
      <c r="G5371" s="3">
        <v>0</v>
      </c>
      <c r="H5371" s="3">
        <v>0</v>
      </c>
      <c r="I5371" s="3">
        <v>0</v>
      </c>
      <c r="J5371" s="3">
        <v>0</v>
      </c>
      <c r="K5371" s="3">
        <f t="shared" si="198"/>
        <v>0</v>
      </c>
      <c r="L5371" s="3"/>
      <c r="M5371" s="3">
        <f t="shared" si="199"/>
        <v>0</v>
      </c>
      <c r="N5371" s="3"/>
      <c r="O5371" s="5"/>
      <c r="S5371" s="11"/>
    </row>
    <row r="5372" spans="1:19" customFormat="1" x14ac:dyDescent="0.45">
      <c r="A5372">
        <v>439650</v>
      </c>
      <c r="B5372" t="s">
        <v>26383</v>
      </c>
      <c r="C5372" t="s">
        <v>26384</v>
      </c>
      <c r="D5372" s="2">
        <v>1</v>
      </c>
      <c r="F5372" s="126"/>
      <c r="G5372" s="3"/>
      <c r="H5372" s="3"/>
      <c r="I5372" s="3"/>
      <c r="J5372" s="3"/>
      <c r="K5372" s="3">
        <f t="shared" si="198"/>
        <v>0</v>
      </c>
      <c r="L5372" s="3"/>
      <c r="M5372" s="3">
        <f t="shared" si="199"/>
        <v>0</v>
      </c>
      <c r="N5372" s="3"/>
      <c r="O5372" s="5"/>
      <c r="S5372" s="11"/>
    </row>
    <row r="5373" spans="1:19" customFormat="1" x14ac:dyDescent="0.45">
      <c r="A5373">
        <v>454742</v>
      </c>
      <c r="B5373" t="s">
        <v>26385</v>
      </c>
      <c r="C5373" t="s">
        <v>26386</v>
      </c>
      <c r="D5373" s="2">
        <v>1</v>
      </c>
      <c r="F5373" s="126"/>
      <c r="G5373" s="3"/>
      <c r="H5373" s="3"/>
      <c r="I5373" s="3" t="s">
        <v>26387</v>
      </c>
      <c r="J5373" s="3"/>
      <c r="K5373" s="3">
        <f t="shared" si="198"/>
        <v>0</v>
      </c>
      <c r="L5373" s="3"/>
      <c r="M5373" s="3">
        <f t="shared" si="199"/>
        <v>0</v>
      </c>
      <c r="N5373" s="3"/>
      <c r="O5373" s="5"/>
      <c r="S5373" s="11"/>
    </row>
    <row r="5374" spans="1:19" customFormat="1" x14ac:dyDescent="0.45">
      <c r="A5374">
        <v>431709</v>
      </c>
      <c r="B5374" t="s">
        <v>26388</v>
      </c>
      <c r="C5374" t="s">
        <v>26389</v>
      </c>
      <c r="D5374" s="2">
        <v>1</v>
      </c>
      <c r="F5374" s="126"/>
      <c r="G5374" s="3">
        <v>0</v>
      </c>
      <c r="H5374" s="3">
        <v>0</v>
      </c>
      <c r="I5374" s="3">
        <v>0</v>
      </c>
      <c r="J5374" s="3">
        <v>0</v>
      </c>
      <c r="K5374" s="3">
        <f t="shared" si="198"/>
        <v>0</v>
      </c>
      <c r="L5374" s="3"/>
      <c r="M5374" s="3">
        <f t="shared" si="199"/>
        <v>0</v>
      </c>
      <c r="N5374" s="3"/>
      <c r="O5374" s="5"/>
      <c r="S5374" s="11"/>
    </row>
    <row r="5375" spans="1:19" customFormat="1" x14ac:dyDescent="0.45">
      <c r="A5375">
        <v>472631</v>
      </c>
      <c r="B5375" t="s">
        <v>26390</v>
      </c>
      <c r="C5375" t="s">
        <v>26391</v>
      </c>
      <c r="D5375" s="2">
        <v>0</v>
      </c>
      <c r="E5375" t="s">
        <v>26392</v>
      </c>
      <c r="F5375" s="126"/>
      <c r="G5375" s="3">
        <v>0</v>
      </c>
      <c r="H5375" s="3">
        <v>0</v>
      </c>
      <c r="I5375" s="3">
        <v>0</v>
      </c>
      <c r="J5375" s="3">
        <v>0</v>
      </c>
      <c r="K5375" s="3">
        <f t="shared" si="198"/>
        <v>0</v>
      </c>
      <c r="L5375" s="3"/>
      <c r="M5375" s="3">
        <f t="shared" si="199"/>
        <v>0</v>
      </c>
      <c r="N5375" s="3"/>
      <c r="O5375" s="5"/>
      <c r="S5375" s="11"/>
    </row>
    <row r="5376" spans="1:19" customFormat="1" x14ac:dyDescent="0.45">
      <c r="A5376">
        <v>497403</v>
      </c>
      <c r="B5376" t="s">
        <v>26393</v>
      </c>
      <c r="C5376" t="s">
        <v>26394</v>
      </c>
      <c r="D5376" s="2">
        <v>1</v>
      </c>
      <c r="F5376" s="126"/>
      <c r="G5376" s="3">
        <v>0</v>
      </c>
      <c r="H5376" s="3">
        <v>0</v>
      </c>
      <c r="I5376" s="3">
        <v>0</v>
      </c>
      <c r="J5376" s="3">
        <v>0</v>
      </c>
      <c r="K5376" s="3">
        <f t="shared" si="198"/>
        <v>0</v>
      </c>
      <c r="L5376" s="3"/>
      <c r="M5376" s="3">
        <f t="shared" si="199"/>
        <v>0</v>
      </c>
      <c r="N5376" s="3"/>
      <c r="O5376" s="5"/>
      <c r="S5376" s="11"/>
    </row>
    <row r="5377" spans="1:19" customFormat="1" x14ac:dyDescent="0.45">
      <c r="A5377">
        <v>500546</v>
      </c>
      <c r="B5377" t="s">
        <v>26395</v>
      </c>
      <c r="C5377" t="s">
        <v>26396</v>
      </c>
      <c r="D5377" s="2">
        <v>0</v>
      </c>
      <c r="E5377" t="s">
        <v>16509</v>
      </c>
      <c r="F5377" s="126"/>
      <c r="G5377" s="3">
        <v>0</v>
      </c>
      <c r="H5377" s="3">
        <v>0</v>
      </c>
      <c r="I5377" s="3">
        <v>0</v>
      </c>
      <c r="J5377" s="3">
        <v>0</v>
      </c>
      <c r="K5377" s="3">
        <f t="shared" si="198"/>
        <v>0</v>
      </c>
      <c r="L5377" s="3"/>
      <c r="M5377" s="3">
        <f t="shared" si="199"/>
        <v>0</v>
      </c>
      <c r="N5377" s="3"/>
      <c r="O5377" s="5"/>
      <c r="S5377" s="11"/>
    </row>
    <row r="5378" spans="1:19" customFormat="1" x14ac:dyDescent="0.45">
      <c r="A5378">
        <v>500917</v>
      </c>
      <c r="B5378" t="s">
        <v>26397</v>
      </c>
      <c r="C5378" t="s">
        <v>26398</v>
      </c>
      <c r="D5378" s="2">
        <v>1</v>
      </c>
      <c r="F5378" s="126"/>
      <c r="G5378" s="3">
        <v>0</v>
      </c>
      <c r="H5378" s="3">
        <v>0</v>
      </c>
      <c r="I5378" s="3">
        <v>0</v>
      </c>
      <c r="J5378" s="3">
        <v>0</v>
      </c>
      <c r="K5378" s="3">
        <f t="shared" si="198"/>
        <v>0</v>
      </c>
      <c r="L5378" s="3"/>
      <c r="M5378" s="3">
        <f t="shared" si="199"/>
        <v>0</v>
      </c>
      <c r="N5378" s="3"/>
      <c r="O5378" s="5"/>
      <c r="S5378" s="11"/>
    </row>
    <row r="5379" spans="1:19" customFormat="1" x14ac:dyDescent="0.45">
      <c r="A5379">
        <v>498639</v>
      </c>
      <c r="B5379" t="s">
        <v>26399</v>
      </c>
      <c r="C5379" t="s">
        <v>26400</v>
      </c>
      <c r="D5379" s="2">
        <v>0</v>
      </c>
      <c r="E5379" t="s">
        <v>16509</v>
      </c>
      <c r="F5379" s="126"/>
      <c r="G5379" s="3">
        <v>0</v>
      </c>
      <c r="H5379" s="3">
        <v>0</v>
      </c>
      <c r="I5379" s="3">
        <v>0</v>
      </c>
      <c r="J5379" s="3">
        <v>0</v>
      </c>
      <c r="K5379" s="3">
        <f t="shared" si="198"/>
        <v>0</v>
      </c>
      <c r="L5379" s="3"/>
      <c r="M5379" s="3">
        <f t="shared" si="199"/>
        <v>0</v>
      </c>
      <c r="N5379" s="3"/>
      <c r="O5379" s="5"/>
      <c r="S5379" s="11"/>
    </row>
    <row r="5380" spans="1:19" customFormat="1" x14ac:dyDescent="0.45">
      <c r="A5380">
        <v>461555</v>
      </c>
      <c r="B5380" t="s">
        <v>26401</v>
      </c>
      <c r="C5380" t="s">
        <v>26402</v>
      </c>
      <c r="D5380" s="2">
        <v>1</v>
      </c>
      <c r="F5380" s="126"/>
      <c r="G5380" s="3">
        <v>0</v>
      </c>
      <c r="H5380" s="3">
        <v>0</v>
      </c>
      <c r="I5380" s="3">
        <v>0</v>
      </c>
      <c r="J5380" s="3">
        <v>0</v>
      </c>
      <c r="K5380" s="3">
        <f t="shared" si="198"/>
        <v>0</v>
      </c>
      <c r="L5380" s="3"/>
      <c r="M5380" s="3">
        <f t="shared" si="199"/>
        <v>0</v>
      </c>
      <c r="N5380" s="3"/>
      <c r="O5380" s="5"/>
      <c r="S5380" s="11"/>
    </row>
    <row r="5381" spans="1:19" customFormat="1" x14ac:dyDescent="0.45">
      <c r="A5381">
        <v>464196</v>
      </c>
      <c r="B5381" t="s">
        <v>26403</v>
      </c>
      <c r="C5381" t="s">
        <v>26404</v>
      </c>
      <c r="D5381" s="2">
        <v>2</v>
      </c>
      <c r="F5381" s="126"/>
      <c r="G5381" s="3">
        <v>0</v>
      </c>
      <c r="H5381" s="3">
        <v>0</v>
      </c>
      <c r="I5381" s="3">
        <v>0</v>
      </c>
      <c r="J5381" s="3">
        <v>0</v>
      </c>
      <c r="K5381" s="3">
        <f t="shared" si="198"/>
        <v>0</v>
      </c>
      <c r="L5381" s="3"/>
      <c r="M5381" s="3">
        <f t="shared" si="199"/>
        <v>0</v>
      </c>
      <c r="N5381" s="3"/>
      <c r="O5381" s="5"/>
      <c r="S5381" s="11"/>
    </row>
    <row r="5382" spans="1:19" customFormat="1" x14ac:dyDescent="0.45">
      <c r="A5382">
        <v>464315</v>
      </c>
      <c r="B5382" t="s">
        <v>26405</v>
      </c>
      <c r="C5382" t="s">
        <v>26406</v>
      </c>
      <c r="D5382" s="2">
        <v>1</v>
      </c>
      <c r="F5382" s="126"/>
      <c r="G5382" s="3"/>
      <c r="H5382" s="3"/>
      <c r="I5382" s="3"/>
      <c r="J5382" s="3"/>
      <c r="K5382" s="3">
        <f t="shared" si="198"/>
        <v>0</v>
      </c>
      <c r="L5382" s="3"/>
      <c r="M5382" s="3">
        <f t="shared" si="199"/>
        <v>0</v>
      </c>
      <c r="N5382" s="3"/>
      <c r="O5382" s="5"/>
      <c r="S5382" s="11"/>
    </row>
    <row r="5383" spans="1:19" customFormat="1" x14ac:dyDescent="0.45">
      <c r="A5383">
        <v>493524</v>
      </c>
      <c r="B5383" t="s">
        <v>26407</v>
      </c>
      <c r="C5383" t="s">
        <v>26408</v>
      </c>
      <c r="D5383" s="2">
        <v>1</v>
      </c>
      <c r="F5383" s="126"/>
      <c r="G5383" s="3">
        <v>0</v>
      </c>
      <c r="H5383" s="3">
        <v>0</v>
      </c>
      <c r="I5383" s="3">
        <v>0</v>
      </c>
      <c r="J5383" s="3">
        <v>0</v>
      </c>
      <c r="K5383" s="3">
        <f t="shared" si="198"/>
        <v>0</v>
      </c>
      <c r="L5383" s="3"/>
      <c r="M5383" s="3">
        <f t="shared" si="199"/>
        <v>0</v>
      </c>
      <c r="N5383" s="3"/>
      <c r="O5383" s="5"/>
      <c r="S5383" s="11"/>
    </row>
    <row r="5384" spans="1:19" customFormat="1" x14ac:dyDescent="0.45">
      <c r="A5384">
        <v>511247</v>
      </c>
      <c r="B5384" t="s">
        <v>26409</v>
      </c>
      <c r="C5384" t="s">
        <v>26410</v>
      </c>
      <c r="D5384" s="2">
        <v>2</v>
      </c>
      <c r="F5384" s="126"/>
      <c r="G5384" s="3"/>
      <c r="H5384" s="3"/>
      <c r="I5384" s="3"/>
      <c r="J5384" s="3"/>
      <c r="K5384" s="3">
        <f t="shared" si="198"/>
        <v>0</v>
      </c>
      <c r="L5384" s="3"/>
      <c r="M5384" s="3">
        <f t="shared" si="199"/>
        <v>0</v>
      </c>
      <c r="N5384" s="3"/>
      <c r="O5384" s="5"/>
      <c r="S5384" s="11"/>
    </row>
    <row r="5385" spans="1:19" customFormat="1" x14ac:dyDescent="0.45">
      <c r="A5385">
        <v>516965</v>
      </c>
      <c r="B5385" t="s">
        <v>26411</v>
      </c>
      <c r="C5385" t="s">
        <v>26412</v>
      </c>
      <c r="D5385" s="2">
        <v>0</v>
      </c>
      <c r="E5385" t="s">
        <v>26392</v>
      </c>
      <c r="F5385" s="126"/>
      <c r="G5385" s="3">
        <v>0</v>
      </c>
      <c r="H5385" s="3">
        <v>0</v>
      </c>
      <c r="I5385" s="3">
        <v>0</v>
      </c>
      <c r="J5385" s="3">
        <v>0</v>
      </c>
      <c r="K5385" s="3">
        <f t="shared" si="198"/>
        <v>0</v>
      </c>
      <c r="L5385" s="3"/>
      <c r="M5385" s="3">
        <f t="shared" si="199"/>
        <v>0</v>
      </c>
      <c r="N5385" s="3"/>
      <c r="O5385" s="5"/>
      <c r="S5385" s="11"/>
    </row>
    <row r="5386" spans="1:19" customFormat="1" x14ac:dyDescent="0.45">
      <c r="A5386">
        <v>482309</v>
      </c>
      <c r="B5386" t="s">
        <v>26413</v>
      </c>
      <c r="C5386" t="s">
        <v>26414</v>
      </c>
      <c r="D5386" s="2">
        <v>2</v>
      </c>
      <c r="F5386" s="126"/>
      <c r="G5386" s="3">
        <v>0</v>
      </c>
      <c r="H5386" s="3">
        <v>0</v>
      </c>
      <c r="I5386" s="3">
        <v>0</v>
      </c>
      <c r="J5386" s="3">
        <v>0</v>
      </c>
      <c r="K5386" s="3">
        <f t="shared" si="198"/>
        <v>0</v>
      </c>
      <c r="L5386" s="3"/>
      <c r="M5386" s="3">
        <f t="shared" si="199"/>
        <v>0</v>
      </c>
      <c r="N5386" s="3"/>
      <c r="O5386" s="5"/>
      <c r="S5386" s="11"/>
    </row>
    <row r="5387" spans="1:19" customFormat="1" x14ac:dyDescent="0.45">
      <c r="A5387">
        <v>516371</v>
      </c>
      <c r="B5387" t="s">
        <v>26415</v>
      </c>
      <c r="C5387" t="s">
        <v>26416</v>
      </c>
      <c r="D5387" s="2">
        <v>1</v>
      </c>
      <c r="F5387" s="126"/>
      <c r="G5387" s="3">
        <v>0</v>
      </c>
      <c r="H5387" s="3">
        <v>0</v>
      </c>
      <c r="I5387" s="3">
        <v>0</v>
      </c>
      <c r="J5387" s="3">
        <v>0</v>
      </c>
      <c r="K5387" s="3">
        <f t="shared" si="198"/>
        <v>0</v>
      </c>
      <c r="L5387" s="3"/>
      <c r="M5387" s="3">
        <f t="shared" si="199"/>
        <v>0</v>
      </c>
      <c r="N5387" s="3"/>
      <c r="O5387" s="5"/>
      <c r="S5387" s="11"/>
    </row>
    <row r="5388" spans="1:19" customFormat="1" x14ac:dyDescent="0.45">
      <c r="A5388">
        <v>463878</v>
      </c>
      <c r="B5388" t="s">
        <v>26417</v>
      </c>
      <c r="C5388" t="s">
        <v>26418</v>
      </c>
      <c r="D5388" s="2">
        <v>1</v>
      </c>
      <c r="F5388" s="126"/>
      <c r="G5388" s="3"/>
      <c r="H5388" s="3"/>
      <c r="I5388" s="3"/>
      <c r="J5388" s="3"/>
      <c r="K5388" s="3">
        <f t="shared" si="198"/>
        <v>0</v>
      </c>
      <c r="L5388" s="3"/>
      <c r="M5388" s="3">
        <f t="shared" si="199"/>
        <v>0</v>
      </c>
      <c r="N5388" s="3"/>
      <c r="O5388" s="5"/>
      <c r="S5388" s="11"/>
    </row>
    <row r="5389" spans="1:19" customFormat="1" x14ac:dyDescent="0.45">
      <c r="A5389">
        <v>474825</v>
      </c>
      <c r="B5389" t="s">
        <v>26419</v>
      </c>
      <c r="C5389" t="s">
        <v>26420</v>
      </c>
      <c r="D5389" s="2">
        <v>1</v>
      </c>
      <c r="F5389" s="126"/>
      <c r="G5389" s="3"/>
      <c r="H5389" s="3"/>
      <c r="I5389" s="3"/>
      <c r="J5389" s="3"/>
      <c r="K5389" s="3">
        <f t="shared" si="198"/>
        <v>0</v>
      </c>
      <c r="L5389" s="3"/>
      <c r="M5389" s="3">
        <f t="shared" si="199"/>
        <v>0</v>
      </c>
      <c r="N5389" s="3"/>
      <c r="O5389" s="5"/>
      <c r="S5389" s="11"/>
    </row>
    <row r="5390" spans="1:19" customFormat="1" x14ac:dyDescent="0.45">
      <c r="A5390">
        <v>533079</v>
      </c>
      <c r="B5390" t="s">
        <v>26421</v>
      </c>
      <c r="C5390" t="s">
        <v>26422</v>
      </c>
      <c r="D5390" s="2">
        <v>1</v>
      </c>
      <c r="F5390" s="126"/>
      <c r="G5390" s="3"/>
      <c r="H5390" s="3"/>
      <c r="I5390" s="3"/>
      <c r="J5390" s="3"/>
      <c r="K5390" s="3">
        <f t="shared" si="198"/>
        <v>0</v>
      </c>
      <c r="L5390" s="3"/>
      <c r="M5390" s="3">
        <f t="shared" si="199"/>
        <v>0</v>
      </c>
      <c r="N5390" s="3"/>
      <c r="O5390" s="5"/>
      <c r="S5390" s="11"/>
    </row>
    <row r="5391" spans="1:19" customFormat="1" x14ac:dyDescent="0.45">
      <c r="A5391">
        <v>521396</v>
      </c>
      <c r="B5391" t="s">
        <v>26423</v>
      </c>
      <c r="C5391" t="s">
        <v>26424</v>
      </c>
      <c r="D5391" s="2">
        <v>0</v>
      </c>
      <c r="E5391" t="s">
        <v>26267</v>
      </c>
      <c r="F5391" s="126"/>
      <c r="G5391" s="3">
        <v>0</v>
      </c>
      <c r="H5391" s="3">
        <v>0</v>
      </c>
      <c r="I5391" s="3">
        <v>0</v>
      </c>
      <c r="J5391" s="3">
        <v>0</v>
      </c>
      <c r="K5391" s="3">
        <f t="shared" si="198"/>
        <v>0</v>
      </c>
      <c r="L5391" s="3"/>
      <c r="M5391" s="3">
        <f t="shared" si="199"/>
        <v>0</v>
      </c>
      <c r="N5391" s="3"/>
      <c r="O5391" s="5"/>
      <c r="S5391" s="11"/>
    </row>
    <row r="5392" spans="1:19" customFormat="1" x14ac:dyDescent="0.45">
      <c r="A5392">
        <v>525421</v>
      </c>
      <c r="B5392" t="s">
        <v>26425</v>
      </c>
      <c r="C5392" t="s">
        <v>26426</v>
      </c>
      <c r="D5392" s="2">
        <v>1</v>
      </c>
      <c r="F5392" s="126"/>
      <c r="G5392" s="3">
        <v>0</v>
      </c>
      <c r="H5392" s="3">
        <v>0</v>
      </c>
      <c r="I5392" s="3">
        <v>0</v>
      </c>
      <c r="J5392" s="3">
        <v>0</v>
      </c>
      <c r="K5392" s="3">
        <f t="shared" si="198"/>
        <v>0</v>
      </c>
      <c r="L5392" s="3"/>
      <c r="M5392" s="3">
        <f t="shared" si="199"/>
        <v>0</v>
      </c>
      <c r="N5392" s="3"/>
      <c r="O5392" s="5"/>
      <c r="S5392" s="11"/>
    </row>
    <row r="5393" spans="1:24" customFormat="1" x14ac:dyDescent="0.45">
      <c r="A5393">
        <v>544367</v>
      </c>
      <c r="B5393" t="s">
        <v>26427</v>
      </c>
      <c r="C5393" t="s">
        <v>26428</v>
      </c>
      <c r="D5393" s="2">
        <v>3</v>
      </c>
      <c r="F5393" s="126"/>
      <c r="G5393" s="3">
        <v>0</v>
      </c>
      <c r="H5393" s="3">
        <v>0</v>
      </c>
      <c r="I5393" s="3">
        <v>0</v>
      </c>
      <c r="J5393" s="3">
        <v>0</v>
      </c>
      <c r="K5393" s="3">
        <f t="shared" si="198"/>
        <v>0</v>
      </c>
      <c r="L5393" s="3"/>
      <c r="M5393" s="3">
        <f t="shared" si="199"/>
        <v>0</v>
      </c>
      <c r="N5393" s="3"/>
      <c r="O5393" s="5"/>
      <c r="S5393" s="11"/>
    </row>
    <row r="5394" spans="1:24" customFormat="1" x14ac:dyDescent="0.45">
      <c r="A5394">
        <v>482762</v>
      </c>
      <c r="B5394" t="s">
        <v>26429</v>
      </c>
      <c r="C5394" t="s">
        <v>26430</v>
      </c>
      <c r="D5394" s="2">
        <v>2</v>
      </c>
      <c r="F5394" s="126"/>
      <c r="G5394" s="3">
        <v>0</v>
      </c>
      <c r="H5394" s="3">
        <v>0</v>
      </c>
      <c r="I5394" s="3">
        <v>0</v>
      </c>
      <c r="J5394" s="3">
        <v>0</v>
      </c>
      <c r="K5394" s="3">
        <f t="shared" si="198"/>
        <v>0</v>
      </c>
      <c r="L5394" s="3"/>
      <c r="M5394" s="3">
        <f t="shared" si="199"/>
        <v>0</v>
      </c>
      <c r="N5394" s="3"/>
      <c r="O5394" s="5"/>
      <c r="S5394" s="11"/>
    </row>
    <row r="5395" spans="1:24" customFormat="1" x14ac:dyDescent="0.45">
      <c r="A5395">
        <v>507226</v>
      </c>
      <c r="B5395" t="s">
        <v>26431</v>
      </c>
      <c r="C5395" t="s">
        <v>26432</v>
      </c>
      <c r="D5395" s="2">
        <v>1</v>
      </c>
      <c r="F5395" s="126"/>
      <c r="G5395" s="3">
        <v>0</v>
      </c>
      <c r="H5395" s="3">
        <v>0</v>
      </c>
      <c r="I5395" s="3">
        <v>0</v>
      </c>
      <c r="J5395" s="3">
        <v>0</v>
      </c>
      <c r="K5395" s="3">
        <f t="shared" si="198"/>
        <v>0</v>
      </c>
      <c r="L5395" s="3"/>
      <c r="M5395" s="3">
        <f t="shared" si="199"/>
        <v>0</v>
      </c>
      <c r="N5395" s="3"/>
      <c r="O5395" s="5"/>
      <c r="S5395" s="11"/>
    </row>
    <row r="5396" spans="1:24" customFormat="1" x14ac:dyDescent="0.45">
      <c r="A5396">
        <v>537853</v>
      </c>
      <c r="B5396" t="s">
        <v>26433</v>
      </c>
      <c r="C5396" t="s">
        <v>26434</v>
      </c>
      <c r="D5396" s="2">
        <v>0</v>
      </c>
      <c r="E5396" t="s">
        <v>26267</v>
      </c>
      <c r="F5396" s="126"/>
      <c r="G5396" s="3">
        <v>0</v>
      </c>
      <c r="H5396" s="3">
        <v>0</v>
      </c>
      <c r="I5396" s="3">
        <v>0</v>
      </c>
      <c r="J5396" s="3">
        <v>0</v>
      </c>
      <c r="K5396" s="3">
        <f t="shared" si="198"/>
        <v>0</v>
      </c>
      <c r="L5396" s="3"/>
      <c r="M5396" s="3">
        <f t="shared" si="199"/>
        <v>0</v>
      </c>
      <c r="N5396" s="3"/>
      <c r="O5396" s="5"/>
      <c r="S5396" s="11"/>
    </row>
    <row r="5397" spans="1:24" customFormat="1" x14ac:dyDescent="0.45">
      <c r="A5397">
        <v>572395</v>
      </c>
      <c r="B5397" t="s">
        <v>26435</v>
      </c>
      <c r="C5397" t="s">
        <v>26436</v>
      </c>
      <c r="D5397" s="2">
        <v>4</v>
      </c>
      <c r="F5397" s="126"/>
      <c r="G5397" s="3">
        <v>0</v>
      </c>
      <c r="H5397" s="3">
        <v>0</v>
      </c>
      <c r="I5397" s="3">
        <v>0</v>
      </c>
      <c r="J5397" s="3">
        <v>0</v>
      </c>
      <c r="K5397" s="3">
        <f t="shared" si="198"/>
        <v>0</v>
      </c>
      <c r="L5397" s="3"/>
      <c r="M5397" s="3">
        <f t="shared" si="199"/>
        <v>0</v>
      </c>
      <c r="N5397" s="3"/>
      <c r="O5397" s="5"/>
      <c r="S5397" s="11"/>
    </row>
    <row r="5398" spans="1:24" customFormat="1" x14ac:dyDescent="0.45">
      <c r="A5398">
        <v>522512</v>
      </c>
      <c r="B5398" t="s">
        <v>26437</v>
      </c>
      <c r="C5398" t="s">
        <v>26438</v>
      </c>
      <c r="D5398" s="2">
        <v>1</v>
      </c>
      <c r="F5398" s="126"/>
      <c r="G5398" s="3"/>
      <c r="H5398" s="3"/>
      <c r="I5398" s="3"/>
      <c r="J5398" s="3"/>
      <c r="K5398" s="3">
        <f t="shared" si="198"/>
        <v>0</v>
      </c>
      <c r="L5398" s="3"/>
      <c r="M5398" s="3">
        <f t="shared" si="199"/>
        <v>0</v>
      </c>
      <c r="N5398" s="3"/>
      <c r="O5398" s="5"/>
      <c r="S5398" s="11"/>
    </row>
    <row r="5399" spans="1:24" customFormat="1" x14ac:dyDescent="0.45">
      <c r="A5399" s="14">
        <v>481803</v>
      </c>
      <c r="B5399" s="14" t="s">
        <v>26439</v>
      </c>
      <c r="C5399" s="14" t="s">
        <v>26440</v>
      </c>
      <c r="D5399" s="14">
        <v>4</v>
      </c>
      <c r="E5399" s="14" t="s">
        <v>16334</v>
      </c>
      <c r="F5399" s="126">
        <v>1.6999999999999999E-3</v>
      </c>
      <c r="G5399" s="16"/>
      <c r="H5399" s="16"/>
      <c r="I5399" s="17"/>
      <c r="J5399" s="17"/>
      <c r="K5399" s="16"/>
      <c r="L5399" s="16"/>
      <c r="M5399" s="16"/>
      <c r="N5399" s="14"/>
      <c r="O5399" s="14"/>
      <c r="P5399" s="68" t="s">
        <v>26918</v>
      </c>
      <c r="S5399" s="14"/>
      <c r="T5399" s="61" t="e">
        <f>S5399/Q5399</f>
        <v>#DIV/0!</v>
      </c>
      <c r="U5399" s="14"/>
      <c r="V5399" s="14"/>
      <c r="W5399" s="14"/>
      <c r="X5399" s="14"/>
    </row>
    <row r="5400" spans="1:24" customFormat="1" x14ac:dyDescent="0.45">
      <c r="A5400">
        <v>502036</v>
      </c>
      <c r="B5400" t="s">
        <v>26441</v>
      </c>
      <c r="C5400" t="s">
        <v>26442</v>
      </c>
      <c r="D5400" s="2">
        <v>3</v>
      </c>
      <c r="F5400" s="126"/>
      <c r="G5400" s="3">
        <v>0</v>
      </c>
      <c r="H5400" s="3">
        <v>0</v>
      </c>
      <c r="I5400" s="3">
        <v>0</v>
      </c>
      <c r="J5400" s="3">
        <v>0</v>
      </c>
      <c r="K5400" s="3">
        <f t="shared" ref="K5400:K5419" si="200">SUM(G5400:J5400)</f>
        <v>0</v>
      </c>
      <c r="L5400" s="3"/>
      <c r="M5400" s="3">
        <f t="shared" ref="M5400:M5419" si="201">K5400+F5400</f>
        <v>0</v>
      </c>
      <c r="N5400" s="3"/>
      <c r="O5400" s="5"/>
      <c r="S5400" s="11"/>
    </row>
    <row r="5401" spans="1:24" customFormat="1" x14ac:dyDescent="0.45">
      <c r="A5401">
        <v>517378</v>
      </c>
      <c r="B5401" t="s">
        <v>26443</v>
      </c>
      <c r="C5401" t="s">
        <v>26444</v>
      </c>
      <c r="D5401" s="2">
        <v>0</v>
      </c>
      <c r="E5401" t="s">
        <v>16509</v>
      </c>
      <c r="F5401" s="126"/>
      <c r="G5401" s="3">
        <v>0</v>
      </c>
      <c r="H5401" s="3">
        <v>0</v>
      </c>
      <c r="I5401" s="3">
        <v>0</v>
      </c>
      <c r="J5401" s="3">
        <v>0</v>
      </c>
      <c r="K5401" s="3">
        <f t="shared" si="200"/>
        <v>0</v>
      </c>
      <c r="L5401" s="3"/>
      <c r="M5401" s="3">
        <f t="shared" si="201"/>
        <v>0</v>
      </c>
      <c r="N5401" s="3"/>
      <c r="O5401" s="5"/>
      <c r="S5401" s="11"/>
    </row>
    <row r="5402" spans="1:24" customFormat="1" x14ac:dyDescent="0.45">
      <c r="A5402">
        <v>521678</v>
      </c>
      <c r="B5402" t="s">
        <v>26445</v>
      </c>
      <c r="C5402" t="s">
        <v>26446</v>
      </c>
      <c r="D5402" s="2">
        <v>1</v>
      </c>
      <c r="F5402" s="126"/>
      <c r="G5402" s="3">
        <v>0</v>
      </c>
      <c r="H5402" s="3">
        <v>0</v>
      </c>
      <c r="I5402" s="3">
        <v>0</v>
      </c>
      <c r="J5402" s="3">
        <v>0</v>
      </c>
      <c r="K5402" s="3">
        <f t="shared" si="200"/>
        <v>0</v>
      </c>
      <c r="L5402" s="3"/>
      <c r="M5402" s="3">
        <f t="shared" si="201"/>
        <v>0</v>
      </c>
      <c r="N5402" s="3"/>
      <c r="O5402" s="5"/>
      <c r="S5402" s="11"/>
    </row>
    <row r="5403" spans="1:24" customFormat="1" x14ac:dyDescent="0.45">
      <c r="A5403">
        <v>577053</v>
      </c>
      <c r="B5403" t="s">
        <v>26447</v>
      </c>
      <c r="C5403" t="s">
        <v>26448</v>
      </c>
      <c r="D5403" s="2">
        <v>1</v>
      </c>
      <c r="F5403" s="126"/>
      <c r="G5403" s="3">
        <v>0</v>
      </c>
      <c r="H5403" s="3">
        <v>0</v>
      </c>
      <c r="I5403" s="3">
        <v>0</v>
      </c>
      <c r="J5403" s="3">
        <v>0</v>
      </c>
      <c r="K5403" s="3">
        <f t="shared" si="200"/>
        <v>0</v>
      </c>
      <c r="L5403" s="3"/>
      <c r="M5403" s="3">
        <f t="shared" si="201"/>
        <v>0</v>
      </c>
      <c r="N5403" s="3"/>
      <c r="O5403" s="5"/>
      <c r="S5403" s="11"/>
    </row>
    <row r="5404" spans="1:24" customFormat="1" x14ac:dyDescent="0.45">
      <c r="A5404">
        <v>533879</v>
      </c>
      <c r="B5404" t="s">
        <v>26449</v>
      </c>
      <c r="C5404" t="s">
        <v>26450</v>
      </c>
      <c r="D5404" s="2">
        <v>1</v>
      </c>
      <c r="F5404" s="126"/>
      <c r="G5404" s="3">
        <v>0</v>
      </c>
      <c r="H5404" s="3">
        <v>0</v>
      </c>
      <c r="I5404" s="3">
        <v>0</v>
      </c>
      <c r="J5404" s="3">
        <v>0</v>
      </c>
      <c r="K5404" s="3">
        <f t="shared" si="200"/>
        <v>0</v>
      </c>
      <c r="L5404" s="3"/>
      <c r="M5404" s="3">
        <f t="shared" si="201"/>
        <v>0</v>
      </c>
      <c r="N5404" s="3"/>
      <c r="O5404" s="5"/>
      <c r="S5404" s="11"/>
    </row>
    <row r="5405" spans="1:24" customFormat="1" x14ac:dyDescent="0.45">
      <c r="A5405">
        <v>577452</v>
      </c>
      <c r="B5405" t="s">
        <v>26451</v>
      </c>
      <c r="C5405" t="s">
        <v>26452</v>
      </c>
      <c r="D5405" s="2">
        <v>0</v>
      </c>
      <c r="E5405" t="s">
        <v>26453</v>
      </c>
      <c r="F5405" s="126"/>
      <c r="G5405" s="3">
        <v>0</v>
      </c>
      <c r="H5405" s="3">
        <v>0</v>
      </c>
      <c r="I5405" s="3">
        <v>0</v>
      </c>
      <c r="J5405" s="3">
        <v>0</v>
      </c>
      <c r="K5405" s="3">
        <f t="shared" si="200"/>
        <v>0</v>
      </c>
      <c r="L5405" s="3"/>
      <c r="M5405" s="3">
        <f t="shared" si="201"/>
        <v>0</v>
      </c>
      <c r="N5405" s="3"/>
      <c r="O5405" s="5"/>
      <c r="S5405" s="11"/>
    </row>
    <row r="5406" spans="1:24" customFormat="1" x14ac:dyDescent="0.45">
      <c r="A5406">
        <v>588195</v>
      </c>
      <c r="B5406" t="s">
        <v>26454</v>
      </c>
      <c r="C5406" t="s">
        <v>26455</v>
      </c>
      <c r="D5406" s="2">
        <v>1</v>
      </c>
      <c r="F5406" s="126"/>
      <c r="G5406" s="3">
        <v>0</v>
      </c>
      <c r="H5406" s="3">
        <v>0</v>
      </c>
      <c r="I5406" s="3">
        <v>0</v>
      </c>
      <c r="J5406" s="3">
        <v>0</v>
      </c>
      <c r="K5406" s="3">
        <f t="shared" si="200"/>
        <v>0</v>
      </c>
      <c r="L5406" s="3"/>
      <c r="M5406" s="3">
        <f t="shared" si="201"/>
        <v>0</v>
      </c>
      <c r="N5406" s="3"/>
      <c r="O5406" s="5"/>
      <c r="S5406" s="11"/>
    </row>
    <row r="5407" spans="1:24" customFormat="1" x14ac:dyDescent="0.45">
      <c r="A5407">
        <v>583219</v>
      </c>
      <c r="B5407" t="s">
        <v>26456</v>
      </c>
      <c r="C5407" t="s">
        <v>26457</v>
      </c>
      <c r="D5407" s="2">
        <v>1</v>
      </c>
      <c r="F5407" s="126"/>
      <c r="G5407" s="3">
        <v>0</v>
      </c>
      <c r="H5407" s="3">
        <v>0</v>
      </c>
      <c r="I5407" s="3">
        <v>0</v>
      </c>
      <c r="J5407" s="3">
        <v>0</v>
      </c>
      <c r="K5407" s="3">
        <f t="shared" si="200"/>
        <v>0</v>
      </c>
      <c r="L5407" s="3"/>
      <c r="M5407" s="3">
        <f t="shared" si="201"/>
        <v>0</v>
      </c>
      <c r="N5407" s="3"/>
      <c r="O5407" s="5"/>
      <c r="S5407" s="11"/>
    </row>
    <row r="5408" spans="1:24" customFormat="1" x14ac:dyDescent="0.45">
      <c r="A5408">
        <v>563955</v>
      </c>
      <c r="B5408" t="s">
        <v>26458</v>
      </c>
      <c r="C5408" t="s">
        <v>26459</v>
      </c>
      <c r="D5408" s="2">
        <v>1</v>
      </c>
      <c r="F5408" s="126"/>
      <c r="G5408" s="3">
        <v>0</v>
      </c>
      <c r="H5408" s="3">
        <v>0</v>
      </c>
      <c r="I5408" s="3">
        <v>0</v>
      </c>
      <c r="J5408" s="3">
        <v>0</v>
      </c>
      <c r="K5408" s="3">
        <f t="shared" si="200"/>
        <v>0</v>
      </c>
      <c r="L5408" s="3"/>
      <c r="M5408" s="3">
        <f t="shared" si="201"/>
        <v>0</v>
      </c>
      <c r="N5408" s="3"/>
      <c r="O5408" s="5"/>
      <c r="S5408" s="11"/>
    </row>
    <row r="5409" spans="1:20" customFormat="1" x14ac:dyDescent="0.45">
      <c r="A5409">
        <v>598864</v>
      </c>
      <c r="B5409" t="s">
        <v>26460</v>
      </c>
      <c r="C5409" t="s">
        <v>26461</v>
      </c>
      <c r="D5409" s="2">
        <v>1</v>
      </c>
      <c r="F5409" s="126"/>
      <c r="G5409" s="3"/>
      <c r="H5409" s="3"/>
      <c r="I5409" s="3"/>
      <c r="J5409" s="3"/>
      <c r="K5409" s="3">
        <f t="shared" si="200"/>
        <v>0</v>
      </c>
      <c r="L5409" s="3"/>
      <c r="M5409" s="3">
        <f t="shared" si="201"/>
        <v>0</v>
      </c>
      <c r="N5409" s="3"/>
      <c r="O5409" s="5"/>
      <c r="S5409" s="11"/>
    </row>
    <row r="5410" spans="1:20" customFormat="1" x14ac:dyDescent="0.45">
      <c r="A5410">
        <v>567289</v>
      </c>
      <c r="B5410" t="s">
        <v>26462</v>
      </c>
      <c r="C5410" t="s">
        <v>26463</v>
      </c>
      <c r="D5410" s="2">
        <v>0</v>
      </c>
      <c r="E5410" t="s">
        <v>16393</v>
      </c>
      <c r="F5410" s="126"/>
      <c r="G5410" s="3"/>
      <c r="H5410" s="3"/>
      <c r="I5410" s="3"/>
      <c r="J5410" s="3"/>
      <c r="K5410" s="3">
        <f t="shared" si="200"/>
        <v>0</v>
      </c>
      <c r="L5410" s="3"/>
      <c r="M5410" s="3">
        <f t="shared" si="201"/>
        <v>0</v>
      </c>
      <c r="N5410" s="3"/>
      <c r="O5410" s="5"/>
      <c r="S5410" s="11"/>
    </row>
    <row r="5411" spans="1:20" customFormat="1" x14ac:dyDescent="0.45">
      <c r="A5411">
        <v>618336</v>
      </c>
      <c r="B5411" t="s">
        <v>26464</v>
      </c>
      <c r="C5411" t="s">
        <v>26465</v>
      </c>
      <c r="D5411" s="2">
        <v>3</v>
      </c>
      <c r="F5411" s="126"/>
      <c r="G5411" s="3">
        <v>0</v>
      </c>
      <c r="H5411" s="3">
        <v>0</v>
      </c>
      <c r="I5411" s="3">
        <v>0</v>
      </c>
      <c r="J5411" s="3">
        <v>0</v>
      </c>
      <c r="K5411" s="3">
        <f t="shared" si="200"/>
        <v>0</v>
      </c>
      <c r="L5411" s="3"/>
      <c r="M5411" s="3">
        <f t="shared" si="201"/>
        <v>0</v>
      </c>
      <c r="N5411" s="3"/>
      <c r="O5411" s="5"/>
      <c r="S5411" s="11"/>
    </row>
    <row r="5412" spans="1:20" customFormat="1" x14ac:dyDescent="0.45">
      <c r="A5412">
        <v>575505</v>
      </c>
      <c r="B5412" t="s">
        <v>26466</v>
      </c>
      <c r="C5412" t="s">
        <v>26467</v>
      </c>
      <c r="D5412" s="2">
        <v>1</v>
      </c>
      <c r="F5412" s="126"/>
      <c r="G5412" s="3">
        <v>0</v>
      </c>
      <c r="H5412" s="3">
        <v>0</v>
      </c>
      <c r="I5412" s="3">
        <v>0</v>
      </c>
      <c r="J5412" s="3">
        <v>0</v>
      </c>
      <c r="K5412" s="3">
        <f t="shared" si="200"/>
        <v>0</v>
      </c>
      <c r="L5412" s="3"/>
      <c r="M5412" s="3">
        <f t="shared" si="201"/>
        <v>0</v>
      </c>
      <c r="N5412" s="3"/>
      <c r="O5412" s="5"/>
      <c r="S5412" s="11"/>
    </row>
    <row r="5413" spans="1:20" customFormat="1" x14ac:dyDescent="0.45">
      <c r="A5413">
        <v>599268</v>
      </c>
      <c r="B5413" t="s">
        <v>26468</v>
      </c>
      <c r="C5413" t="s">
        <v>26469</v>
      </c>
      <c r="D5413" s="2">
        <v>1</v>
      </c>
      <c r="F5413" s="126"/>
      <c r="G5413" s="3">
        <v>0</v>
      </c>
      <c r="H5413" s="3">
        <v>0</v>
      </c>
      <c r="I5413" s="3">
        <v>0</v>
      </c>
      <c r="J5413" s="3">
        <v>0</v>
      </c>
      <c r="K5413" s="3">
        <f t="shared" si="200"/>
        <v>0</v>
      </c>
      <c r="L5413" s="3"/>
      <c r="M5413" s="3">
        <f t="shared" si="201"/>
        <v>0</v>
      </c>
      <c r="N5413" s="3"/>
      <c r="O5413" s="5"/>
      <c r="S5413" s="11"/>
    </row>
    <row r="5414" spans="1:20" customFormat="1" x14ac:dyDescent="0.45">
      <c r="A5414">
        <v>563043</v>
      </c>
      <c r="B5414" t="s">
        <v>26470</v>
      </c>
      <c r="C5414" t="s">
        <v>26471</v>
      </c>
      <c r="D5414" s="2">
        <v>1</v>
      </c>
      <c r="F5414" s="126"/>
      <c r="G5414" s="3">
        <v>0</v>
      </c>
      <c r="H5414" s="3">
        <v>0</v>
      </c>
      <c r="I5414" s="3">
        <v>0</v>
      </c>
      <c r="J5414" s="3">
        <v>0</v>
      </c>
      <c r="K5414" s="3">
        <f t="shared" si="200"/>
        <v>0</v>
      </c>
      <c r="L5414" s="3"/>
      <c r="M5414" s="3">
        <f t="shared" si="201"/>
        <v>0</v>
      </c>
      <c r="N5414" s="3"/>
      <c r="O5414" s="5"/>
      <c r="S5414" s="11"/>
    </row>
    <row r="5415" spans="1:20" customFormat="1" x14ac:dyDescent="0.45">
      <c r="A5415">
        <v>593784</v>
      </c>
      <c r="B5415" t="s">
        <v>26472</v>
      </c>
      <c r="C5415" t="s">
        <v>26473</v>
      </c>
      <c r="D5415" s="2">
        <v>3</v>
      </c>
      <c r="F5415" s="126"/>
      <c r="G5415" s="3">
        <v>0</v>
      </c>
      <c r="H5415" s="3">
        <v>0</v>
      </c>
      <c r="I5415" s="3">
        <v>0</v>
      </c>
      <c r="J5415" s="3">
        <v>0</v>
      </c>
      <c r="K5415" s="3">
        <f t="shared" si="200"/>
        <v>0</v>
      </c>
      <c r="L5415" s="3"/>
      <c r="M5415" s="3">
        <f t="shared" si="201"/>
        <v>0</v>
      </c>
      <c r="N5415" s="3"/>
      <c r="O5415" s="5"/>
      <c r="S5415" s="11"/>
    </row>
    <row r="5416" spans="1:20" customFormat="1" x14ac:dyDescent="0.45">
      <c r="A5416">
        <v>623878</v>
      </c>
      <c r="B5416" t="s">
        <v>26474</v>
      </c>
      <c r="C5416" t="s">
        <v>26475</v>
      </c>
      <c r="D5416" s="2">
        <v>1</v>
      </c>
      <c r="F5416" s="126"/>
      <c r="G5416" s="3">
        <v>0</v>
      </c>
      <c r="H5416" s="3">
        <v>0</v>
      </c>
      <c r="I5416" s="3">
        <v>0</v>
      </c>
      <c r="J5416" s="3">
        <v>0</v>
      </c>
      <c r="K5416" s="3">
        <f t="shared" si="200"/>
        <v>0</v>
      </c>
      <c r="L5416" s="3"/>
      <c r="M5416" s="3">
        <f t="shared" si="201"/>
        <v>0</v>
      </c>
      <c r="N5416" s="3"/>
      <c r="O5416" s="5"/>
      <c r="S5416" s="11"/>
    </row>
    <row r="5417" spans="1:20" customFormat="1" x14ac:dyDescent="0.45">
      <c r="A5417">
        <v>630427</v>
      </c>
      <c r="B5417" t="s">
        <v>26476</v>
      </c>
      <c r="C5417" t="s">
        <v>26477</v>
      </c>
      <c r="D5417" s="2">
        <v>3</v>
      </c>
      <c r="F5417" s="126"/>
      <c r="G5417" s="3">
        <v>0</v>
      </c>
      <c r="H5417" s="3">
        <v>0</v>
      </c>
      <c r="I5417" s="3">
        <v>0</v>
      </c>
      <c r="J5417" s="3">
        <v>0</v>
      </c>
      <c r="K5417" s="3">
        <f t="shared" si="200"/>
        <v>0</v>
      </c>
      <c r="L5417" s="3"/>
      <c r="M5417" s="3">
        <f t="shared" si="201"/>
        <v>0</v>
      </c>
      <c r="N5417" s="3"/>
      <c r="O5417" s="5"/>
      <c r="S5417" s="11"/>
    </row>
    <row r="5418" spans="1:20" customFormat="1" x14ac:dyDescent="0.45">
      <c r="A5418">
        <v>588344</v>
      </c>
      <c r="B5418" t="s">
        <v>26478</v>
      </c>
      <c r="C5418" t="s">
        <v>26479</v>
      </c>
      <c r="D5418" s="2">
        <v>1</v>
      </c>
      <c r="F5418" s="126"/>
      <c r="G5418" s="3">
        <v>0</v>
      </c>
      <c r="H5418" s="3">
        <v>0</v>
      </c>
      <c r="I5418" s="3">
        <v>0</v>
      </c>
      <c r="J5418" s="3">
        <v>0</v>
      </c>
      <c r="K5418" s="3">
        <f t="shared" si="200"/>
        <v>0</v>
      </c>
      <c r="L5418" s="3"/>
      <c r="M5418" s="3">
        <f t="shared" si="201"/>
        <v>0</v>
      </c>
      <c r="N5418" s="3"/>
      <c r="O5418" s="5"/>
      <c r="S5418" s="11"/>
    </row>
    <row r="5419" spans="1:20" customFormat="1" x14ac:dyDescent="0.45">
      <c r="A5419">
        <v>648171</v>
      </c>
      <c r="B5419" t="s">
        <v>26480</v>
      </c>
      <c r="C5419" t="s">
        <v>26481</v>
      </c>
      <c r="D5419" s="2">
        <v>0</v>
      </c>
      <c r="E5419" t="s">
        <v>26267</v>
      </c>
      <c r="F5419" s="126"/>
      <c r="G5419" s="3">
        <v>0</v>
      </c>
      <c r="H5419" s="3">
        <v>0</v>
      </c>
      <c r="I5419" s="3">
        <v>0</v>
      </c>
      <c r="J5419" s="3">
        <v>0</v>
      </c>
      <c r="K5419" s="3">
        <f t="shared" si="200"/>
        <v>0</v>
      </c>
      <c r="L5419" s="3"/>
      <c r="M5419" s="3">
        <f t="shared" si="201"/>
        <v>0</v>
      </c>
      <c r="N5419" s="3"/>
      <c r="O5419" s="5"/>
      <c r="S5419" s="11"/>
    </row>
    <row r="5420" spans="1:20" s="28" customFormat="1" x14ac:dyDescent="0.45">
      <c r="A5420" s="28">
        <v>606848</v>
      </c>
      <c r="B5420" s="28" t="s">
        <v>26482</v>
      </c>
      <c r="C5420" s="28" t="s">
        <v>26483</v>
      </c>
      <c r="D5420" s="28">
        <v>6</v>
      </c>
      <c r="E5420" s="28" t="s">
        <v>16334</v>
      </c>
      <c r="F5420" s="126">
        <v>1.6999999999999999E-3</v>
      </c>
      <c r="G5420" s="3"/>
      <c r="H5420" s="3"/>
      <c r="I5420" s="4"/>
      <c r="J5420" s="4"/>
      <c r="K5420" s="3"/>
      <c r="L5420" s="3"/>
      <c r="M5420" s="3"/>
      <c r="P5420" s="68" t="s">
        <v>26918</v>
      </c>
      <c r="Q5420"/>
      <c r="R5420"/>
      <c r="T5420" s="10"/>
    </row>
    <row r="5421" spans="1:20" customFormat="1" x14ac:dyDescent="0.45">
      <c r="A5421">
        <v>623690</v>
      </c>
      <c r="B5421" t="s">
        <v>26484</v>
      </c>
      <c r="C5421" t="s">
        <v>26485</v>
      </c>
      <c r="D5421">
        <v>2</v>
      </c>
      <c r="F5421" s="126"/>
      <c r="G5421" s="3">
        <v>0</v>
      </c>
      <c r="H5421" s="3">
        <v>0</v>
      </c>
      <c r="I5421" s="3">
        <v>0</v>
      </c>
      <c r="J5421" s="3">
        <v>0</v>
      </c>
      <c r="K5421" s="3">
        <f t="shared" ref="K5421:K5426" si="202">SUM(G5421:J5421)</f>
        <v>0</v>
      </c>
      <c r="L5421" s="3"/>
      <c r="M5421" s="3">
        <f t="shared" ref="M5421:M5426" si="203">K5421+F5421</f>
        <v>0</v>
      </c>
      <c r="N5421" s="3"/>
      <c r="O5421" s="5"/>
      <c r="S5421" s="11"/>
    </row>
    <row r="5422" spans="1:20" customFormat="1" x14ac:dyDescent="0.45">
      <c r="A5422">
        <v>711051</v>
      </c>
      <c r="B5422" t="s">
        <v>26486</v>
      </c>
      <c r="C5422" t="s">
        <v>26487</v>
      </c>
      <c r="D5422">
        <v>3</v>
      </c>
      <c r="F5422" s="126"/>
      <c r="G5422" s="3">
        <v>0</v>
      </c>
      <c r="H5422" s="3">
        <v>0</v>
      </c>
      <c r="I5422" s="3">
        <v>0</v>
      </c>
      <c r="J5422" s="3">
        <v>0</v>
      </c>
      <c r="K5422" s="3">
        <f t="shared" si="202"/>
        <v>0</v>
      </c>
      <c r="L5422" s="3"/>
      <c r="M5422" s="3">
        <f t="shared" si="203"/>
        <v>0</v>
      </c>
      <c r="N5422" s="3"/>
      <c r="O5422" s="5"/>
      <c r="S5422" s="11"/>
    </row>
    <row r="5423" spans="1:20" customFormat="1" x14ac:dyDescent="0.45">
      <c r="A5423">
        <v>711715</v>
      </c>
      <c r="B5423" t="s">
        <v>26488</v>
      </c>
      <c r="C5423" t="s">
        <v>26489</v>
      </c>
      <c r="D5423">
        <v>0</v>
      </c>
      <c r="E5423" t="s">
        <v>26267</v>
      </c>
      <c r="F5423" s="126"/>
      <c r="G5423" s="3">
        <v>0</v>
      </c>
      <c r="H5423" s="3">
        <v>0</v>
      </c>
      <c r="I5423" s="3">
        <v>0</v>
      </c>
      <c r="J5423" s="3">
        <v>0</v>
      </c>
      <c r="K5423" s="3">
        <f t="shared" si="202"/>
        <v>0</v>
      </c>
      <c r="L5423" s="3"/>
      <c r="M5423" s="3">
        <f t="shared" si="203"/>
        <v>0</v>
      </c>
      <c r="N5423" s="3"/>
      <c r="O5423" s="5"/>
      <c r="S5423" s="11"/>
    </row>
    <row r="5424" spans="1:20" customFormat="1" x14ac:dyDescent="0.45">
      <c r="A5424">
        <v>712109</v>
      </c>
      <c r="B5424" t="s">
        <v>26490</v>
      </c>
      <c r="C5424" t="s">
        <v>26491</v>
      </c>
      <c r="D5424">
        <v>1</v>
      </c>
      <c r="F5424" s="126"/>
      <c r="G5424" s="3">
        <v>0</v>
      </c>
      <c r="H5424" s="3">
        <v>0</v>
      </c>
      <c r="I5424" s="3">
        <v>0</v>
      </c>
      <c r="J5424" s="3">
        <v>0</v>
      </c>
      <c r="K5424" s="3">
        <f t="shared" si="202"/>
        <v>0</v>
      </c>
      <c r="L5424" s="3"/>
      <c r="M5424" s="3">
        <f t="shared" si="203"/>
        <v>0</v>
      </c>
      <c r="N5424" s="3"/>
      <c r="O5424" s="5"/>
      <c r="S5424" s="11"/>
    </row>
    <row r="5425" spans="1:19" customFormat="1" x14ac:dyDescent="0.45">
      <c r="A5425">
        <v>707835</v>
      </c>
      <c r="B5425" t="s">
        <v>26492</v>
      </c>
      <c r="C5425" t="s">
        <v>26493</v>
      </c>
      <c r="D5425">
        <v>1</v>
      </c>
      <c r="F5425" s="126"/>
      <c r="G5425" s="3"/>
      <c r="H5425" s="3"/>
      <c r="I5425" s="3"/>
      <c r="J5425" s="3"/>
      <c r="K5425" s="3">
        <f t="shared" si="202"/>
        <v>0</v>
      </c>
      <c r="L5425" s="3"/>
      <c r="M5425" s="3">
        <f t="shared" si="203"/>
        <v>0</v>
      </c>
      <c r="N5425" s="3"/>
      <c r="O5425" s="5"/>
      <c r="S5425" s="11"/>
    </row>
    <row r="5426" spans="1:19" customFormat="1" x14ac:dyDescent="0.45">
      <c r="A5426">
        <v>720147</v>
      </c>
      <c r="B5426" t="s">
        <v>26494</v>
      </c>
      <c r="C5426" t="s">
        <v>26495</v>
      </c>
      <c r="D5426">
        <v>1</v>
      </c>
      <c r="F5426" s="126"/>
      <c r="G5426" s="3">
        <v>0</v>
      </c>
      <c r="H5426" s="3">
        <v>0</v>
      </c>
      <c r="I5426" s="3">
        <v>0</v>
      </c>
      <c r="J5426" s="3">
        <v>0</v>
      </c>
      <c r="K5426" s="3">
        <f t="shared" si="202"/>
        <v>0</v>
      </c>
      <c r="L5426" s="3"/>
      <c r="M5426" s="3">
        <f t="shared" si="203"/>
        <v>0</v>
      </c>
      <c r="N5426" s="3"/>
      <c r="O5426" s="5"/>
      <c r="S5426" s="11"/>
    </row>
    <row r="5427" spans="1:19" customFormat="1" x14ac:dyDescent="0.45">
      <c r="A5427">
        <v>625337</v>
      </c>
      <c r="B5427" t="s">
        <v>26496</v>
      </c>
      <c r="C5427" t="s">
        <v>26497</v>
      </c>
      <c r="D5427">
        <v>1</v>
      </c>
      <c r="E5427" t="s">
        <v>16334</v>
      </c>
      <c r="F5427" s="126">
        <v>1.6999999999999999E-3</v>
      </c>
      <c r="G5427" s="3"/>
      <c r="H5427" s="3"/>
      <c r="I5427" s="4"/>
      <c r="J5427" s="4"/>
      <c r="K5427" s="4"/>
      <c r="L5427" s="4"/>
      <c r="M5427" s="3"/>
      <c r="N5427" t="s">
        <v>26498</v>
      </c>
      <c r="O5427" s="5"/>
      <c r="P5427" s="68" t="s">
        <v>26918</v>
      </c>
      <c r="S5427" s="6"/>
    </row>
    <row r="5428" spans="1:19" customFormat="1" x14ac:dyDescent="0.45">
      <c r="A5428">
        <v>628970</v>
      </c>
      <c r="B5428" t="s">
        <v>26499</v>
      </c>
      <c r="C5428" t="s">
        <v>26500</v>
      </c>
      <c r="D5428">
        <v>1</v>
      </c>
      <c r="F5428" s="126"/>
      <c r="G5428" s="3">
        <v>0</v>
      </c>
      <c r="H5428" s="3">
        <v>0</v>
      </c>
      <c r="I5428" s="3">
        <v>0</v>
      </c>
      <c r="J5428" s="3">
        <v>0</v>
      </c>
      <c r="K5428" s="3">
        <f t="shared" ref="K5428:K5444" si="204">SUM(G5428:J5428)</f>
        <v>0</v>
      </c>
      <c r="L5428" s="3"/>
      <c r="M5428" s="3">
        <f t="shared" ref="M5428:M5444" si="205">K5428+F5428</f>
        <v>0</v>
      </c>
      <c r="N5428" s="3"/>
      <c r="O5428" s="5"/>
      <c r="S5428" s="11"/>
    </row>
    <row r="5429" spans="1:19" customFormat="1" x14ac:dyDescent="0.45">
      <c r="A5429">
        <v>731537</v>
      </c>
      <c r="B5429" t="s">
        <v>26501</v>
      </c>
      <c r="C5429" t="s">
        <v>26502</v>
      </c>
      <c r="D5429">
        <v>17</v>
      </c>
      <c r="F5429" s="126"/>
      <c r="G5429" s="3">
        <v>0</v>
      </c>
      <c r="H5429" s="3">
        <v>0</v>
      </c>
      <c r="I5429" s="3">
        <v>0</v>
      </c>
      <c r="J5429" s="3">
        <v>0</v>
      </c>
      <c r="K5429" s="3">
        <f t="shared" si="204"/>
        <v>0</v>
      </c>
      <c r="L5429" s="3"/>
      <c r="M5429" s="3">
        <f t="shared" si="205"/>
        <v>0</v>
      </c>
      <c r="N5429" s="3"/>
      <c r="O5429" s="5"/>
      <c r="S5429" s="11"/>
    </row>
    <row r="5430" spans="1:19" customFormat="1" x14ac:dyDescent="0.45">
      <c r="A5430">
        <v>597017</v>
      </c>
      <c r="B5430" t="s">
        <v>26503</v>
      </c>
      <c r="C5430" t="s">
        <v>26504</v>
      </c>
      <c r="D5430">
        <v>9</v>
      </c>
      <c r="F5430" s="126"/>
      <c r="G5430" s="3"/>
      <c r="H5430" s="3"/>
      <c r="I5430" s="3"/>
      <c r="J5430" s="3"/>
      <c r="K5430" s="3">
        <f t="shared" si="204"/>
        <v>0</v>
      </c>
      <c r="L5430" s="3"/>
      <c r="M5430" s="3">
        <f t="shared" si="205"/>
        <v>0</v>
      </c>
      <c r="N5430" s="3"/>
      <c r="O5430" s="5"/>
      <c r="S5430" s="11"/>
    </row>
    <row r="5431" spans="1:19" customFormat="1" x14ac:dyDescent="0.45">
      <c r="A5431">
        <v>594356</v>
      </c>
      <c r="B5431" t="s">
        <v>26505</v>
      </c>
      <c r="C5431" t="s">
        <v>26506</v>
      </c>
      <c r="D5431">
        <v>2</v>
      </c>
      <c r="F5431" s="126"/>
      <c r="G5431" s="3"/>
      <c r="H5431" s="3"/>
      <c r="I5431" s="3"/>
      <c r="J5431" s="3"/>
      <c r="K5431" s="3">
        <f t="shared" si="204"/>
        <v>0</v>
      </c>
      <c r="L5431" s="3"/>
      <c r="M5431" s="3">
        <f t="shared" si="205"/>
        <v>0</v>
      </c>
      <c r="N5431" s="3"/>
      <c r="O5431" s="5"/>
      <c r="S5431" s="11"/>
    </row>
    <row r="5432" spans="1:19" customFormat="1" x14ac:dyDescent="0.45">
      <c r="A5432">
        <v>764858</v>
      </c>
      <c r="B5432" t="s">
        <v>26507</v>
      </c>
      <c r="C5432" t="s">
        <v>26508</v>
      </c>
      <c r="D5432">
        <v>1</v>
      </c>
      <c r="F5432" s="126"/>
      <c r="G5432" s="3">
        <v>0</v>
      </c>
      <c r="H5432" s="3">
        <v>0</v>
      </c>
      <c r="I5432" s="3">
        <v>0</v>
      </c>
      <c r="J5432" s="3">
        <v>0</v>
      </c>
      <c r="K5432" s="3">
        <f t="shared" si="204"/>
        <v>0</v>
      </c>
      <c r="L5432" s="3"/>
      <c r="M5432" s="3">
        <f t="shared" si="205"/>
        <v>0</v>
      </c>
      <c r="N5432" s="3"/>
      <c r="O5432" s="5"/>
      <c r="S5432" s="11"/>
    </row>
    <row r="5433" spans="1:19" customFormat="1" x14ac:dyDescent="0.45">
      <c r="A5433">
        <v>584566</v>
      </c>
      <c r="B5433" t="s">
        <v>26509</v>
      </c>
      <c r="C5433" t="s">
        <v>26510</v>
      </c>
      <c r="D5433">
        <v>1</v>
      </c>
      <c r="F5433" s="126"/>
      <c r="G5433" s="3">
        <v>0</v>
      </c>
      <c r="H5433" s="3">
        <v>0</v>
      </c>
      <c r="I5433" s="3">
        <v>0</v>
      </c>
      <c r="J5433" s="3">
        <v>0</v>
      </c>
      <c r="K5433" s="3">
        <f t="shared" si="204"/>
        <v>0</v>
      </c>
      <c r="L5433" s="3"/>
      <c r="M5433" s="3">
        <f t="shared" si="205"/>
        <v>0</v>
      </c>
      <c r="N5433" s="3"/>
      <c r="O5433" s="5"/>
      <c r="S5433" s="11"/>
    </row>
    <row r="5434" spans="1:19" customFormat="1" x14ac:dyDescent="0.45">
      <c r="A5434">
        <v>718251</v>
      </c>
      <c r="B5434" t="s">
        <v>26511</v>
      </c>
      <c r="C5434" t="s">
        <v>26512</v>
      </c>
      <c r="D5434">
        <v>3</v>
      </c>
      <c r="F5434" s="126"/>
      <c r="G5434" s="3">
        <v>0</v>
      </c>
      <c r="H5434" s="3">
        <v>0</v>
      </c>
      <c r="I5434" s="3">
        <v>0</v>
      </c>
      <c r="J5434" s="3">
        <v>0</v>
      </c>
      <c r="K5434" s="3">
        <f t="shared" si="204"/>
        <v>0</v>
      </c>
      <c r="L5434" s="3"/>
      <c r="M5434" s="3">
        <f t="shared" si="205"/>
        <v>0</v>
      </c>
      <c r="N5434" s="3"/>
      <c r="O5434" s="5"/>
      <c r="S5434" s="11"/>
    </row>
    <row r="5435" spans="1:19" customFormat="1" x14ac:dyDescent="0.45">
      <c r="A5435">
        <v>766760</v>
      </c>
      <c r="B5435" t="s">
        <v>26513</v>
      </c>
      <c r="C5435" t="s">
        <v>26514</v>
      </c>
      <c r="D5435">
        <v>1</v>
      </c>
      <c r="F5435" s="126"/>
      <c r="G5435" s="3">
        <v>0</v>
      </c>
      <c r="H5435" s="3">
        <v>0</v>
      </c>
      <c r="I5435" s="3">
        <v>0</v>
      </c>
      <c r="J5435" s="3">
        <v>0</v>
      </c>
      <c r="K5435" s="3">
        <f t="shared" si="204"/>
        <v>0</v>
      </c>
      <c r="L5435" s="3"/>
      <c r="M5435" s="3">
        <f t="shared" si="205"/>
        <v>0</v>
      </c>
      <c r="N5435" s="3"/>
      <c r="O5435" s="5"/>
      <c r="S5435" s="11"/>
    </row>
    <row r="5436" spans="1:19" customFormat="1" x14ac:dyDescent="0.45">
      <c r="A5436">
        <v>740115</v>
      </c>
      <c r="B5436" t="s">
        <v>26515</v>
      </c>
      <c r="C5436" t="s">
        <v>26516</v>
      </c>
      <c r="D5436">
        <v>3</v>
      </c>
      <c r="F5436" s="126"/>
      <c r="G5436" s="3"/>
      <c r="H5436" s="3"/>
      <c r="I5436" s="3"/>
      <c r="J5436" s="3"/>
      <c r="K5436" s="3">
        <f t="shared" si="204"/>
        <v>0</v>
      </c>
      <c r="L5436" s="3"/>
      <c r="M5436" s="3">
        <f t="shared" si="205"/>
        <v>0</v>
      </c>
      <c r="N5436" s="3"/>
      <c r="O5436" s="5"/>
      <c r="S5436" s="11"/>
    </row>
    <row r="5437" spans="1:19" customFormat="1" x14ac:dyDescent="0.45">
      <c r="A5437">
        <v>621997</v>
      </c>
      <c r="B5437" t="s">
        <v>26517</v>
      </c>
      <c r="C5437" t="s">
        <v>26518</v>
      </c>
      <c r="D5437">
        <v>1</v>
      </c>
      <c r="F5437" s="126"/>
      <c r="G5437" s="3">
        <v>0</v>
      </c>
      <c r="H5437" s="3">
        <v>0</v>
      </c>
      <c r="I5437" s="3">
        <v>0</v>
      </c>
      <c r="J5437" s="3">
        <v>0</v>
      </c>
      <c r="K5437" s="3">
        <f t="shared" si="204"/>
        <v>0</v>
      </c>
      <c r="L5437" s="3"/>
      <c r="M5437" s="3">
        <f t="shared" si="205"/>
        <v>0</v>
      </c>
      <c r="N5437" s="3"/>
      <c r="O5437" s="5"/>
      <c r="S5437" s="11"/>
    </row>
    <row r="5438" spans="1:19" customFormat="1" x14ac:dyDescent="0.45">
      <c r="A5438">
        <v>624570</v>
      </c>
      <c r="B5438" t="s">
        <v>26519</v>
      </c>
      <c r="C5438" t="s">
        <v>17711</v>
      </c>
      <c r="D5438">
        <v>0</v>
      </c>
      <c r="E5438" t="s">
        <v>16334</v>
      </c>
      <c r="F5438" s="126"/>
      <c r="G5438" s="3"/>
      <c r="H5438" s="3"/>
      <c r="I5438" s="3"/>
      <c r="J5438" s="3"/>
      <c r="K5438" s="3">
        <f t="shared" si="204"/>
        <v>0</v>
      </c>
      <c r="L5438" s="3"/>
      <c r="M5438" s="3">
        <f t="shared" si="205"/>
        <v>0</v>
      </c>
      <c r="N5438" s="3"/>
      <c r="O5438" s="5"/>
      <c r="S5438" s="11"/>
    </row>
    <row r="5439" spans="1:19" customFormat="1" x14ac:dyDescent="0.45">
      <c r="A5439">
        <v>764915</v>
      </c>
      <c r="B5439" t="s">
        <v>26520</v>
      </c>
      <c r="C5439" t="s">
        <v>26521</v>
      </c>
      <c r="D5439">
        <v>1</v>
      </c>
      <c r="F5439" s="126"/>
      <c r="G5439" s="3">
        <v>0</v>
      </c>
      <c r="H5439" s="3">
        <v>0</v>
      </c>
      <c r="I5439" s="3">
        <v>0</v>
      </c>
      <c r="J5439" s="3">
        <v>0</v>
      </c>
      <c r="K5439" s="3">
        <f t="shared" si="204"/>
        <v>0</v>
      </c>
      <c r="L5439" s="3"/>
      <c r="M5439" s="3">
        <f t="shared" si="205"/>
        <v>0</v>
      </c>
      <c r="N5439" s="3"/>
      <c r="O5439" s="5"/>
      <c r="S5439" s="11"/>
    </row>
    <row r="5440" spans="1:19" customFormat="1" x14ac:dyDescent="0.45">
      <c r="A5440">
        <v>789362</v>
      </c>
      <c r="B5440" t="s">
        <v>26522</v>
      </c>
      <c r="C5440" t="s">
        <v>26523</v>
      </c>
      <c r="D5440">
        <v>1</v>
      </c>
      <c r="F5440" s="126"/>
      <c r="G5440" s="3">
        <v>0</v>
      </c>
      <c r="H5440" s="3">
        <v>0</v>
      </c>
      <c r="I5440" s="3">
        <v>0</v>
      </c>
      <c r="J5440" s="3">
        <v>0</v>
      </c>
      <c r="K5440" s="3">
        <f t="shared" si="204"/>
        <v>0</v>
      </c>
      <c r="L5440" s="3"/>
      <c r="M5440" s="3">
        <f t="shared" si="205"/>
        <v>0</v>
      </c>
      <c r="N5440" s="3"/>
      <c r="O5440" s="5"/>
      <c r="S5440" s="11"/>
    </row>
    <row r="5441" spans="1:19" customFormat="1" x14ac:dyDescent="0.45">
      <c r="A5441">
        <v>776065</v>
      </c>
      <c r="B5441" t="s">
        <v>26524</v>
      </c>
      <c r="C5441" t="s">
        <v>26525</v>
      </c>
      <c r="D5441">
        <v>0</v>
      </c>
      <c r="E5441" t="s">
        <v>26526</v>
      </c>
      <c r="F5441" s="126"/>
      <c r="G5441" s="3">
        <v>0</v>
      </c>
      <c r="H5441" s="3">
        <v>0</v>
      </c>
      <c r="I5441" s="3">
        <v>0</v>
      </c>
      <c r="J5441" s="3">
        <v>0</v>
      </c>
      <c r="K5441" s="3">
        <f t="shared" si="204"/>
        <v>0</v>
      </c>
      <c r="L5441" s="3"/>
      <c r="M5441" s="3">
        <f t="shared" si="205"/>
        <v>0</v>
      </c>
      <c r="N5441" s="3"/>
      <c r="O5441" s="5"/>
      <c r="S5441" s="11"/>
    </row>
    <row r="5442" spans="1:19" customFormat="1" x14ac:dyDescent="0.45">
      <c r="A5442">
        <v>788947</v>
      </c>
      <c r="B5442" t="s">
        <v>26527</v>
      </c>
      <c r="C5442" t="s">
        <v>26528</v>
      </c>
      <c r="D5442">
        <v>1</v>
      </c>
      <c r="F5442" s="126"/>
      <c r="G5442" s="3">
        <v>0</v>
      </c>
      <c r="H5442" s="3">
        <v>0</v>
      </c>
      <c r="I5442" s="3">
        <v>0</v>
      </c>
      <c r="J5442" s="3">
        <v>0</v>
      </c>
      <c r="K5442" s="3">
        <f t="shared" si="204"/>
        <v>0</v>
      </c>
      <c r="L5442" s="3"/>
      <c r="M5442" s="3">
        <f t="shared" si="205"/>
        <v>0</v>
      </c>
      <c r="N5442" s="3"/>
      <c r="O5442" s="5"/>
      <c r="S5442" s="11"/>
    </row>
    <row r="5443" spans="1:19" customFormat="1" x14ac:dyDescent="0.45">
      <c r="A5443">
        <v>794762</v>
      </c>
      <c r="B5443" t="s">
        <v>26529</v>
      </c>
      <c r="C5443" t="s">
        <v>26530</v>
      </c>
      <c r="D5443">
        <v>4</v>
      </c>
      <c r="F5443" s="126"/>
      <c r="G5443" s="3"/>
      <c r="H5443" s="3"/>
      <c r="I5443" s="3"/>
      <c r="J5443" s="3"/>
      <c r="K5443" s="3">
        <f t="shared" si="204"/>
        <v>0</v>
      </c>
      <c r="L5443" s="3"/>
      <c r="M5443" s="3">
        <f t="shared" si="205"/>
        <v>0</v>
      </c>
      <c r="N5443" s="3"/>
      <c r="O5443" s="5"/>
      <c r="S5443" s="11"/>
    </row>
    <row r="5444" spans="1:19" customFormat="1" x14ac:dyDescent="0.45">
      <c r="A5444">
        <v>793306</v>
      </c>
      <c r="B5444" t="s">
        <v>26531</v>
      </c>
      <c r="C5444" t="s">
        <v>26532</v>
      </c>
      <c r="D5444">
        <v>1</v>
      </c>
      <c r="F5444" s="126"/>
      <c r="G5444" s="3">
        <v>0</v>
      </c>
      <c r="H5444" s="3">
        <v>0</v>
      </c>
      <c r="I5444" s="3">
        <v>0</v>
      </c>
      <c r="J5444" s="3">
        <v>0</v>
      </c>
      <c r="K5444" s="3">
        <f t="shared" si="204"/>
        <v>0</v>
      </c>
      <c r="L5444" s="3"/>
      <c r="M5444" s="3">
        <f t="shared" si="205"/>
        <v>0</v>
      </c>
      <c r="N5444" s="3"/>
      <c r="O5444" s="5"/>
      <c r="S5444" s="11"/>
    </row>
    <row r="5445" spans="1:19" customFormat="1" x14ac:dyDescent="0.45">
      <c r="A5445">
        <v>714223</v>
      </c>
      <c r="B5445" t="s">
        <v>26533</v>
      </c>
      <c r="C5445" t="s">
        <v>26534</v>
      </c>
      <c r="D5445">
        <v>2</v>
      </c>
      <c r="E5445" t="s">
        <v>16334</v>
      </c>
      <c r="F5445" s="126">
        <v>1.6999999999999999E-3</v>
      </c>
      <c r="G5445" s="3">
        <v>0</v>
      </c>
      <c r="H5445" s="3">
        <v>0</v>
      </c>
      <c r="I5445" s="4"/>
      <c r="J5445" s="4"/>
      <c r="K5445" s="3"/>
      <c r="L5445" s="3"/>
      <c r="M5445" s="3"/>
      <c r="O5445" s="5"/>
      <c r="P5445" s="68" t="s">
        <v>26918</v>
      </c>
      <c r="S5445" s="6"/>
    </row>
    <row r="5446" spans="1:19" customFormat="1" x14ac:dyDescent="0.45">
      <c r="A5446">
        <v>800447</v>
      </c>
      <c r="B5446" t="s">
        <v>26535</v>
      </c>
      <c r="C5446" t="s">
        <v>26536</v>
      </c>
      <c r="D5446">
        <v>1</v>
      </c>
      <c r="F5446" s="126"/>
      <c r="G5446" s="3">
        <v>0</v>
      </c>
      <c r="H5446" s="3">
        <v>0</v>
      </c>
      <c r="I5446" s="3">
        <v>0</v>
      </c>
      <c r="J5446" s="3">
        <v>0</v>
      </c>
      <c r="K5446" s="3">
        <f t="shared" ref="K5446:K5466" si="206">SUM(G5446:J5446)</f>
        <v>0</v>
      </c>
      <c r="L5446" s="3"/>
      <c r="M5446" s="3">
        <f t="shared" ref="M5446:M5466" si="207">K5446+F5446</f>
        <v>0</v>
      </c>
      <c r="N5446" s="3"/>
      <c r="O5446" s="5"/>
      <c r="S5446" s="11"/>
    </row>
    <row r="5447" spans="1:19" customFormat="1" x14ac:dyDescent="0.45">
      <c r="A5447" s="40">
        <v>747011</v>
      </c>
      <c r="B5447" s="40" t="s">
        <v>26537</v>
      </c>
      <c r="C5447" s="41" t="s">
        <v>26538</v>
      </c>
      <c r="D5447">
        <v>0</v>
      </c>
      <c r="F5447" s="126"/>
      <c r="G5447" s="3">
        <v>0</v>
      </c>
      <c r="H5447" s="3">
        <v>0</v>
      </c>
      <c r="I5447" s="3">
        <v>0</v>
      </c>
      <c r="J5447" s="3">
        <v>0</v>
      </c>
      <c r="K5447" s="3">
        <f t="shared" si="206"/>
        <v>0</v>
      </c>
      <c r="L5447" s="3"/>
      <c r="M5447" s="3">
        <f t="shared" si="207"/>
        <v>0</v>
      </c>
      <c r="N5447" s="3"/>
      <c r="O5447" s="5"/>
      <c r="S5447" s="11"/>
    </row>
    <row r="5448" spans="1:19" customFormat="1" x14ac:dyDescent="0.45">
      <c r="A5448">
        <v>803146</v>
      </c>
      <c r="B5448" t="s">
        <v>26539</v>
      </c>
      <c r="C5448" t="s">
        <v>26540</v>
      </c>
      <c r="D5448">
        <v>1</v>
      </c>
      <c r="F5448" s="126"/>
      <c r="G5448" s="3">
        <v>0</v>
      </c>
      <c r="H5448" s="3">
        <v>0</v>
      </c>
      <c r="I5448" s="3">
        <v>0</v>
      </c>
      <c r="J5448" s="3">
        <v>0</v>
      </c>
      <c r="K5448" s="3">
        <f t="shared" si="206"/>
        <v>0</v>
      </c>
      <c r="L5448" s="3"/>
      <c r="M5448" s="3">
        <f t="shared" si="207"/>
        <v>0</v>
      </c>
      <c r="N5448" s="3"/>
      <c r="O5448" s="5"/>
      <c r="S5448" s="11"/>
    </row>
    <row r="5449" spans="1:19" customFormat="1" x14ac:dyDescent="0.45">
      <c r="A5449">
        <v>735220</v>
      </c>
      <c r="B5449" t="s">
        <v>26541</v>
      </c>
      <c r="C5449" t="s">
        <v>26542</v>
      </c>
      <c r="D5449">
        <v>6</v>
      </c>
      <c r="F5449" s="126"/>
      <c r="G5449" s="3"/>
      <c r="H5449" s="3"/>
      <c r="I5449" s="3"/>
      <c r="J5449" s="3"/>
      <c r="K5449" s="3">
        <f t="shared" si="206"/>
        <v>0</v>
      </c>
      <c r="L5449" s="3"/>
      <c r="M5449" s="3">
        <f t="shared" si="207"/>
        <v>0</v>
      </c>
      <c r="N5449" s="3"/>
      <c r="O5449" s="5"/>
      <c r="S5449" s="11"/>
    </row>
    <row r="5450" spans="1:19" customFormat="1" x14ac:dyDescent="0.45">
      <c r="A5450">
        <v>825943</v>
      </c>
      <c r="B5450" t="s">
        <v>26543</v>
      </c>
      <c r="C5450" t="s">
        <v>26544</v>
      </c>
      <c r="D5450">
        <v>2</v>
      </c>
      <c r="F5450" s="126"/>
      <c r="G5450" s="3">
        <v>0</v>
      </c>
      <c r="H5450" s="3">
        <v>0</v>
      </c>
      <c r="I5450" s="3">
        <v>0</v>
      </c>
      <c r="J5450" s="3">
        <v>0</v>
      </c>
      <c r="K5450" s="3">
        <f t="shared" si="206"/>
        <v>0</v>
      </c>
      <c r="L5450" s="3"/>
      <c r="M5450" s="3">
        <f t="shared" si="207"/>
        <v>0</v>
      </c>
      <c r="N5450" s="3"/>
      <c r="O5450" s="5"/>
      <c r="S5450" s="11"/>
    </row>
    <row r="5451" spans="1:19" customFormat="1" x14ac:dyDescent="0.45">
      <c r="A5451">
        <v>610773</v>
      </c>
      <c r="B5451" t="s">
        <v>26545</v>
      </c>
      <c r="C5451" t="s">
        <v>26546</v>
      </c>
      <c r="D5451">
        <v>1</v>
      </c>
      <c r="F5451" s="126"/>
      <c r="G5451" s="3">
        <v>0</v>
      </c>
      <c r="H5451" s="3">
        <v>0</v>
      </c>
      <c r="I5451" s="3">
        <v>0</v>
      </c>
      <c r="J5451" s="3">
        <v>0</v>
      </c>
      <c r="K5451" s="3">
        <f t="shared" si="206"/>
        <v>0</v>
      </c>
      <c r="L5451" s="3"/>
      <c r="M5451" s="3">
        <f t="shared" si="207"/>
        <v>0</v>
      </c>
      <c r="N5451" s="3"/>
      <c r="O5451" s="5"/>
      <c r="S5451" s="11"/>
    </row>
    <row r="5452" spans="1:19" customFormat="1" x14ac:dyDescent="0.45">
      <c r="A5452">
        <v>833604</v>
      </c>
      <c r="B5452" t="s">
        <v>26547</v>
      </c>
      <c r="C5452" t="s">
        <v>26548</v>
      </c>
      <c r="D5452">
        <v>1</v>
      </c>
      <c r="F5452" s="126"/>
      <c r="G5452" s="3">
        <v>0</v>
      </c>
      <c r="H5452" s="3">
        <v>0</v>
      </c>
      <c r="I5452" s="3">
        <v>0</v>
      </c>
      <c r="J5452" s="3">
        <v>0</v>
      </c>
      <c r="K5452" s="3">
        <f t="shared" si="206"/>
        <v>0</v>
      </c>
      <c r="L5452" s="3"/>
      <c r="M5452" s="3">
        <f t="shared" si="207"/>
        <v>0</v>
      </c>
      <c r="N5452" s="3"/>
      <c r="O5452" s="5"/>
      <c r="S5452" s="11"/>
    </row>
    <row r="5453" spans="1:19" customFormat="1" x14ac:dyDescent="0.45">
      <c r="A5453">
        <v>759834</v>
      </c>
      <c r="B5453" t="s">
        <v>26549</v>
      </c>
      <c r="C5453" t="s">
        <v>26550</v>
      </c>
      <c r="D5453">
        <v>1</v>
      </c>
      <c r="F5453" s="126"/>
      <c r="G5453" s="3">
        <v>0</v>
      </c>
      <c r="H5453" s="3">
        <v>0</v>
      </c>
      <c r="I5453" s="3">
        <v>0</v>
      </c>
      <c r="J5453" s="3">
        <v>0</v>
      </c>
      <c r="K5453" s="3">
        <f t="shared" si="206"/>
        <v>0</v>
      </c>
      <c r="L5453" s="3"/>
      <c r="M5453" s="3">
        <f t="shared" si="207"/>
        <v>0</v>
      </c>
      <c r="N5453" s="3"/>
      <c r="O5453" s="5"/>
      <c r="S5453" s="11"/>
    </row>
    <row r="5454" spans="1:19" customFormat="1" x14ac:dyDescent="0.45">
      <c r="A5454">
        <v>835233</v>
      </c>
      <c r="B5454" t="s">
        <v>26551</v>
      </c>
      <c r="C5454" t="s">
        <v>26552</v>
      </c>
      <c r="D5454">
        <v>2</v>
      </c>
      <c r="F5454" s="126"/>
      <c r="G5454" s="3">
        <v>0</v>
      </c>
      <c r="H5454" s="3">
        <v>0</v>
      </c>
      <c r="I5454" s="3">
        <v>0</v>
      </c>
      <c r="J5454" s="3">
        <v>0</v>
      </c>
      <c r="K5454" s="3">
        <f t="shared" si="206"/>
        <v>0</v>
      </c>
      <c r="L5454" s="3"/>
      <c r="M5454" s="3">
        <f t="shared" si="207"/>
        <v>0</v>
      </c>
      <c r="N5454" s="3"/>
      <c r="O5454" s="5"/>
      <c r="S5454" s="11"/>
    </row>
    <row r="5455" spans="1:19" customFormat="1" x14ac:dyDescent="0.45">
      <c r="A5455">
        <v>783811</v>
      </c>
      <c r="B5455" t="s">
        <v>26553</v>
      </c>
      <c r="C5455" t="s">
        <v>26554</v>
      </c>
      <c r="D5455">
        <v>1</v>
      </c>
      <c r="F5455" s="126"/>
      <c r="G5455" s="3">
        <v>0</v>
      </c>
      <c r="H5455" s="3">
        <v>0</v>
      </c>
      <c r="I5455" s="3">
        <v>0</v>
      </c>
      <c r="J5455" s="3">
        <v>0</v>
      </c>
      <c r="K5455" s="3">
        <f t="shared" si="206"/>
        <v>0</v>
      </c>
      <c r="L5455" s="3"/>
      <c r="M5455" s="3">
        <f t="shared" si="207"/>
        <v>0</v>
      </c>
      <c r="N5455" s="3"/>
      <c r="O5455" s="5"/>
      <c r="S5455" s="11"/>
    </row>
    <row r="5456" spans="1:19" customFormat="1" x14ac:dyDescent="0.45">
      <c r="A5456">
        <v>705617</v>
      </c>
      <c r="B5456" t="s">
        <v>26555</v>
      </c>
      <c r="C5456" t="s">
        <v>26556</v>
      </c>
      <c r="D5456">
        <v>2</v>
      </c>
      <c r="F5456" s="126"/>
      <c r="G5456" s="3">
        <v>0</v>
      </c>
      <c r="H5456" s="3">
        <v>0</v>
      </c>
      <c r="I5456" s="3">
        <v>0</v>
      </c>
      <c r="J5456" s="3">
        <v>0</v>
      </c>
      <c r="K5456" s="3">
        <f t="shared" si="206"/>
        <v>0</v>
      </c>
      <c r="L5456" s="3"/>
      <c r="M5456" s="3">
        <f t="shared" si="207"/>
        <v>0</v>
      </c>
      <c r="N5456" s="3"/>
      <c r="O5456" s="5"/>
      <c r="S5456" s="11"/>
    </row>
    <row r="5457" spans="1:20" customFormat="1" x14ac:dyDescent="0.45">
      <c r="A5457">
        <v>581856</v>
      </c>
      <c r="B5457" t="s">
        <v>26557</v>
      </c>
      <c r="C5457" t="s">
        <v>26558</v>
      </c>
      <c r="D5457">
        <v>0</v>
      </c>
      <c r="E5457" t="s">
        <v>16334</v>
      </c>
      <c r="F5457" s="126"/>
      <c r="G5457" s="3"/>
      <c r="H5457" s="3"/>
      <c r="I5457" s="3"/>
      <c r="J5457" s="3"/>
      <c r="K5457" s="3">
        <f t="shared" si="206"/>
        <v>0</v>
      </c>
      <c r="L5457" s="3"/>
      <c r="M5457" s="3">
        <f t="shared" si="207"/>
        <v>0</v>
      </c>
      <c r="N5457" s="3"/>
      <c r="O5457" s="5"/>
      <c r="S5457" s="11"/>
    </row>
    <row r="5458" spans="1:20" customFormat="1" x14ac:dyDescent="0.45">
      <c r="A5458">
        <v>843863</v>
      </c>
      <c r="B5458" t="s">
        <v>26559</v>
      </c>
      <c r="C5458" t="s">
        <v>26560</v>
      </c>
      <c r="D5458">
        <v>1</v>
      </c>
      <c r="F5458" s="126"/>
      <c r="G5458" s="3">
        <v>0</v>
      </c>
      <c r="H5458" s="3">
        <v>0</v>
      </c>
      <c r="I5458" s="3">
        <v>0</v>
      </c>
      <c r="J5458" s="3">
        <v>0</v>
      </c>
      <c r="K5458" s="3">
        <f t="shared" si="206"/>
        <v>0</v>
      </c>
      <c r="L5458" s="3"/>
      <c r="M5458" s="3">
        <f t="shared" si="207"/>
        <v>0</v>
      </c>
      <c r="N5458" s="3"/>
      <c r="O5458" s="5"/>
      <c r="S5458" s="11"/>
    </row>
    <row r="5459" spans="1:20" customFormat="1" x14ac:dyDescent="0.45">
      <c r="A5459" s="40">
        <v>789409</v>
      </c>
      <c r="B5459" s="40" t="s">
        <v>26561</v>
      </c>
      <c r="C5459" s="41" t="s">
        <v>26562</v>
      </c>
      <c r="D5459">
        <v>0</v>
      </c>
      <c r="F5459" s="126"/>
      <c r="G5459" s="3"/>
      <c r="H5459" s="3"/>
      <c r="I5459" s="3"/>
      <c r="J5459" s="3"/>
      <c r="K5459" s="3">
        <f t="shared" si="206"/>
        <v>0</v>
      </c>
      <c r="L5459" s="3"/>
      <c r="M5459" s="3">
        <f t="shared" si="207"/>
        <v>0</v>
      </c>
      <c r="N5459" s="3"/>
      <c r="O5459" s="5"/>
      <c r="S5459" s="11"/>
    </row>
    <row r="5460" spans="1:20" customFormat="1" x14ac:dyDescent="0.45">
      <c r="A5460">
        <v>800673</v>
      </c>
      <c r="B5460" t="s">
        <v>26563</v>
      </c>
      <c r="C5460" t="s">
        <v>26564</v>
      </c>
      <c r="D5460">
        <v>1</v>
      </c>
      <c r="F5460" s="126"/>
      <c r="G5460" s="3">
        <v>0</v>
      </c>
      <c r="H5460" s="3">
        <v>0</v>
      </c>
      <c r="I5460" s="3">
        <v>0</v>
      </c>
      <c r="J5460" s="3">
        <v>0</v>
      </c>
      <c r="K5460" s="3">
        <f t="shared" si="206"/>
        <v>0</v>
      </c>
      <c r="L5460" s="3"/>
      <c r="M5460" s="3">
        <f t="shared" si="207"/>
        <v>0</v>
      </c>
      <c r="N5460" s="3"/>
      <c r="O5460" s="5"/>
      <c r="S5460" s="11"/>
    </row>
    <row r="5461" spans="1:20" customFormat="1" x14ac:dyDescent="0.45">
      <c r="A5461">
        <v>917076</v>
      </c>
      <c r="B5461" t="s">
        <v>26565</v>
      </c>
      <c r="C5461" t="s">
        <v>26566</v>
      </c>
      <c r="D5461">
        <v>4</v>
      </c>
      <c r="F5461" s="126"/>
      <c r="G5461" s="3">
        <v>0</v>
      </c>
      <c r="H5461" s="3">
        <v>0</v>
      </c>
      <c r="I5461" s="3">
        <v>0</v>
      </c>
      <c r="J5461" s="3">
        <v>0</v>
      </c>
      <c r="K5461" s="3">
        <f t="shared" si="206"/>
        <v>0</v>
      </c>
      <c r="L5461" s="3"/>
      <c r="M5461" s="3">
        <f t="shared" si="207"/>
        <v>0</v>
      </c>
      <c r="N5461" s="3"/>
      <c r="O5461" s="5"/>
      <c r="S5461" s="11"/>
    </row>
    <row r="5462" spans="1:20" customFormat="1" x14ac:dyDescent="0.45">
      <c r="A5462">
        <v>930354</v>
      </c>
      <c r="B5462" t="s">
        <v>26567</v>
      </c>
      <c r="C5462" t="s">
        <v>19717</v>
      </c>
      <c r="D5462">
        <v>2</v>
      </c>
      <c r="F5462" s="126"/>
      <c r="G5462" s="3"/>
      <c r="H5462" s="3"/>
      <c r="I5462" s="3"/>
      <c r="J5462" s="3"/>
      <c r="K5462" s="3">
        <f t="shared" si="206"/>
        <v>0</v>
      </c>
      <c r="L5462" s="3"/>
      <c r="M5462" s="3">
        <f t="shared" si="207"/>
        <v>0</v>
      </c>
      <c r="N5462" s="3"/>
      <c r="O5462" s="5"/>
      <c r="S5462" s="11"/>
    </row>
    <row r="5463" spans="1:20" customFormat="1" x14ac:dyDescent="0.45">
      <c r="A5463">
        <v>931264</v>
      </c>
      <c r="B5463" t="s">
        <v>26568</v>
      </c>
      <c r="C5463" t="s">
        <v>26569</v>
      </c>
      <c r="D5463">
        <v>2</v>
      </c>
      <c r="F5463" s="126"/>
      <c r="G5463" s="3">
        <v>0</v>
      </c>
      <c r="H5463" s="3">
        <v>0</v>
      </c>
      <c r="I5463" s="3">
        <v>0</v>
      </c>
      <c r="J5463" s="3">
        <v>0</v>
      </c>
      <c r="K5463" s="3">
        <f t="shared" si="206"/>
        <v>0</v>
      </c>
      <c r="L5463" s="3"/>
      <c r="M5463" s="3">
        <f t="shared" si="207"/>
        <v>0</v>
      </c>
      <c r="N5463" s="3"/>
      <c r="O5463" s="5"/>
      <c r="S5463" s="11"/>
    </row>
    <row r="5464" spans="1:20" customFormat="1" x14ac:dyDescent="0.45">
      <c r="A5464">
        <v>912121</v>
      </c>
      <c r="B5464" t="s">
        <v>26570</v>
      </c>
      <c r="C5464" t="s">
        <v>26571</v>
      </c>
      <c r="D5464">
        <v>2</v>
      </c>
      <c r="F5464" s="126"/>
      <c r="G5464" s="3">
        <v>0</v>
      </c>
      <c r="H5464" s="3">
        <v>0</v>
      </c>
      <c r="I5464" s="3">
        <v>0</v>
      </c>
      <c r="J5464" s="3">
        <v>0</v>
      </c>
      <c r="K5464" s="3">
        <f t="shared" si="206"/>
        <v>0</v>
      </c>
      <c r="L5464" s="3"/>
      <c r="M5464" s="3">
        <f t="shared" si="207"/>
        <v>0</v>
      </c>
      <c r="N5464" s="3"/>
      <c r="O5464" s="5"/>
      <c r="S5464" s="11"/>
    </row>
    <row r="5465" spans="1:20" customFormat="1" x14ac:dyDescent="0.45">
      <c r="A5465">
        <v>966244</v>
      </c>
      <c r="B5465" t="s">
        <v>26572</v>
      </c>
      <c r="C5465" t="s">
        <v>26573</v>
      </c>
      <c r="D5465">
        <v>6</v>
      </c>
      <c r="F5465" s="126"/>
      <c r="G5465" s="3"/>
      <c r="H5465" s="3"/>
      <c r="I5465" s="3"/>
      <c r="J5465" s="3"/>
      <c r="K5465" s="3">
        <f t="shared" si="206"/>
        <v>0</v>
      </c>
      <c r="L5465" s="3"/>
      <c r="M5465" s="3">
        <f t="shared" si="207"/>
        <v>0</v>
      </c>
      <c r="N5465" s="3"/>
      <c r="O5465" s="5"/>
      <c r="S5465" s="11"/>
    </row>
    <row r="5466" spans="1:20" customFormat="1" x14ac:dyDescent="0.45">
      <c r="A5466">
        <v>991954</v>
      </c>
      <c r="B5466" t="s">
        <v>26574</v>
      </c>
      <c r="C5466" t="s">
        <v>26575</v>
      </c>
      <c r="D5466">
        <v>1</v>
      </c>
      <c r="F5466" s="126"/>
      <c r="G5466" s="3">
        <v>0</v>
      </c>
      <c r="H5466" s="3">
        <v>0</v>
      </c>
      <c r="I5466" s="3">
        <v>0</v>
      </c>
      <c r="J5466" s="3">
        <v>0</v>
      </c>
      <c r="K5466" s="3">
        <f t="shared" si="206"/>
        <v>0</v>
      </c>
      <c r="L5466" s="3"/>
      <c r="M5466" s="3">
        <f t="shared" si="207"/>
        <v>0</v>
      </c>
      <c r="N5466" s="3"/>
      <c r="O5466" s="5"/>
      <c r="S5466" s="11"/>
    </row>
    <row r="5467" spans="1:20" s="65" customFormat="1" x14ac:dyDescent="0.45">
      <c r="A5467" s="65">
        <v>769848</v>
      </c>
      <c r="B5467" s="65" t="s">
        <v>26576</v>
      </c>
      <c r="C5467" s="65" t="s">
        <v>26577</v>
      </c>
      <c r="D5467" s="65">
        <v>1</v>
      </c>
      <c r="E5467" s="65" t="s">
        <v>16334</v>
      </c>
      <c r="F5467" s="126">
        <v>1.6999999999999999E-3</v>
      </c>
      <c r="G5467" s="3"/>
      <c r="H5467" s="3"/>
      <c r="I5467" s="4"/>
      <c r="J5467" s="4"/>
      <c r="K5467" s="3"/>
      <c r="L5467" s="3"/>
      <c r="M5467" s="3"/>
      <c r="P5467" s="68" t="s">
        <v>26918</v>
      </c>
      <c r="Q5467" s="69"/>
      <c r="R5467" s="69"/>
      <c r="S5467" s="11"/>
      <c r="T5467" s="10"/>
    </row>
    <row r="5468" spans="1:20" customFormat="1" x14ac:dyDescent="0.45">
      <c r="A5468">
        <v>933612</v>
      </c>
      <c r="B5468" t="s">
        <v>26578</v>
      </c>
      <c r="C5468" t="s">
        <v>26579</v>
      </c>
      <c r="D5468">
        <v>1</v>
      </c>
      <c r="F5468" s="124"/>
      <c r="G5468" s="3">
        <v>0</v>
      </c>
      <c r="H5468" s="3">
        <v>0</v>
      </c>
      <c r="I5468" s="3">
        <v>0</v>
      </c>
      <c r="J5468" s="3">
        <v>0</v>
      </c>
      <c r="K5468" s="3">
        <f t="shared" ref="K5468:K5480" si="208">SUM(G5468:J5468)</f>
        <v>0</v>
      </c>
      <c r="L5468" s="3"/>
      <c r="M5468" s="3">
        <f t="shared" ref="M5468:M5480" si="209">K5468+F5468</f>
        <v>0</v>
      </c>
      <c r="N5468" s="3"/>
      <c r="O5468" s="5"/>
      <c r="S5468" s="6"/>
    </row>
    <row r="5469" spans="1:20" customFormat="1" x14ac:dyDescent="0.45">
      <c r="A5469">
        <v>830294</v>
      </c>
      <c r="B5469" t="s">
        <v>26580</v>
      </c>
      <c r="C5469" t="s">
        <v>26581</v>
      </c>
      <c r="D5469">
        <v>6</v>
      </c>
      <c r="F5469" s="124"/>
      <c r="G5469" s="3">
        <v>0</v>
      </c>
      <c r="H5469" s="3">
        <v>0</v>
      </c>
      <c r="I5469" s="3">
        <v>0</v>
      </c>
      <c r="J5469" s="3">
        <v>0</v>
      </c>
      <c r="K5469" s="3">
        <f t="shared" si="208"/>
        <v>0</v>
      </c>
      <c r="L5469" s="3"/>
      <c r="M5469" s="3">
        <f t="shared" si="209"/>
        <v>0</v>
      </c>
      <c r="N5469" s="3"/>
      <c r="O5469" s="5"/>
      <c r="S5469" s="6"/>
    </row>
    <row r="5470" spans="1:20" customFormat="1" x14ac:dyDescent="0.45">
      <c r="A5470">
        <v>1009576</v>
      </c>
      <c r="B5470" t="s">
        <v>26582</v>
      </c>
      <c r="C5470" t="s">
        <v>26583</v>
      </c>
      <c r="D5470">
        <v>1</v>
      </c>
      <c r="F5470" s="124"/>
      <c r="G5470" s="3">
        <v>0</v>
      </c>
      <c r="H5470" s="3">
        <v>0</v>
      </c>
      <c r="I5470" s="3">
        <v>0</v>
      </c>
      <c r="J5470" s="3">
        <v>0</v>
      </c>
      <c r="K5470" s="3">
        <f t="shared" si="208"/>
        <v>0</v>
      </c>
      <c r="L5470" s="3"/>
      <c r="M5470" s="3">
        <f t="shared" si="209"/>
        <v>0</v>
      </c>
      <c r="N5470" s="3"/>
      <c r="O5470" s="5"/>
      <c r="S5470" s="6"/>
    </row>
    <row r="5471" spans="1:20" customFormat="1" x14ac:dyDescent="0.45">
      <c r="A5471">
        <v>966199</v>
      </c>
      <c r="B5471" t="s">
        <v>26584</v>
      </c>
      <c r="C5471" t="s">
        <v>26585</v>
      </c>
      <c r="D5471">
        <v>2</v>
      </c>
      <c r="F5471" s="124"/>
      <c r="G5471" s="3">
        <v>0</v>
      </c>
      <c r="H5471" s="3">
        <v>0</v>
      </c>
      <c r="I5471" s="3">
        <v>0</v>
      </c>
      <c r="J5471" s="3">
        <v>0</v>
      </c>
      <c r="K5471" s="3">
        <f t="shared" si="208"/>
        <v>0</v>
      </c>
      <c r="L5471" s="3"/>
      <c r="M5471" s="3">
        <f t="shared" si="209"/>
        <v>0</v>
      </c>
      <c r="N5471" s="3"/>
      <c r="O5471" s="5"/>
      <c r="S5471" s="6"/>
    </row>
    <row r="5472" spans="1:20" customFormat="1" x14ac:dyDescent="0.45">
      <c r="A5472">
        <v>810631</v>
      </c>
      <c r="B5472" t="s">
        <v>26586</v>
      </c>
      <c r="C5472" t="s">
        <v>26587</v>
      </c>
      <c r="D5472">
        <v>12</v>
      </c>
      <c r="F5472" s="124"/>
      <c r="G5472" s="3">
        <v>0</v>
      </c>
      <c r="H5472" s="3">
        <v>0</v>
      </c>
      <c r="I5472" s="3">
        <v>0</v>
      </c>
      <c r="J5472" s="3">
        <v>0</v>
      </c>
      <c r="K5472" s="3">
        <f t="shared" si="208"/>
        <v>0</v>
      </c>
      <c r="L5472" s="3"/>
      <c r="M5472" s="3">
        <f t="shared" si="209"/>
        <v>0</v>
      </c>
      <c r="N5472" s="3"/>
      <c r="O5472" s="5"/>
      <c r="S5472" s="6"/>
    </row>
    <row r="5473" spans="1:22" customFormat="1" x14ac:dyDescent="0.45">
      <c r="A5473">
        <v>792342</v>
      </c>
      <c r="B5473" t="s">
        <v>26588</v>
      </c>
      <c r="C5473" t="s">
        <v>26589</v>
      </c>
      <c r="D5473">
        <v>1</v>
      </c>
      <c r="F5473" s="124"/>
      <c r="G5473" s="3">
        <v>0</v>
      </c>
      <c r="H5473" s="3">
        <v>0</v>
      </c>
      <c r="I5473" s="3">
        <v>0</v>
      </c>
      <c r="J5473" s="3">
        <v>0</v>
      </c>
      <c r="K5473" s="3">
        <f t="shared" si="208"/>
        <v>0</v>
      </c>
      <c r="L5473" s="3"/>
      <c r="M5473" s="3">
        <f t="shared" si="209"/>
        <v>0</v>
      </c>
      <c r="N5473" s="3"/>
      <c r="O5473" s="5"/>
      <c r="S5473" s="6"/>
    </row>
    <row r="5474" spans="1:22" customFormat="1" x14ac:dyDescent="0.45">
      <c r="A5474">
        <v>796333</v>
      </c>
      <c r="B5474" t="s">
        <v>26590</v>
      </c>
      <c r="C5474" t="s">
        <v>26591</v>
      </c>
      <c r="D5474">
        <v>1</v>
      </c>
      <c r="F5474" s="124"/>
      <c r="G5474" s="3">
        <v>0</v>
      </c>
      <c r="H5474" s="3">
        <v>0</v>
      </c>
      <c r="I5474" s="3">
        <v>0</v>
      </c>
      <c r="J5474" s="3">
        <v>0</v>
      </c>
      <c r="K5474" s="3">
        <f t="shared" si="208"/>
        <v>0</v>
      </c>
      <c r="L5474" s="3"/>
      <c r="M5474" s="3">
        <f t="shared" si="209"/>
        <v>0</v>
      </c>
      <c r="N5474" s="3"/>
      <c r="O5474" s="5"/>
      <c r="S5474" s="6"/>
    </row>
    <row r="5475" spans="1:22" customFormat="1" x14ac:dyDescent="0.45">
      <c r="A5475">
        <v>992232</v>
      </c>
      <c r="B5475" t="s">
        <v>26592</v>
      </c>
      <c r="C5475" t="s">
        <v>26593</v>
      </c>
      <c r="D5475">
        <v>2</v>
      </c>
      <c r="F5475" s="124"/>
      <c r="G5475" s="3">
        <v>0</v>
      </c>
      <c r="H5475" s="3">
        <v>0</v>
      </c>
      <c r="I5475" s="3">
        <v>0</v>
      </c>
      <c r="J5475" s="3">
        <v>0</v>
      </c>
      <c r="K5475" s="3">
        <f t="shared" si="208"/>
        <v>0</v>
      </c>
      <c r="L5475" s="3"/>
      <c r="M5475" s="3">
        <f t="shared" si="209"/>
        <v>0</v>
      </c>
      <c r="N5475" s="3"/>
      <c r="O5475" s="5"/>
      <c r="S5475" s="6"/>
    </row>
    <row r="5476" spans="1:22" customFormat="1" x14ac:dyDescent="0.45">
      <c r="A5476">
        <v>944354</v>
      </c>
      <c r="B5476" t="s">
        <v>26594</v>
      </c>
      <c r="C5476" t="s">
        <v>26595</v>
      </c>
      <c r="D5476">
        <v>3</v>
      </c>
      <c r="F5476" s="124"/>
      <c r="G5476" s="3">
        <v>0</v>
      </c>
      <c r="H5476" s="3">
        <v>0</v>
      </c>
      <c r="I5476" s="3">
        <v>0</v>
      </c>
      <c r="J5476" s="3">
        <v>0</v>
      </c>
      <c r="K5476" s="3">
        <f t="shared" si="208"/>
        <v>0</v>
      </c>
      <c r="L5476" s="3"/>
      <c r="M5476" s="3">
        <f t="shared" si="209"/>
        <v>0</v>
      </c>
      <c r="N5476" s="3"/>
      <c r="O5476" s="5"/>
      <c r="S5476" s="6"/>
    </row>
    <row r="5477" spans="1:22" customFormat="1" x14ac:dyDescent="0.45">
      <c r="A5477">
        <v>917243</v>
      </c>
      <c r="B5477" t="s">
        <v>26596</v>
      </c>
      <c r="C5477" t="s">
        <v>26597</v>
      </c>
      <c r="D5477">
        <v>3</v>
      </c>
      <c r="F5477" s="124"/>
      <c r="G5477" s="3">
        <v>0</v>
      </c>
      <c r="H5477" s="3">
        <v>0</v>
      </c>
      <c r="I5477" s="3">
        <v>0</v>
      </c>
      <c r="J5477" s="3">
        <v>0</v>
      </c>
      <c r="K5477" s="3">
        <f t="shared" si="208"/>
        <v>0</v>
      </c>
      <c r="L5477" s="3"/>
      <c r="M5477" s="3">
        <f t="shared" si="209"/>
        <v>0</v>
      </c>
      <c r="N5477" s="3"/>
      <c r="O5477" s="5"/>
      <c r="S5477" s="6"/>
    </row>
    <row r="5478" spans="1:22" customFormat="1" x14ac:dyDescent="0.45">
      <c r="A5478">
        <v>921116</v>
      </c>
      <c r="B5478" t="s">
        <v>26598</v>
      </c>
      <c r="C5478" t="s">
        <v>26599</v>
      </c>
      <c r="D5478">
        <v>1</v>
      </c>
      <c r="F5478" s="124"/>
      <c r="G5478" s="3">
        <v>0</v>
      </c>
      <c r="H5478" s="3">
        <v>0</v>
      </c>
      <c r="I5478" s="3">
        <v>0</v>
      </c>
      <c r="J5478" s="3">
        <v>0</v>
      </c>
      <c r="K5478" s="3">
        <f t="shared" si="208"/>
        <v>0</v>
      </c>
      <c r="L5478" s="3"/>
      <c r="M5478" s="3">
        <f t="shared" si="209"/>
        <v>0</v>
      </c>
      <c r="N5478" s="3"/>
      <c r="O5478" s="5"/>
      <c r="S5478" s="6"/>
    </row>
    <row r="5479" spans="1:22" customFormat="1" x14ac:dyDescent="0.45">
      <c r="A5479">
        <v>927926</v>
      </c>
      <c r="B5479" t="s">
        <v>26600</v>
      </c>
      <c r="C5479" t="s">
        <v>26601</v>
      </c>
      <c r="D5479">
        <v>2</v>
      </c>
      <c r="F5479" s="124"/>
      <c r="G5479" s="3">
        <v>0</v>
      </c>
      <c r="H5479" s="3">
        <v>0</v>
      </c>
      <c r="I5479" s="3">
        <v>0</v>
      </c>
      <c r="J5479" s="3">
        <v>0</v>
      </c>
      <c r="K5479" s="3">
        <f t="shared" si="208"/>
        <v>0</v>
      </c>
      <c r="L5479" s="3"/>
      <c r="M5479" s="3">
        <f t="shared" si="209"/>
        <v>0</v>
      </c>
      <c r="N5479" s="3"/>
      <c r="O5479" s="5"/>
      <c r="S5479" s="6"/>
    </row>
    <row r="5480" spans="1:22" x14ac:dyDescent="0.45">
      <c r="A5480" s="124">
        <v>461391</v>
      </c>
      <c r="B5480" s="124" t="s">
        <v>26602</v>
      </c>
      <c r="C5480" s="125" t="s">
        <v>26603</v>
      </c>
      <c r="D5480" s="124">
        <v>1</v>
      </c>
      <c r="E5480" s="124" t="s">
        <v>16334</v>
      </c>
      <c r="F5480" s="126">
        <v>1.6999999999999999E-3</v>
      </c>
      <c r="G5480" s="126">
        <f>(25%+7.5%)/2</f>
        <v>0.16250000000000001</v>
      </c>
      <c r="H5480" s="126">
        <f>(15%+50%)/2</f>
        <v>0.32500000000000001</v>
      </c>
      <c r="K5480" s="126">
        <f t="shared" si="208"/>
        <v>0.48750000000000004</v>
      </c>
      <c r="L5480" s="26"/>
      <c r="M5480" s="126">
        <f t="shared" si="209"/>
        <v>0.48920000000000002</v>
      </c>
      <c r="N5480" s="124" t="s">
        <v>26604</v>
      </c>
      <c r="P5480" s="128" t="s">
        <v>26918</v>
      </c>
      <c r="Q5480" s="149">
        <f>1214141+100558</f>
        <v>1314699</v>
      </c>
      <c r="R5480" s="124" t="s">
        <v>16348</v>
      </c>
      <c r="S5480" s="150">
        <v>971169</v>
      </c>
      <c r="T5480" s="129"/>
      <c r="V5480" s="125" t="s">
        <v>26605</v>
      </c>
    </row>
    <row r="5481" spans="1:22" customFormat="1" x14ac:dyDescent="0.45">
      <c r="A5481">
        <v>953665</v>
      </c>
      <c r="B5481" t="s">
        <v>26606</v>
      </c>
      <c r="C5481" t="s">
        <v>16331</v>
      </c>
      <c r="D5481">
        <v>1</v>
      </c>
      <c r="E5481" t="s">
        <v>16331</v>
      </c>
      <c r="F5481" s="124"/>
      <c r="O5481" s="5"/>
      <c r="S5481" s="6"/>
    </row>
    <row r="5482" spans="1:22" customFormat="1" x14ac:dyDescent="0.45">
      <c r="A5482">
        <v>921293</v>
      </c>
      <c r="B5482" t="s">
        <v>26607</v>
      </c>
      <c r="C5482" s="2" t="s">
        <v>26608</v>
      </c>
      <c r="D5482">
        <v>1</v>
      </c>
      <c r="F5482" s="124"/>
      <c r="O5482" s="5"/>
      <c r="S5482" s="6"/>
    </row>
    <row r="5483" spans="1:22" customFormat="1" x14ac:dyDescent="0.45">
      <c r="A5483">
        <v>714242</v>
      </c>
      <c r="B5483" t="s">
        <v>26609</v>
      </c>
      <c r="C5483" s="2" t="s">
        <v>26610</v>
      </c>
      <c r="D5483">
        <v>1</v>
      </c>
      <c r="F5483" s="124"/>
      <c r="O5483" s="5"/>
      <c r="S5483" s="6"/>
    </row>
    <row r="5484" spans="1:22" customFormat="1" x14ac:dyDescent="0.45">
      <c r="A5484">
        <v>948245</v>
      </c>
      <c r="B5484" t="s">
        <v>26611</v>
      </c>
      <c r="C5484" t="s">
        <v>16331</v>
      </c>
      <c r="D5484">
        <v>1</v>
      </c>
      <c r="E5484" t="s">
        <v>16331</v>
      </c>
      <c r="F5484" s="124"/>
      <c r="O5484" s="5"/>
      <c r="S5484" s="6"/>
    </row>
    <row r="5485" spans="1:22" customFormat="1" x14ac:dyDescent="0.45">
      <c r="A5485">
        <v>228799</v>
      </c>
      <c r="B5485" t="s">
        <v>26612</v>
      </c>
      <c r="C5485" t="s">
        <v>16331</v>
      </c>
      <c r="D5485">
        <v>1</v>
      </c>
      <c r="E5485" t="s">
        <v>16331</v>
      </c>
      <c r="F5485" s="124"/>
      <c r="O5485" s="5"/>
      <c r="S5485" s="6"/>
    </row>
    <row r="5486" spans="1:22" customFormat="1" x14ac:dyDescent="0.45">
      <c r="A5486">
        <v>524871</v>
      </c>
      <c r="B5486" t="s">
        <v>26613</v>
      </c>
      <c r="C5486" s="2" t="s">
        <v>26614</v>
      </c>
      <c r="D5486">
        <v>6</v>
      </c>
      <c r="F5486" s="124"/>
      <c r="O5486" s="5"/>
      <c r="S5486" s="6"/>
    </row>
    <row r="5487" spans="1:22" customFormat="1" x14ac:dyDescent="0.45">
      <c r="A5487">
        <v>122088</v>
      </c>
      <c r="B5487" t="s">
        <v>26615</v>
      </c>
      <c r="C5487" s="2" t="s">
        <v>26616</v>
      </c>
      <c r="D5487">
        <v>5</v>
      </c>
      <c r="F5487" s="124"/>
      <c r="O5487" s="5"/>
      <c r="S5487" s="6"/>
    </row>
    <row r="5488" spans="1:22" customFormat="1" x14ac:dyDescent="0.45">
      <c r="A5488">
        <v>500195</v>
      </c>
      <c r="B5488" t="s">
        <v>26617</v>
      </c>
      <c r="C5488" t="s">
        <v>16331</v>
      </c>
      <c r="D5488">
        <v>1</v>
      </c>
      <c r="E5488" t="s">
        <v>16331</v>
      </c>
      <c r="F5488" s="124"/>
      <c r="O5488" s="5"/>
      <c r="S5488" s="6"/>
    </row>
    <row r="5489" spans="1:19" customFormat="1" x14ac:dyDescent="0.45">
      <c r="A5489">
        <v>802626</v>
      </c>
      <c r="B5489" t="s">
        <v>26618</v>
      </c>
      <c r="C5489" t="s">
        <v>16331</v>
      </c>
      <c r="D5489">
        <v>0</v>
      </c>
      <c r="E5489" t="s">
        <v>16331</v>
      </c>
      <c r="F5489" s="124"/>
      <c r="O5489" s="5"/>
      <c r="S5489" s="6"/>
    </row>
    <row r="5490" spans="1:19" customFormat="1" x14ac:dyDescent="0.45">
      <c r="A5490">
        <v>204793</v>
      </c>
      <c r="B5490" t="s">
        <v>26619</v>
      </c>
      <c r="C5490" s="2" t="s">
        <v>26620</v>
      </c>
      <c r="D5490">
        <v>5</v>
      </c>
      <c r="F5490" s="124"/>
      <c r="O5490" s="5"/>
      <c r="S5490" s="6"/>
    </row>
    <row r="5491" spans="1:19" customFormat="1" x14ac:dyDescent="0.45">
      <c r="A5491">
        <v>565148</v>
      </c>
      <c r="B5491" t="s">
        <v>26621</v>
      </c>
      <c r="C5491" t="s">
        <v>16331</v>
      </c>
      <c r="D5491">
        <v>2</v>
      </c>
      <c r="E5491" t="s">
        <v>16331</v>
      </c>
      <c r="F5491" s="124"/>
      <c r="O5491" s="5"/>
      <c r="S5491" s="6"/>
    </row>
    <row r="5492" spans="1:19" customFormat="1" x14ac:dyDescent="0.45">
      <c r="A5492">
        <v>408128</v>
      </c>
      <c r="B5492" t="s">
        <v>26622</v>
      </c>
      <c r="C5492" t="s">
        <v>16331</v>
      </c>
      <c r="D5492">
        <v>1</v>
      </c>
      <c r="E5492" t="s">
        <v>16331</v>
      </c>
      <c r="F5492" s="124"/>
      <c r="O5492" s="5"/>
      <c r="S5492" s="6"/>
    </row>
    <row r="5493" spans="1:19" customFormat="1" x14ac:dyDescent="0.45">
      <c r="A5493">
        <v>515379</v>
      </c>
      <c r="B5493" t="s">
        <v>26623</v>
      </c>
      <c r="C5493" t="s">
        <v>16331</v>
      </c>
      <c r="D5493">
        <v>5</v>
      </c>
      <c r="E5493" t="s">
        <v>16331</v>
      </c>
      <c r="F5493" s="124"/>
      <c r="O5493" s="5"/>
      <c r="S5493" s="6"/>
    </row>
    <row r="5494" spans="1:19" customFormat="1" x14ac:dyDescent="0.45">
      <c r="A5494">
        <v>435534</v>
      </c>
      <c r="B5494" t="s">
        <v>26624</v>
      </c>
      <c r="C5494" t="s">
        <v>16331</v>
      </c>
      <c r="D5494">
        <v>7</v>
      </c>
      <c r="E5494" t="s">
        <v>16331</v>
      </c>
      <c r="F5494" s="124"/>
      <c r="O5494" s="5"/>
      <c r="S5494" s="6"/>
    </row>
    <row r="5495" spans="1:19" customFormat="1" x14ac:dyDescent="0.45">
      <c r="A5495">
        <v>524848</v>
      </c>
      <c r="B5495" t="s">
        <v>26625</v>
      </c>
      <c r="C5495" t="s">
        <v>16331</v>
      </c>
      <c r="D5495">
        <v>1</v>
      </c>
      <c r="E5495" t="s">
        <v>16331</v>
      </c>
      <c r="F5495" s="124"/>
      <c r="O5495" s="5"/>
      <c r="S5495" s="6"/>
    </row>
    <row r="5496" spans="1:19" customFormat="1" x14ac:dyDescent="0.45">
      <c r="A5496">
        <v>719605</v>
      </c>
      <c r="B5496" t="s">
        <v>26626</v>
      </c>
      <c r="C5496" s="2" t="s">
        <v>26627</v>
      </c>
      <c r="D5496">
        <v>2</v>
      </c>
      <c r="F5496" s="124"/>
      <c r="O5496" s="5"/>
      <c r="S5496" s="6"/>
    </row>
    <row r="5497" spans="1:19" customFormat="1" x14ac:dyDescent="0.45">
      <c r="A5497">
        <v>466838</v>
      </c>
      <c r="B5497" t="s">
        <v>26628</v>
      </c>
      <c r="C5497" t="s">
        <v>16331</v>
      </c>
      <c r="D5497">
        <v>22</v>
      </c>
      <c r="E5497" t="s">
        <v>16331</v>
      </c>
      <c r="F5497" s="124"/>
      <c r="O5497" s="5"/>
      <c r="S5497" s="6"/>
    </row>
    <row r="5498" spans="1:19" customFormat="1" x14ac:dyDescent="0.45">
      <c r="A5498">
        <v>989443</v>
      </c>
      <c r="B5498" t="s">
        <v>26629</v>
      </c>
      <c r="C5498" s="2" t="s">
        <v>26630</v>
      </c>
      <c r="D5498">
        <v>25</v>
      </c>
      <c r="F5498" s="124"/>
      <c r="O5498" s="5"/>
      <c r="S5498" s="6"/>
    </row>
    <row r="5499" spans="1:19" customFormat="1" x14ac:dyDescent="0.45">
      <c r="A5499">
        <v>596038</v>
      </c>
      <c r="B5499" t="s">
        <v>26631</v>
      </c>
      <c r="C5499" t="s">
        <v>16331</v>
      </c>
      <c r="D5499">
        <v>1</v>
      </c>
      <c r="E5499" t="s">
        <v>16331</v>
      </c>
      <c r="F5499" s="124"/>
      <c r="O5499" s="5"/>
      <c r="S5499" s="6"/>
    </row>
    <row r="5500" spans="1:19" customFormat="1" x14ac:dyDescent="0.45">
      <c r="A5500">
        <v>153420</v>
      </c>
      <c r="B5500" t="s">
        <v>26632</v>
      </c>
      <c r="C5500" t="s">
        <v>16331</v>
      </c>
      <c r="D5500">
        <v>1</v>
      </c>
      <c r="E5500" t="s">
        <v>16331</v>
      </c>
      <c r="F5500" s="124"/>
      <c r="O5500" s="5"/>
      <c r="S5500" s="6"/>
    </row>
    <row r="5501" spans="1:19" customFormat="1" x14ac:dyDescent="0.45">
      <c r="A5501">
        <v>812336</v>
      </c>
      <c r="B5501" t="s">
        <v>26633</v>
      </c>
      <c r="C5501" t="s">
        <v>16331</v>
      </c>
      <c r="D5501">
        <v>0</v>
      </c>
      <c r="E5501" t="s">
        <v>16331</v>
      </c>
      <c r="F5501" s="124"/>
      <c r="O5501" s="5"/>
      <c r="S5501" s="6"/>
    </row>
    <row r="5502" spans="1:19" customFormat="1" x14ac:dyDescent="0.45">
      <c r="A5502">
        <v>209369</v>
      </c>
      <c r="B5502" t="s">
        <v>26634</v>
      </c>
      <c r="C5502" t="s">
        <v>16331</v>
      </c>
      <c r="D5502">
        <v>1</v>
      </c>
      <c r="E5502" t="s">
        <v>16331</v>
      </c>
      <c r="F5502" s="124"/>
      <c r="O5502" s="5"/>
      <c r="S5502" s="6"/>
    </row>
    <row r="5503" spans="1:19" customFormat="1" x14ac:dyDescent="0.45">
      <c r="A5503">
        <v>462885</v>
      </c>
      <c r="B5503" t="s">
        <v>26635</v>
      </c>
      <c r="C5503" t="s">
        <v>16331</v>
      </c>
      <c r="D5503">
        <v>0</v>
      </c>
      <c r="E5503" t="s">
        <v>16331</v>
      </c>
      <c r="F5503" s="124"/>
      <c r="O5503" s="5"/>
      <c r="S5503" s="6"/>
    </row>
    <row r="5504" spans="1:19" customFormat="1" x14ac:dyDescent="0.45">
      <c r="A5504">
        <v>744716</v>
      </c>
      <c r="B5504" t="s">
        <v>26636</v>
      </c>
      <c r="C5504" s="2" t="s">
        <v>26637</v>
      </c>
      <c r="D5504">
        <v>1</v>
      </c>
      <c r="E5504" t="s">
        <v>26638</v>
      </c>
      <c r="F5504" s="124"/>
      <c r="O5504" s="5"/>
      <c r="S5504" s="6"/>
    </row>
    <row r="5505" spans="1:19" customFormat="1" x14ac:dyDescent="0.45">
      <c r="A5505">
        <v>434725</v>
      </c>
      <c r="B5505" t="s">
        <v>26639</v>
      </c>
      <c r="C5505" t="s">
        <v>16331</v>
      </c>
      <c r="D5505">
        <v>1</v>
      </c>
      <c r="E5505" t="s">
        <v>16331</v>
      </c>
      <c r="F5505" s="124"/>
      <c r="O5505" s="5"/>
      <c r="S5505" s="6"/>
    </row>
    <row r="5506" spans="1:19" customFormat="1" x14ac:dyDescent="0.45">
      <c r="A5506">
        <v>625059</v>
      </c>
      <c r="B5506" t="s">
        <v>26640</v>
      </c>
      <c r="C5506" t="s">
        <v>16331</v>
      </c>
      <c r="D5506">
        <v>1</v>
      </c>
      <c r="E5506" t="s">
        <v>16331</v>
      </c>
      <c r="F5506" s="124"/>
      <c r="O5506" s="5"/>
      <c r="S5506" s="6"/>
    </row>
    <row r="5507" spans="1:19" customFormat="1" x14ac:dyDescent="0.45">
      <c r="A5507">
        <v>599241</v>
      </c>
      <c r="B5507" t="s">
        <v>26641</v>
      </c>
      <c r="C5507" t="s">
        <v>16331</v>
      </c>
      <c r="D5507">
        <v>1</v>
      </c>
      <c r="E5507" t="s">
        <v>16331</v>
      </c>
      <c r="F5507" s="124"/>
      <c r="O5507" s="5"/>
      <c r="S5507" s="6"/>
    </row>
    <row r="5508" spans="1:19" customFormat="1" x14ac:dyDescent="0.45">
      <c r="A5508">
        <v>974349</v>
      </c>
      <c r="B5508" t="s">
        <v>26642</v>
      </c>
      <c r="C5508" s="2" t="s">
        <v>26643</v>
      </c>
      <c r="D5508">
        <v>16</v>
      </c>
      <c r="E5508" t="s">
        <v>16561</v>
      </c>
      <c r="F5508" s="124"/>
      <c r="O5508" s="5"/>
      <c r="S5508" s="6"/>
    </row>
    <row r="5509" spans="1:19" customFormat="1" x14ac:dyDescent="0.45">
      <c r="A5509">
        <v>475949</v>
      </c>
      <c r="B5509" t="s">
        <v>26644</v>
      </c>
      <c r="C5509" t="s">
        <v>16331</v>
      </c>
      <c r="D5509">
        <v>1</v>
      </c>
      <c r="E5509" t="s">
        <v>16331</v>
      </c>
      <c r="F5509" s="124"/>
      <c r="O5509" s="5"/>
      <c r="S5509" s="6"/>
    </row>
    <row r="5510" spans="1:19" customFormat="1" x14ac:dyDescent="0.45">
      <c r="A5510">
        <v>925056</v>
      </c>
      <c r="B5510" t="s">
        <v>26645</v>
      </c>
      <c r="C5510" t="s">
        <v>16331</v>
      </c>
      <c r="D5510">
        <v>1</v>
      </c>
      <c r="E5510" t="s">
        <v>16331</v>
      </c>
      <c r="F5510" s="124"/>
      <c r="O5510" s="5"/>
      <c r="S5510" s="6"/>
    </row>
    <row r="5511" spans="1:19" customFormat="1" x14ac:dyDescent="0.45">
      <c r="A5511">
        <v>435402</v>
      </c>
      <c r="B5511" t="s">
        <v>26646</v>
      </c>
      <c r="C5511" t="s">
        <v>16331</v>
      </c>
      <c r="D5511">
        <v>1</v>
      </c>
      <c r="E5511" t="s">
        <v>16331</v>
      </c>
      <c r="F5511" s="124"/>
      <c r="O5511" s="5"/>
      <c r="S5511" s="6"/>
    </row>
    <row r="5512" spans="1:19" customFormat="1" x14ac:dyDescent="0.45">
      <c r="A5512">
        <v>121618</v>
      </c>
      <c r="B5512" t="s">
        <v>26647</v>
      </c>
      <c r="C5512" t="s">
        <v>16331</v>
      </c>
      <c r="D5512">
        <v>7</v>
      </c>
      <c r="E5512" t="s">
        <v>16331</v>
      </c>
      <c r="F5512" s="124"/>
      <c r="O5512" s="5"/>
      <c r="S5512" s="6"/>
    </row>
    <row r="5513" spans="1:19" customFormat="1" x14ac:dyDescent="0.45">
      <c r="A5513">
        <v>515997</v>
      </c>
      <c r="B5513" t="s">
        <v>26648</v>
      </c>
      <c r="C5513" t="s">
        <v>16331</v>
      </c>
      <c r="D5513">
        <v>1</v>
      </c>
      <c r="E5513" t="s">
        <v>16331</v>
      </c>
      <c r="F5513" s="124"/>
      <c r="O5513" s="5"/>
      <c r="S5513" s="6"/>
    </row>
    <row r="5514" spans="1:19" customFormat="1" x14ac:dyDescent="0.45">
      <c r="A5514">
        <v>655268</v>
      </c>
      <c r="B5514" t="s">
        <v>26649</v>
      </c>
      <c r="C5514" t="s">
        <v>16331</v>
      </c>
      <c r="D5514">
        <v>0</v>
      </c>
      <c r="E5514" t="s">
        <v>16331</v>
      </c>
      <c r="F5514" s="124"/>
      <c r="O5514" s="5"/>
      <c r="S5514" s="6"/>
    </row>
    <row r="5515" spans="1:19" customFormat="1" x14ac:dyDescent="0.45">
      <c r="A5515">
        <v>605906</v>
      </c>
      <c r="B5515" t="s">
        <v>26650</v>
      </c>
      <c r="C5515" t="s">
        <v>16331</v>
      </c>
      <c r="D5515">
        <v>0</v>
      </c>
      <c r="E5515" t="s">
        <v>16331</v>
      </c>
      <c r="F5515" s="124"/>
      <c r="O5515" s="5"/>
      <c r="S5515" s="6"/>
    </row>
    <row r="5516" spans="1:19" customFormat="1" x14ac:dyDescent="0.45">
      <c r="A5516">
        <v>459257</v>
      </c>
      <c r="B5516" t="s">
        <v>26651</v>
      </c>
      <c r="C5516" t="s">
        <v>16331</v>
      </c>
      <c r="D5516">
        <v>0</v>
      </c>
      <c r="E5516" t="s">
        <v>16331</v>
      </c>
      <c r="F5516" s="124"/>
      <c r="O5516" s="5"/>
      <c r="S5516" s="6"/>
    </row>
    <row r="5517" spans="1:19" customFormat="1" x14ac:dyDescent="0.45">
      <c r="A5517">
        <v>463679</v>
      </c>
      <c r="B5517" t="s">
        <v>26652</v>
      </c>
      <c r="C5517" t="s">
        <v>16331</v>
      </c>
      <c r="D5517">
        <v>0</v>
      </c>
      <c r="E5517" t="s">
        <v>16331</v>
      </c>
      <c r="F5517" s="124"/>
      <c r="O5517" s="5"/>
      <c r="S5517" s="6"/>
    </row>
    <row r="5518" spans="1:19" customFormat="1" x14ac:dyDescent="0.45">
      <c r="A5518">
        <v>495699</v>
      </c>
      <c r="B5518" t="s">
        <v>26653</v>
      </c>
      <c r="C5518" t="s">
        <v>16331</v>
      </c>
      <c r="D5518">
        <v>4</v>
      </c>
      <c r="E5518" t="s">
        <v>16331</v>
      </c>
      <c r="F5518" s="124"/>
      <c r="O5518" s="5"/>
      <c r="S5518" s="6"/>
    </row>
    <row r="5519" spans="1:19" customFormat="1" x14ac:dyDescent="0.45">
      <c r="A5519">
        <v>703422</v>
      </c>
      <c r="B5519" t="s">
        <v>26654</v>
      </c>
      <c r="C5519" t="s">
        <v>16331</v>
      </c>
      <c r="D5519">
        <v>1</v>
      </c>
      <c r="E5519" t="s">
        <v>16331</v>
      </c>
      <c r="F5519" s="124"/>
      <c r="O5519" s="5"/>
      <c r="S5519" s="6"/>
    </row>
    <row r="5520" spans="1:19" customFormat="1" x14ac:dyDescent="0.45">
      <c r="A5520">
        <v>607351</v>
      </c>
      <c r="B5520" t="s">
        <v>26655</v>
      </c>
      <c r="C5520" t="s">
        <v>16331</v>
      </c>
      <c r="D5520">
        <v>1</v>
      </c>
      <c r="E5520" t="s">
        <v>16331</v>
      </c>
      <c r="F5520" s="124"/>
      <c r="O5520" s="5"/>
      <c r="S5520" s="6"/>
    </row>
    <row r="5521" spans="1:19" customFormat="1" x14ac:dyDescent="0.45">
      <c r="A5521">
        <v>927316</v>
      </c>
      <c r="B5521" t="s">
        <v>26656</v>
      </c>
      <c r="C5521" t="s">
        <v>16331</v>
      </c>
      <c r="D5521">
        <v>1</v>
      </c>
      <c r="E5521" t="s">
        <v>16331</v>
      </c>
      <c r="F5521" s="124"/>
      <c r="O5521" s="5"/>
      <c r="S5521" s="6"/>
    </row>
    <row r="5522" spans="1:19" customFormat="1" x14ac:dyDescent="0.45">
      <c r="A5522">
        <v>224090</v>
      </c>
      <c r="B5522" t="s">
        <v>26657</v>
      </c>
      <c r="C5522" t="s">
        <v>16331</v>
      </c>
      <c r="D5522">
        <v>1</v>
      </c>
      <c r="E5522" t="s">
        <v>16331</v>
      </c>
      <c r="F5522" s="124"/>
      <c r="O5522" s="5"/>
      <c r="S5522" s="6"/>
    </row>
    <row r="5523" spans="1:19" customFormat="1" x14ac:dyDescent="0.45">
      <c r="A5523">
        <v>786425</v>
      </c>
      <c r="B5523" t="s">
        <v>26658</v>
      </c>
      <c r="C5523" t="s">
        <v>16331</v>
      </c>
      <c r="D5523">
        <v>2</v>
      </c>
      <c r="E5523" t="s">
        <v>16331</v>
      </c>
      <c r="F5523" s="124"/>
      <c r="O5523" s="5"/>
      <c r="S5523" s="6"/>
    </row>
    <row r="5524" spans="1:19" customFormat="1" x14ac:dyDescent="0.45">
      <c r="A5524">
        <v>148021</v>
      </c>
      <c r="B5524" t="s">
        <v>26659</v>
      </c>
      <c r="C5524" t="s">
        <v>16331</v>
      </c>
      <c r="D5524">
        <v>0</v>
      </c>
      <c r="E5524" t="s">
        <v>16331</v>
      </c>
      <c r="F5524" s="124"/>
      <c r="O5524" s="5"/>
      <c r="S5524" s="6"/>
    </row>
    <row r="5525" spans="1:19" customFormat="1" x14ac:dyDescent="0.45">
      <c r="A5525">
        <v>149824</v>
      </c>
      <c r="B5525" t="s">
        <v>26660</v>
      </c>
      <c r="C5525" t="s">
        <v>16331</v>
      </c>
      <c r="D5525">
        <v>1</v>
      </c>
      <c r="E5525" t="s">
        <v>16331</v>
      </c>
      <c r="F5525" s="124"/>
      <c r="O5525" s="5"/>
      <c r="S5525" s="6"/>
    </row>
    <row r="5526" spans="1:19" customFormat="1" x14ac:dyDescent="0.45">
      <c r="A5526">
        <v>572121</v>
      </c>
      <c r="B5526" t="s">
        <v>26661</v>
      </c>
      <c r="C5526" t="s">
        <v>16331</v>
      </c>
      <c r="D5526">
        <v>1</v>
      </c>
      <c r="E5526" t="s">
        <v>16331</v>
      </c>
      <c r="F5526" s="124"/>
      <c r="O5526" s="5"/>
      <c r="S5526" s="6"/>
    </row>
    <row r="5527" spans="1:19" customFormat="1" x14ac:dyDescent="0.45">
      <c r="A5527">
        <v>821102</v>
      </c>
      <c r="B5527" t="s">
        <v>26662</v>
      </c>
      <c r="C5527" t="s">
        <v>16331</v>
      </c>
      <c r="D5527">
        <v>1</v>
      </c>
      <c r="E5527" t="s">
        <v>16331</v>
      </c>
      <c r="F5527" s="124"/>
      <c r="O5527" s="5"/>
      <c r="S5527" s="6"/>
    </row>
    <row r="5528" spans="1:19" customFormat="1" x14ac:dyDescent="0.45">
      <c r="A5528">
        <v>497173</v>
      </c>
      <c r="B5528" t="s">
        <v>26663</v>
      </c>
      <c r="C5528" t="s">
        <v>16331</v>
      </c>
      <c r="D5528">
        <v>1</v>
      </c>
      <c r="E5528" t="s">
        <v>16331</v>
      </c>
      <c r="F5528" s="124"/>
      <c r="O5528" s="5"/>
      <c r="S5528" s="6"/>
    </row>
    <row r="5529" spans="1:19" customFormat="1" x14ac:dyDescent="0.45">
      <c r="A5529">
        <v>962840</v>
      </c>
      <c r="B5529" t="s">
        <v>26664</v>
      </c>
      <c r="C5529" s="2" t="s">
        <v>26665</v>
      </c>
      <c r="D5529">
        <v>1</v>
      </c>
      <c r="E5529" t="s">
        <v>26666</v>
      </c>
      <c r="F5529" s="124"/>
      <c r="O5529" s="5"/>
      <c r="S5529" s="6"/>
    </row>
    <row r="5530" spans="1:19" customFormat="1" x14ac:dyDescent="0.45">
      <c r="A5530">
        <v>848978</v>
      </c>
      <c r="B5530" t="s">
        <v>26667</v>
      </c>
      <c r="C5530" t="s">
        <v>16331</v>
      </c>
      <c r="D5530">
        <v>2</v>
      </c>
      <c r="E5530" t="s">
        <v>16331</v>
      </c>
      <c r="F5530" s="124"/>
      <c r="O5530" s="5"/>
      <c r="S5530" s="6"/>
    </row>
    <row r="5531" spans="1:19" customFormat="1" x14ac:dyDescent="0.45">
      <c r="A5531">
        <v>746441</v>
      </c>
      <c r="B5531" t="s">
        <v>26668</v>
      </c>
      <c r="C5531" t="s">
        <v>16331</v>
      </c>
      <c r="D5531">
        <v>1</v>
      </c>
      <c r="E5531" t="s">
        <v>16331</v>
      </c>
      <c r="F5531" s="124"/>
      <c r="O5531" s="5"/>
      <c r="S5531" s="6"/>
    </row>
    <row r="5532" spans="1:19" customFormat="1" x14ac:dyDescent="0.45">
      <c r="A5532">
        <v>568328</v>
      </c>
      <c r="B5532" t="s">
        <v>26669</v>
      </c>
      <c r="C5532" t="s">
        <v>16331</v>
      </c>
      <c r="D5532">
        <v>1</v>
      </c>
      <c r="E5532" t="s">
        <v>16331</v>
      </c>
      <c r="F5532" s="124"/>
      <c r="O5532" s="5"/>
      <c r="S5532" s="6"/>
    </row>
    <row r="5533" spans="1:19" customFormat="1" x14ac:dyDescent="0.45">
      <c r="A5533">
        <v>124659</v>
      </c>
      <c r="B5533" t="s">
        <v>26670</v>
      </c>
      <c r="C5533" s="2" t="s">
        <v>17111</v>
      </c>
      <c r="D5533">
        <v>7</v>
      </c>
      <c r="E5533" t="s">
        <v>16417</v>
      </c>
      <c r="F5533" s="124"/>
      <c r="O5533" s="5"/>
      <c r="S5533" s="6"/>
    </row>
    <row r="5534" spans="1:19" customFormat="1" x14ac:dyDescent="0.45">
      <c r="A5534">
        <v>169994</v>
      </c>
      <c r="B5534" t="s">
        <v>26671</v>
      </c>
      <c r="C5534" t="s">
        <v>16331</v>
      </c>
      <c r="D5534">
        <v>1</v>
      </c>
      <c r="E5534" t="s">
        <v>16331</v>
      </c>
      <c r="F5534" s="124"/>
      <c r="O5534" s="5"/>
      <c r="S5534" s="6"/>
    </row>
    <row r="5535" spans="1:19" customFormat="1" x14ac:dyDescent="0.45">
      <c r="A5535">
        <v>197470</v>
      </c>
      <c r="B5535" t="s">
        <v>26672</v>
      </c>
      <c r="C5535" t="s">
        <v>16331</v>
      </c>
      <c r="D5535">
        <v>1</v>
      </c>
      <c r="E5535" t="s">
        <v>16331</v>
      </c>
      <c r="F5535" s="124"/>
      <c r="O5535" s="5"/>
      <c r="S5535" s="6"/>
    </row>
    <row r="5536" spans="1:19" customFormat="1" x14ac:dyDescent="0.45">
      <c r="A5536">
        <v>163487</v>
      </c>
      <c r="B5536" t="s">
        <v>26673</v>
      </c>
      <c r="C5536" t="s">
        <v>16331</v>
      </c>
      <c r="D5536">
        <v>1</v>
      </c>
      <c r="E5536" t="s">
        <v>16331</v>
      </c>
      <c r="F5536" s="124"/>
      <c r="O5536" s="5"/>
      <c r="S5536" s="6"/>
    </row>
    <row r="5537" spans="1:19" customFormat="1" x14ac:dyDescent="0.45">
      <c r="A5537">
        <v>947631</v>
      </c>
      <c r="B5537" t="s">
        <v>26674</v>
      </c>
      <c r="C5537" t="s">
        <v>16331</v>
      </c>
      <c r="D5537">
        <v>1</v>
      </c>
      <c r="E5537" t="s">
        <v>16331</v>
      </c>
      <c r="F5537" s="124"/>
      <c r="O5537" s="5"/>
      <c r="S5537" s="6"/>
    </row>
    <row r="5538" spans="1:19" customFormat="1" x14ac:dyDescent="0.45">
      <c r="A5538">
        <v>190354</v>
      </c>
      <c r="B5538" t="s">
        <v>26675</v>
      </c>
      <c r="C5538" t="s">
        <v>16331</v>
      </c>
      <c r="D5538">
        <v>1</v>
      </c>
      <c r="E5538" t="s">
        <v>16331</v>
      </c>
      <c r="F5538" s="124"/>
      <c r="O5538" s="5"/>
      <c r="S5538" s="6"/>
    </row>
    <row r="5539" spans="1:19" customFormat="1" x14ac:dyDescent="0.45">
      <c r="A5539">
        <v>493722</v>
      </c>
      <c r="B5539" t="s">
        <v>26676</v>
      </c>
      <c r="C5539" t="s">
        <v>16331</v>
      </c>
      <c r="D5539">
        <v>1</v>
      </c>
      <c r="E5539" t="s">
        <v>16331</v>
      </c>
      <c r="F5539" s="124"/>
      <c r="O5539" s="5"/>
      <c r="S5539" s="6"/>
    </row>
    <row r="5540" spans="1:19" customFormat="1" x14ac:dyDescent="0.45">
      <c r="A5540">
        <v>650305</v>
      </c>
      <c r="B5540" t="s">
        <v>26677</v>
      </c>
      <c r="C5540" t="s">
        <v>16331</v>
      </c>
      <c r="D5540">
        <v>2</v>
      </c>
      <c r="E5540" t="s">
        <v>16331</v>
      </c>
      <c r="F5540" s="124"/>
      <c r="O5540" s="5"/>
      <c r="S5540" s="6"/>
    </row>
    <row r="5541" spans="1:19" customFormat="1" x14ac:dyDescent="0.45">
      <c r="A5541">
        <v>453011</v>
      </c>
      <c r="B5541" t="s">
        <v>26678</v>
      </c>
      <c r="C5541" t="s">
        <v>16331</v>
      </c>
      <c r="D5541">
        <v>1</v>
      </c>
      <c r="E5541" t="s">
        <v>16331</v>
      </c>
      <c r="F5541" s="124"/>
      <c r="O5541" s="5"/>
      <c r="S5541" s="6"/>
    </row>
    <row r="5542" spans="1:19" customFormat="1" x14ac:dyDescent="0.45">
      <c r="A5542">
        <v>747407</v>
      </c>
      <c r="B5542" t="s">
        <v>26679</v>
      </c>
      <c r="C5542" t="s">
        <v>16331</v>
      </c>
      <c r="D5542">
        <v>1</v>
      </c>
      <c r="E5542" t="s">
        <v>16331</v>
      </c>
      <c r="F5542" s="124"/>
      <c r="O5542" s="5"/>
      <c r="S5542" s="6"/>
    </row>
    <row r="5543" spans="1:19" customFormat="1" x14ac:dyDescent="0.45">
      <c r="A5543">
        <v>713202</v>
      </c>
      <c r="B5543" t="s">
        <v>26680</v>
      </c>
      <c r="C5543" t="s">
        <v>16331</v>
      </c>
      <c r="D5543">
        <v>1</v>
      </c>
      <c r="E5543" t="s">
        <v>16331</v>
      </c>
      <c r="F5543" s="124"/>
      <c r="O5543" s="5"/>
      <c r="S5543" s="6"/>
    </row>
    <row r="5544" spans="1:19" customFormat="1" x14ac:dyDescent="0.45">
      <c r="A5544">
        <v>198003</v>
      </c>
      <c r="B5544" t="s">
        <v>26681</v>
      </c>
      <c r="C5544" t="s">
        <v>16331</v>
      </c>
      <c r="D5544">
        <v>2</v>
      </c>
      <c r="E5544" t="s">
        <v>16331</v>
      </c>
      <c r="F5544" s="124"/>
      <c r="O5544" s="5"/>
      <c r="S5544" s="6"/>
    </row>
    <row r="5545" spans="1:19" customFormat="1" x14ac:dyDescent="0.45">
      <c r="A5545">
        <v>122674</v>
      </c>
      <c r="B5545" t="s">
        <v>26682</v>
      </c>
      <c r="C5545" s="2" t="s">
        <v>26683</v>
      </c>
      <c r="D5545">
        <v>2</v>
      </c>
      <c r="E5545" t="s">
        <v>16417</v>
      </c>
      <c r="F5545" s="124"/>
      <c r="O5545" s="5"/>
      <c r="S5545" s="6"/>
    </row>
    <row r="5546" spans="1:19" customFormat="1" x14ac:dyDescent="0.45">
      <c r="A5546">
        <v>439856</v>
      </c>
      <c r="B5546" t="s">
        <v>26684</v>
      </c>
      <c r="C5546" t="s">
        <v>16331</v>
      </c>
      <c r="D5546">
        <v>1</v>
      </c>
      <c r="E5546" t="s">
        <v>16331</v>
      </c>
      <c r="F5546" s="124"/>
      <c r="O5546" s="5"/>
      <c r="S5546" s="6"/>
    </row>
    <row r="5547" spans="1:19" customFormat="1" x14ac:dyDescent="0.45">
      <c r="A5547">
        <v>507941</v>
      </c>
      <c r="B5547" t="s">
        <v>26685</v>
      </c>
      <c r="C5547" t="s">
        <v>16331</v>
      </c>
      <c r="D5547">
        <v>1</v>
      </c>
      <c r="E5547" t="s">
        <v>16331</v>
      </c>
      <c r="F5547" s="124"/>
      <c r="O5547" s="5"/>
      <c r="S5547" s="6"/>
    </row>
    <row r="5548" spans="1:19" customFormat="1" x14ac:dyDescent="0.45">
      <c r="A5548">
        <v>665649</v>
      </c>
      <c r="B5548" t="s">
        <v>26686</v>
      </c>
      <c r="C5548" s="2" t="s">
        <v>26687</v>
      </c>
      <c r="D5548">
        <v>1</v>
      </c>
      <c r="E5548" t="s">
        <v>26666</v>
      </c>
      <c r="F5548" s="124"/>
      <c r="O5548" s="5"/>
      <c r="S5548" s="6"/>
    </row>
    <row r="5549" spans="1:19" customFormat="1" x14ac:dyDescent="0.45">
      <c r="A5549">
        <v>305452</v>
      </c>
      <c r="B5549" t="s">
        <v>26688</v>
      </c>
      <c r="C5549" s="2" t="s">
        <v>26689</v>
      </c>
      <c r="D5549">
        <v>1</v>
      </c>
      <c r="E5549" t="s">
        <v>16334</v>
      </c>
      <c r="F5549" s="124"/>
      <c r="O5549" s="5"/>
      <c r="S5549" s="6"/>
    </row>
    <row r="5550" spans="1:19" customFormat="1" x14ac:dyDescent="0.45">
      <c r="A5550">
        <v>831633</v>
      </c>
      <c r="B5550" t="s">
        <v>26690</v>
      </c>
      <c r="C5550" t="s">
        <v>16331</v>
      </c>
      <c r="D5550">
        <v>2</v>
      </c>
      <c r="E5550" t="s">
        <v>16331</v>
      </c>
      <c r="F5550" s="124"/>
      <c r="O5550" s="5"/>
      <c r="S5550" s="6"/>
    </row>
    <row r="5551" spans="1:19" customFormat="1" x14ac:dyDescent="0.45">
      <c r="A5551">
        <v>143610</v>
      </c>
      <c r="B5551" t="s">
        <v>26691</v>
      </c>
      <c r="C5551" t="s">
        <v>16331</v>
      </c>
      <c r="D5551">
        <v>0</v>
      </c>
      <c r="E5551" t="s">
        <v>16331</v>
      </c>
      <c r="F5551" s="124"/>
      <c r="O5551" s="5"/>
      <c r="S5551" s="6"/>
    </row>
    <row r="5552" spans="1:19" customFormat="1" x14ac:dyDescent="0.45">
      <c r="A5552">
        <v>413444</v>
      </c>
      <c r="B5552" t="s">
        <v>26692</v>
      </c>
      <c r="C5552" t="s">
        <v>16331</v>
      </c>
      <c r="D5552">
        <v>0</v>
      </c>
      <c r="E5552" t="s">
        <v>16331</v>
      </c>
      <c r="F5552" s="124"/>
      <c r="O5552" s="5"/>
      <c r="S5552" s="6"/>
    </row>
    <row r="5553" spans="1:19" customFormat="1" x14ac:dyDescent="0.45">
      <c r="A5553">
        <v>560679</v>
      </c>
      <c r="B5553" t="s">
        <v>26693</v>
      </c>
      <c r="C5553" t="s">
        <v>16331</v>
      </c>
      <c r="D5553">
        <v>0</v>
      </c>
      <c r="E5553" t="s">
        <v>16331</v>
      </c>
      <c r="F5553" s="124"/>
      <c r="O5553" s="5"/>
      <c r="S5553" s="6"/>
    </row>
    <row r="5554" spans="1:19" customFormat="1" x14ac:dyDescent="0.45">
      <c r="A5554">
        <v>516459</v>
      </c>
      <c r="B5554" t="s">
        <v>26694</v>
      </c>
      <c r="C5554" t="s">
        <v>16331</v>
      </c>
      <c r="D5554">
        <v>2</v>
      </c>
      <c r="E5554" t="s">
        <v>16331</v>
      </c>
      <c r="F5554" s="124"/>
      <c r="O5554" s="5"/>
      <c r="S5554" s="6"/>
    </row>
    <row r="5555" spans="1:19" customFormat="1" x14ac:dyDescent="0.45">
      <c r="A5555">
        <v>502674</v>
      </c>
      <c r="B5555" t="s">
        <v>26695</v>
      </c>
      <c r="C5555" s="2" t="s">
        <v>26696</v>
      </c>
      <c r="D5555">
        <v>2</v>
      </c>
      <c r="E5555" t="s">
        <v>16561</v>
      </c>
      <c r="F5555" s="124"/>
      <c r="O5555" s="5"/>
      <c r="S5555" s="6"/>
    </row>
    <row r="5556" spans="1:19" customFormat="1" x14ac:dyDescent="0.45">
      <c r="A5556">
        <v>796911</v>
      </c>
      <c r="B5556" t="s">
        <v>26697</v>
      </c>
      <c r="C5556" t="s">
        <v>16331</v>
      </c>
      <c r="D5556">
        <v>3</v>
      </c>
      <c r="E5556" t="s">
        <v>16331</v>
      </c>
      <c r="F5556" s="124"/>
      <c r="O5556" s="5"/>
      <c r="S5556" s="6"/>
    </row>
    <row r="5557" spans="1:19" customFormat="1" x14ac:dyDescent="0.45">
      <c r="A5557">
        <v>104219</v>
      </c>
      <c r="B5557" t="s">
        <v>26698</v>
      </c>
      <c r="C5557" t="s">
        <v>16331</v>
      </c>
      <c r="D5557">
        <v>1</v>
      </c>
      <c r="E5557" t="s">
        <v>16331</v>
      </c>
      <c r="F5557" s="124"/>
      <c r="O5557" s="5"/>
      <c r="S5557" s="6"/>
    </row>
    <row r="5558" spans="1:19" customFormat="1" x14ac:dyDescent="0.45">
      <c r="A5558">
        <v>118161</v>
      </c>
      <c r="B5558" t="s">
        <v>26699</v>
      </c>
      <c r="C5558" t="s">
        <v>16331</v>
      </c>
      <c r="D5558">
        <v>1</v>
      </c>
      <c r="E5558" t="s">
        <v>16331</v>
      </c>
      <c r="F5558" s="124"/>
      <c r="O5558" s="5"/>
      <c r="S5558" s="6"/>
    </row>
    <row r="5559" spans="1:19" customFormat="1" x14ac:dyDescent="0.45">
      <c r="A5559">
        <v>926071</v>
      </c>
      <c r="B5559" t="s">
        <v>26700</v>
      </c>
      <c r="C5559" t="s">
        <v>16331</v>
      </c>
      <c r="D5559">
        <v>1</v>
      </c>
      <c r="E5559" t="s">
        <v>16331</v>
      </c>
      <c r="F5559" s="124"/>
      <c r="O5559" s="5"/>
      <c r="S5559" s="6"/>
    </row>
    <row r="5560" spans="1:19" customFormat="1" x14ac:dyDescent="0.45">
      <c r="A5560">
        <v>747887</v>
      </c>
      <c r="B5560" t="s">
        <v>26701</v>
      </c>
      <c r="C5560" s="2" t="s">
        <v>26702</v>
      </c>
      <c r="D5560">
        <v>1</v>
      </c>
      <c r="E5560" t="s">
        <v>26703</v>
      </c>
      <c r="F5560" s="124"/>
      <c r="O5560" s="5"/>
      <c r="S5560" s="6"/>
    </row>
    <row r="5561" spans="1:19" customFormat="1" x14ac:dyDescent="0.45">
      <c r="A5561">
        <v>126033</v>
      </c>
      <c r="B5561" t="s">
        <v>26704</v>
      </c>
      <c r="C5561" t="s">
        <v>16331</v>
      </c>
      <c r="D5561">
        <v>1</v>
      </c>
      <c r="E5561" t="s">
        <v>16331</v>
      </c>
      <c r="F5561" s="124"/>
      <c r="O5561" s="5"/>
      <c r="S5561" s="6"/>
    </row>
    <row r="5562" spans="1:19" customFormat="1" x14ac:dyDescent="0.45">
      <c r="A5562">
        <v>763658</v>
      </c>
      <c r="B5562" t="s">
        <v>26705</v>
      </c>
      <c r="C5562" t="s">
        <v>16331</v>
      </c>
      <c r="D5562">
        <v>1</v>
      </c>
      <c r="E5562" t="s">
        <v>16331</v>
      </c>
      <c r="F5562" s="124"/>
      <c r="O5562" s="5"/>
      <c r="S5562" s="6"/>
    </row>
    <row r="5563" spans="1:19" customFormat="1" x14ac:dyDescent="0.45">
      <c r="A5563">
        <v>727582</v>
      </c>
      <c r="B5563" t="s">
        <v>26706</v>
      </c>
      <c r="C5563" s="2" t="s">
        <v>26707</v>
      </c>
      <c r="D5563">
        <v>1</v>
      </c>
      <c r="E5563" t="s">
        <v>16334</v>
      </c>
      <c r="F5563" s="124"/>
      <c r="O5563" s="5"/>
      <c r="S5563" s="6"/>
    </row>
    <row r="5564" spans="1:19" customFormat="1" x14ac:dyDescent="0.45">
      <c r="A5564">
        <v>800988</v>
      </c>
      <c r="B5564" t="s">
        <v>26708</v>
      </c>
      <c r="C5564" s="2" t="s">
        <v>26709</v>
      </c>
      <c r="D5564">
        <v>0</v>
      </c>
      <c r="E5564" t="s">
        <v>16334</v>
      </c>
      <c r="F5564" s="124"/>
      <c r="O5564" s="5"/>
      <c r="S5564" s="6"/>
    </row>
    <row r="5565" spans="1:19" customFormat="1" x14ac:dyDescent="0.45">
      <c r="A5565">
        <v>146450</v>
      </c>
      <c r="B5565" t="s">
        <v>26710</v>
      </c>
      <c r="C5565" t="s">
        <v>16331</v>
      </c>
      <c r="D5565">
        <v>0</v>
      </c>
      <c r="E5565" t="s">
        <v>16331</v>
      </c>
      <c r="F5565" s="124"/>
      <c r="O5565" s="5"/>
      <c r="S5565" s="6"/>
    </row>
    <row r="5566" spans="1:19" customFormat="1" x14ac:dyDescent="0.45">
      <c r="A5566">
        <v>438892</v>
      </c>
      <c r="B5566" t="s">
        <v>26711</v>
      </c>
      <c r="C5566" t="s">
        <v>16331</v>
      </c>
      <c r="D5566">
        <v>0</v>
      </c>
      <c r="E5566" t="s">
        <v>16331</v>
      </c>
      <c r="F5566" s="124"/>
      <c r="O5566" s="5"/>
      <c r="S5566" s="6"/>
    </row>
    <row r="5567" spans="1:19" customFormat="1" x14ac:dyDescent="0.45">
      <c r="A5567">
        <v>521332</v>
      </c>
      <c r="B5567" t="s">
        <v>26712</v>
      </c>
      <c r="C5567" t="s">
        <v>16331</v>
      </c>
      <c r="D5567">
        <v>1</v>
      </c>
      <c r="E5567" t="s">
        <v>16331</v>
      </c>
      <c r="F5567" s="124"/>
      <c r="O5567" s="5"/>
      <c r="S5567" s="6"/>
    </row>
    <row r="5568" spans="1:19" customFormat="1" x14ac:dyDescent="0.45">
      <c r="A5568">
        <v>542126</v>
      </c>
      <c r="B5568" t="s">
        <v>26713</v>
      </c>
      <c r="C5568" t="s">
        <v>16331</v>
      </c>
      <c r="D5568">
        <v>0</v>
      </c>
      <c r="E5568" t="s">
        <v>16331</v>
      </c>
      <c r="F5568" s="124"/>
      <c r="O5568" s="5"/>
      <c r="S5568" s="6"/>
    </row>
    <row r="5569" spans="1:19" customFormat="1" x14ac:dyDescent="0.45">
      <c r="A5569">
        <v>583069</v>
      </c>
      <c r="B5569" t="s">
        <v>26714</v>
      </c>
      <c r="C5569" s="2" t="s">
        <v>26715</v>
      </c>
      <c r="D5569">
        <v>1</v>
      </c>
      <c r="E5569" t="s">
        <v>16561</v>
      </c>
      <c r="F5569" s="124"/>
      <c r="O5569" s="5"/>
      <c r="S5569" s="6"/>
    </row>
    <row r="5570" spans="1:19" customFormat="1" x14ac:dyDescent="0.45">
      <c r="A5570">
        <v>400462</v>
      </c>
      <c r="B5570" t="s">
        <v>26716</v>
      </c>
      <c r="C5570" t="s">
        <v>16331</v>
      </c>
      <c r="D5570">
        <v>1</v>
      </c>
      <c r="E5570" t="s">
        <v>16331</v>
      </c>
      <c r="F5570" s="124"/>
      <c r="O5570" s="5"/>
      <c r="S5570" s="6"/>
    </row>
    <row r="5571" spans="1:19" customFormat="1" x14ac:dyDescent="0.45">
      <c r="A5571">
        <v>730780</v>
      </c>
      <c r="B5571" t="s">
        <v>26717</v>
      </c>
      <c r="C5571" t="s">
        <v>16331</v>
      </c>
      <c r="D5571">
        <v>2</v>
      </c>
      <c r="E5571" t="s">
        <v>16331</v>
      </c>
      <c r="F5571" s="124"/>
      <c r="O5571" s="5"/>
      <c r="S5571" s="6"/>
    </row>
    <row r="5572" spans="1:19" customFormat="1" x14ac:dyDescent="0.45">
      <c r="A5572" s="66">
        <v>624572</v>
      </c>
      <c r="B5572" s="66" t="s">
        <v>26718</v>
      </c>
      <c r="C5572" t="s">
        <v>16331</v>
      </c>
      <c r="D5572">
        <v>1</v>
      </c>
      <c r="E5572" t="s">
        <v>16331</v>
      </c>
      <c r="F5572" s="124"/>
      <c r="O5572" s="5"/>
      <c r="S5572" s="6"/>
    </row>
    <row r="5573" spans="1:19" customFormat="1" x14ac:dyDescent="0.45">
      <c r="A5573">
        <v>152885</v>
      </c>
      <c r="B5573" t="s">
        <v>26719</v>
      </c>
      <c r="C5573" t="s">
        <v>16331</v>
      </c>
      <c r="D5573">
        <v>11</v>
      </c>
      <c r="E5573" t="s">
        <v>16331</v>
      </c>
      <c r="F5573" s="124"/>
      <c r="O5573" s="5"/>
      <c r="S5573" s="6"/>
    </row>
    <row r="5574" spans="1:19" customFormat="1" x14ac:dyDescent="0.45">
      <c r="A5574">
        <v>224577</v>
      </c>
      <c r="B5574" t="s">
        <v>26720</v>
      </c>
      <c r="C5574" t="s">
        <v>16331</v>
      </c>
      <c r="D5574">
        <v>1</v>
      </c>
      <c r="E5574" t="s">
        <v>16331</v>
      </c>
      <c r="F5574" s="124"/>
      <c r="O5574" s="5"/>
      <c r="S5574" s="6"/>
    </row>
    <row r="5575" spans="1:19" customFormat="1" x14ac:dyDescent="0.45">
      <c r="A5575">
        <v>591587</v>
      </c>
      <c r="B5575" t="s">
        <v>26721</v>
      </c>
      <c r="C5575" t="s">
        <v>16331</v>
      </c>
      <c r="D5575">
        <v>2</v>
      </c>
      <c r="E5575" t="s">
        <v>16331</v>
      </c>
      <c r="F5575" s="124"/>
      <c r="O5575" s="5"/>
      <c r="S5575" s="6"/>
    </row>
    <row r="5576" spans="1:19" customFormat="1" x14ac:dyDescent="0.45">
      <c r="A5576">
        <v>543221</v>
      </c>
      <c r="B5576" t="s">
        <v>26722</v>
      </c>
      <c r="C5576" t="s">
        <v>16331</v>
      </c>
      <c r="D5576">
        <v>5</v>
      </c>
      <c r="E5576" t="s">
        <v>16331</v>
      </c>
      <c r="F5576" s="124"/>
      <c r="O5576" s="5"/>
      <c r="S5576" s="6"/>
    </row>
    <row r="5577" spans="1:19" customFormat="1" x14ac:dyDescent="0.45">
      <c r="A5577">
        <v>730717</v>
      </c>
      <c r="B5577" t="s">
        <v>26723</v>
      </c>
      <c r="C5577" s="2" t="s">
        <v>26724</v>
      </c>
      <c r="D5577">
        <v>1</v>
      </c>
      <c r="E5577" t="s">
        <v>26638</v>
      </c>
      <c r="F5577" s="124"/>
      <c r="O5577" s="5"/>
      <c r="S5577" s="6"/>
    </row>
    <row r="5578" spans="1:19" customFormat="1" x14ac:dyDescent="0.45">
      <c r="A5578">
        <v>913488</v>
      </c>
      <c r="B5578" t="s">
        <v>26725</v>
      </c>
      <c r="C5578" t="s">
        <v>16331</v>
      </c>
      <c r="D5578">
        <v>2</v>
      </c>
      <c r="E5578" t="s">
        <v>16331</v>
      </c>
      <c r="F5578" s="124"/>
      <c r="O5578" s="5"/>
      <c r="S5578" s="6"/>
    </row>
    <row r="5579" spans="1:19" customFormat="1" x14ac:dyDescent="0.45">
      <c r="A5579">
        <v>707501</v>
      </c>
      <c r="B5579" t="s">
        <v>26726</v>
      </c>
      <c r="C5579" t="s">
        <v>16331</v>
      </c>
      <c r="D5579">
        <v>2</v>
      </c>
      <c r="E5579" t="s">
        <v>16331</v>
      </c>
      <c r="F5579" s="124"/>
      <c r="O5579" s="5"/>
      <c r="S5579" s="6"/>
    </row>
    <row r="5580" spans="1:19" customFormat="1" x14ac:dyDescent="0.45">
      <c r="A5580">
        <v>811407</v>
      </c>
      <c r="B5580" t="s">
        <v>26727</v>
      </c>
      <c r="C5580" s="2" t="s">
        <v>26728</v>
      </c>
      <c r="D5580">
        <v>2</v>
      </c>
      <c r="E5580" t="s">
        <v>16561</v>
      </c>
      <c r="F5580" s="124"/>
      <c r="O5580" s="5"/>
      <c r="S5580" s="6"/>
    </row>
    <row r="5581" spans="1:19" customFormat="1" x14ac:dyDescent="0.45">
      <c r="A5581">
        <v>114638</v>
      </c>
      <c r="B5581" t="s">
        <v>26729</v>
      </c>
      <c r="C5581" t="s">
        <v>16331</v>
      </c>
      <c r="D5581">
        <v>1</v>
      </c>
      <c r="E5581" t="s">
        <v>16331</v>
      </c>
      <c r="F5581" s="124"/>
      <c r="O5581" s="5"/>
      <c r="S5581" s="6"/>
    </row>
    <row r="5582" spans="1:19" customFormat="1" x14ac:dyDescent="0.45">
      <c r="A5582">
        <v>523393</v>
      </c>
      <c r="B5582" t="s">
        <v>26730</v>
      </c>
      <c r="C5582" s="2" t="s">
        <v>26731</v>
      </c>
      <c r="D5582">
        <v>2</v>
      </c>
      <c r="E5582" t="s">
        <v>16334</v>
      </c>
      <c r="F5582" s="124"/>
      <c r="O5582" s="5"/>
      <c r="S5582" s="6"/>
    </row>
    <row r="5583" spans="1:19" customFormat="1" x14ac:dyDescent="0.45">
      <c r="A5583">
        <v>922134</v>
      </c>
      <c r="B5583" t="s">
        <v>26732</v>
      </c>
      <c r="C5583" t="s">
        <v>16331</v>
      </c>
      <c r="D5583">
        <v>2</v>
      </c>
      <c r="E5583" t="s">
        <v>16331</v>
      </c>
      <c r="F5583" s="124"/>
      <c r="O5583" s="5"/>
      <c r="S5583" s="6"/>
    </row>
    <row r="5584" spans="1:19" customFormat="1" x14ac:dyDescent="0.45">
      <c r="A5584">
        <v>593439</v>
      </c>
      <c r="B5584" t="s">
        <v>26733</v>
      </c>
      <c r="C5584" s="2" t="s">
        <v>26734</v>
      </c>
      <c r="D5584">
        <v>4</v>
      </c>
      <c r="E5584" t="s">
        <v>16417</v>
      </c>
      <c r="F5584" s="124"/>
      <c r="O5584" s="5"/>
      <c r="S5584" s="6"/>
    </row>
    <row r="5585" spans="1:19" customFormat="1" x14ac:dyDescent="0.45">
      <c r="A5585">
        <v>230836</v>
      </c>
      <c r="B5585" t="s">
        <v>26735</v>
      </c>
      <c r="C5585" t="s">
        <v>16331</v>
      </c>
      <c r="D5585">
        <v>1</v>
      </c>
      <c r="E5585" t="s">
        <v>16331</v>
      </c>
      <c r="F5585" s="124"/>
      <c r="O5585" s="5"/>
      <c r="S5585" s="6"/>
    </row>
    <row r="5586" spans="1:19" customFormat="1" x14ac:dyDescent="0.45">
      <c r="A5586">
        <v>843432</v>
      </c>
      <c r="B5586" t="s">
        <v>26736</v>
      </c>
      <c r="C5586" t="s">
        <v>16331</v>
      </c>
      <c r="D5586">
        <v>1</v>
      </c>
      <c r="E5586" t="s">
        <v>16331</v>
      </c>
      <c r="F5586" s="124"/>
      <c r="O5586" s="5"/>
      <c r="S5586" s="6"/>
    </row>
    <row r="5587" spans="1:19" customFormat="1" x14ac:dyDescent="0.45">
      <c r="A5587">
        <v>598169</v>
      </c>
      <c r="B5587" t="s">
        <v>26737</v>
      </c>
      <c r="C5587" t="s">
        <v>16331</v>
      </c>
      <c r="D5587">
        <v>1</v>
      </c>
      <c r="E5587" t="s">
        <v>16331</v>
      </c>
      <c r="F5587" s="124"/>
      <c r="O5587" s="5"/>
      <c r="S5587" s="6"/>
    </row>
    <row r="5588" spans="1:19" customFormat="1" x14ac:dyDescent="0.45">
      <c r="A5588">
        <v>456314</v>
      </c>
      <c r="B5588" t="s">
        <v>26738</v>
      </c>
      <c r="C5588" t="s">
        <v>16331</v>
      </c>
      <c r="D5588">
        <v>2</v>
      </c>
      <c r="E5588" t="s">
        <v>16331</v>
      </c>
      <c r="F5588" s="124"/>
      <c r="O5588" s="5"/>
      <c r="S5588" s="6"/>
    </row>
    <row r="5589" spans="1:19" customFormat="1" x14ac:dyDescent="0.45">
      <c r="A5589">
        <v>566837</v>
      </c>
      <c r="B5589" t="s">
        <v>26739</v>
      </c>
      <c r="C5589" t="s">
        <v>16331</v>
      </c>
      <c r="D5589">
        <v>0</v>
      </c>
      <c r="E5589" t="s">
        <v>16331</v>
      </c>
      <c r="F5589" s="124"/>
      <c r="O5589" s="5"/>
      <c r="S5589" s="6"/>
    </row>
    <row r="5590" spans="1:19" customFormat="1" x14ac:dyDescent="0.45">
      <c r="A5590">
        <v>472251</v>
      </c>
      <c r="B5590" t="s">
        <v>26740</v>
      </c>
      <c r="C5590" t="s">
        <v>16331</v>
      </c>
      <c r="D5590">
        <v>0</v>
      </c>
      <c r="E5590" t="s">
        <v>16331</v>
      </c>
      <c r="F5590" s="124"/>
      <c r="O5590" s="5"/>
      <c r="S5590" s="6"/>
    </row>
    <row r="5591" spans="1:19" customFormat="1" x14ac:dyDescent="0.45">
      <c r="A5591">
        <v>133584</v>
      </c>
      <c r="B5591" t="s">
        <v>26741</v>
      </c>
      <c r="C5591" t="s">
        <v>16331</v>
      </c>
      <c r="D5591">
        <v>1</v>
      </c>
      <c r="E5591" t="s">
        <v>16331</v>
      </c>
      <c r="F5591" s="124"/>
      <c r="O5591" s="5"/>
      <c r="S5591" s="6"/>
    </row>
    <row r="5592" spans="1:19" customFormat="1" x14ac:dyDescent="0.45">
      <c r="A5592">
        <v>450232</v>
      </c>
      <c r="B5592" t="s">
        <v>26742</v>
      </c>
      <c r="C5592" t="s">
        <v>16331</v>
      </c>
      <c r="D5592">
        <v>1</v>
      </c>
      <c r="E5592" t="s">
        <v>16331</v>
      </c>
      <c r="F5592" s="124"/>
      <c r="O5592" s="5"/>
      <c r="S5592" s="6"/>
    </row>
    <row r="5593" spans="1:19" customFormat="1" x14ac:dyDescent="0.45">
      <c r="A5593">
        <v>926168</v>
      </c>
      <c r="B5593" t="s">
        <v>26743</v>
      </c>
      <c r="C5593" s="2" t="s">
        <v>26744</v>
      </c>
      <c r="D5593">
        <v>1</v>
      </c>
      <c r="E5593" t="s">
        <v>16334</v>
      </c>
      <c r="F5593" s="124"/>
      <c r="O5593" s="5"/>
      <c r="S5593" s="6"/>
    </row>
    <row r="5594" spans="1:19" customFormat="1" x14ac:dyDescent="0.45">
      <c r="A5594">
        <v>570820</v>
      </c>
      <c r="B5594" t="s">
        <v>26745</v>
      </c>
      <c r="C5594" t="s">
        <v>16331</v>
      </c>
      <c r="D5594">
        <v>1</v>
      </c>
      <c r="E5594" t="s">
        <v>16331</v>
      </c>
      <c r="F5594" s="124"/>
      <c r="O5594" s="5"/>
      <c r="S5594" s="6"/>
    </row>
    <row r="5595" spans="1:19" customFormat="1" x14ac:dyDescent="0.45">
      <c r="A5595">
        <v>831644</v>
      </c>
      <c r="B5595" t="s">
        <v>26746</v>
      </c>
      <c r="C5595" s="2" t="s">
        <v>26747</v>
      </c>
      <c r="D5595">
        <v>1</v>
      </c>
      <c r="E5595" t="s">
        <v>26748</v>
      </c>
      <c r="F5595" s="124"/>
      <c r="O5595" s="5"/>
      <c r="S5595" s="6"/>
    </row>
    <row r="5596" spans="1:19" customFormat="1" x14ac:dyDescent="0.45">
      <c r="A5596">
        <v>754560</v>
      </c>
      <c r="B5596" t="s">
        <v>26749</v>
      </c>
      <c r="C5596" t="s">
        <v>16331</v>
      </c>
      <c r="D5596">
        <v>2</v>
      </c>
      <c r="E5596" t="s">
        <v>16331</v>
      </c>
      <c r="F5596" s="124"/>
      <c r="O5596" s="5"/>
      <c r="S5596" s="6"/>
    </row>
    <row r="5597" spans="1:19" customFormat="1" x14ac:dyDescent="0.45">
      <c r="A5597">
        <v>653104</v>
      </c>
      <c r="B5597" t="s">
        <v>26750</v>
      </c>
      <c r="C5597" t="s">
        <v>16331</v>
      </c>
      <c r="D5597">
        <v>0</v>
      </c>
      <c r="E5597" t="s">
        <v>16331</v>
      </c>
      <c r="F5597" s="124"/>
      <c r="O5597" s="5"/>
      <c r="S5597" s="6"/>
    </row>
    <row r="5598" spans="1:19" customFormat="1" x14ac:dyDescent="0.45">
      <c r="A5598">
        <v>631363</v>
      </c>
      <c r="B5598" t="s">
        <v>26751</v>
      </c>
      <c r="C5598" t="s">
        <v>16331</v>
      </c>
      <c r="D5598">
        <v>1</v>
      </c>
      <c r="E5598" t="s">
        <v>16331</v>
      </c>
      <c r="F5598" s="124"/>
      <c r="O5598" s="5"/>
      <c r="S5598" s="6"/>
    </row>
    <row r="5599" spans="1:19" customFormat="1" x14ac:dyDescent="0.45">
      <c r="A5599">
        <v>301709</v>
      </c>
      <c r="B5599" t="s">
        <v>26752</v>
      </c>
      <c r="C5599" t="s">
        <v>16331</v>
      </c>
      <c r="D5599">
        <v>1</v>
      </c>
      <c r="E5599" t="s">
        <v>16331</v>
      </c>
      <c r="F5599" s="124"/>
      <c r="O5599" s="5"/>
      <c r="S5599" s="6"/>
    </row>
    <row r="5600" spans="1:19" customFormat="1" x14ac:dyDescent="0.45">
      <c r="A5600">
        <v>462402</v>
      </c>
      <c r="B5600" t="s">
        <v>26753</v>
      </c>
      <c r="C5600" t="s">
        <v>16331</v>
      </c>
      <c r="D5600">
        <v>2</v>
      </c>
      <c r="E5600" t="s">
        <v>16331</v>
      </c>
      <c r="F5600" s="124"/>
      <c r="O5600" s="5"/>
      <c r="S5600" s="6"/>
    </row>
    <row r="5601" spans="1:22" customFormat="1" x14ac:dyDescent="0.45">
      <c r="A5601">
        <v>461650</v>
      </c>
      <c r="B5601" t="s">
        <v>26754</v>
      </c>
      <c r="C5601" t="s">
        <v>16331</v>
      </c>
      <c r="D5601">
        <v>2</v>
      </c>
      <c r="E5601" t="s">
        <v>16331</v>
      </c>
      <c r="F5601" s="124"/>
      <c r="O5601" s="5"/>
      <c r="S5601" s="6"/>
    </row>
    <row r="5602" spans="1:22" customFormat="1" x14ac:dyDescent="0.45">
      <c r="A5602">
        <v>751127</v>
      </c>
      <c r="B5602" t="s">
        <v>26755</v>
      </c>
      <c r="C5602" t="s">
        <v>16331</v>
      </c>
      <c r="D5602">
        <v>3</v>
      </c>
      <c r="E5602" t="s">
        <v>16331</v>
      </c>
      <c r="F5602" s="124"/>
      <c r="O5602" s="5"/>
      <c r="S5602" s="6"/>
    </row>
    <row r="5603" spans="1:22" customFormat="1" x14ac:dyDescent="0.45">
      <c r="A5603">
        <v>755010</v>
      </c>
      <c r="B5603" t="s">
        <v>26756</v>
      </c>
      <c r="C5603" t="s">
        <v>16331</v>
      </c>
      <c r="D5603">
        <v>1</v>
      </c>
      <c r="E5603" t="s">
        <v>16331</v>
      </c>
      <c r="F5603" s="124"/>
      <c r="O5603" s="5"/>
      <c r="S5603" s="6"/>
    </row>
    <row r="5604" spans="1:22" customFormat="1" x14ac:dyDescent="0.45">
      <c r="A5604">
        <v>713859</v>
      </c>
      <c r="B5604" t="s">
        <v>26757</v>
      </c>
      <c r="C5604" s="2" t="s">
        <v>26758</v>
      </c>
      <c r="D5604">
        <v>13</v>
      </c>
      <c r="E5604" t="s">
        <v>16417</v>
      </c>
      <c r="F5604" s="124"/>
      <c r="O5604" s="5"/>
      <c r="S5604" s="6"/>
    </row>
    <row r="5605" spans="1:22" customFormat="1" x14ac:dyDescent="0.45">
      <c r="A5605">
        <v>142989</v>
      </c>
      <c r="B5605" t="s">
        <v>26759</v>
      </c>
      <c r="C5605" t="s">
        <v>16331</v>
      </c>
      <c r="D5605">
        <v>172</v>
      </c>
      <c r="E5605" t="s">
        <v>16331</v>
      </c>
      <c r="F5605" s="124"/>
      <c r="O5605" s="5"/>
      <c r="S5605" s="6"/>
    </row>
    <row r="5606" spans="1:22" customFormat="1" x14ac:dyDescent="0.45">
      <c r="A5606">
        <v>110937</v>
      </c>
      <c r="B5606" t="s">
        <v>26760</v>
      </c>
      <c r="C5606" t="s">
        <v>16331</v>
      </c>
      <c r="D5606">
        <v>0</v>
      </c>
      <c r="E5606" t="s">
        <v>16331</v>
      </c>
      <c r="F5606" s="124"/>
      <c r="O5606" s="5"/>
      <c r="S5606" s="6"/>
    </row>
    <row r="5607" spans="1:22" customFormat="1" x14ac:dyDescent="0.45">
      <c r="A5607">
        <v>782810</v>
      </c>
      <c r="B5607" t="s">
        <v>26761</v>
      </c>
      <c r="C5607" t="s">
        <v>16331</v>
      </c>
      <c r="D5607">
        <v>0</v>
      </c>
      <c r="E5607" t="s">
        <v>16331</v>
      </c>
      <c r="F5607" s="124"/>
      <c r="O5607" s="5"/>
      <c r="S5607" s="6"/>
    </row>
    <row r="5608" spans="1:22" customFormat="1" x14ac:dyDescent="0.45">
      <c r="A5608" s="66">
        <v>534569</v>
      </c>
      <c r="B5608" s="66" t="s">
        <v>26762</v>
      </c>
      <c r="C5608" t="s">
        <v>16331</v>
      </c>
      <c r="D5608">
        <v>4</v>
      </c>
      <c r="E5608" t="s">
        <v>16331</v>
      </c>
      <c r="F5608" s="124"/>
      <c r="O5608" s="5"/>
      <c r="S5608" s="6"/>
    </row>
    <row r="5609" spans="1:22" x14ac:dyDescent="0.45">
      <c r="A5609" s="124">
        <v>772350</v>
      </c>
      <c r="B5609" s="124" t="s">
        <v>26763</v>
      </c>
      <c r="C5609" s="125" t="s">
        <v>26764</v>
      </c>
      <c r="D5609" s="124">
        <v>1</v>
      </c>
      <c r="E5609" s="124" t="s">
        <v>16417</v>
      </c>
      <c r="F5609" s="126">
        <f>(0.25%+0.15%)/2</f>
        <v>2E-3</v>
      </c>
      <c r="I5609" s="126">
        <f>0.85%+0.85%+0.5%+0.4%</f>
        <v>2.6000000000000002E-2</v>
      </c>
      <c r="J5609" s="126">
        <v>1.0200000000000001E-2</v>
      </c>
      <c r="K5609" s="126">
        <f>I5609+J5609</f>
        <v>3.6200000000000003E-2</v>
      </c>
      <c r="L5609" s="3">
        <v>5.0000000000000001E-3</v>
      </c>
      <c r="M5609" s="126">
        <f>K5609+F5609</f>
        <v>3.8200000000000005E-2</v>
      </c>
      <c r="O5609" s="125" t="s">
        <v>26765</v>
      </c>
      <c r="Q5609" s="124">
        <f>142021+1051</f>
        <v>143072</v>
      </c>
      <c r="R5609" s="124" t="s">
        <v>16348</v>
      </c>
      <c r="S5609" s="130">
        <v>140970</v>
      </c>
      <c r="T5609" s="129">
        <f>S5609/Q5609</f>
        <v>0.98530809662267949</v>
      </c>
      <c r="V5609" s="124" t="s">
        <v>26766</v>
      </c>
    </row>
    <row r="5610" spans="1:22" customFormat="1" x14ac:dyDescent="0.45">
      <c r="A5610">
        <v>131818</v>
      </c>
      <c r="B5610" t="s">
        <v>26767</v>
      </c>
      <c r="C5610" s="2" t="s">
        <v>26768</v>
      </c>
      <c r="D5610">
        <v>7</v>
      </c>
      <c r="E5610" t="s">
        <v>26769</v>
      </c>
      <c r="F5610" s="124"/>
      <c r="O5610" s="5"/>
      <c r="S5610" s="6"/>
    </row>
    <row r="5611" spans="1:22" customFormat="1" x14ac:dyDescent="0.45">
      <c r="A5611">
        <v>607609</v>
      </c>
      <c r="B5611" t="s">
        <v>26770</v>
      </c>
      <c r="C5611" t="s">
        <v>26771</v>
      </c>
      <c r="D5611">
        <v>1</v>
      </c>
      <c r="E5611" t="s">
        <v>16334</v>
      </c>
      <c r="F5611" s="124"/>
      <c r="O5611" s="5"/>
      <c r="S5611" s="6"/>
    </row>
    <row r="5612" spans="1:22" x14ac:dyDescent="0.45">
      <c r="A5612" s="124">
        <v>628181</v>
      </c>
      <c r="B5612" s="124" t="s">
        <v>26772</v>
      </c>
      <c r="C5612" s="125" t="s">
        <v>26773</v>
      </c>
      <c r="D5612" s="124">
        <v>2</v>
      </c>
      <c r="E5612" s="124" t="s">
        <v>16334</v>
      </c>
      <c r="F5612" s="126">
        <v>1.6999999999999999E-3</v>
      </c>
      <c r="G5612" s="135">
        <v>0.01</v>
      </c>
      <c r="H5612" s="126">
        <v>5.0000000000000001E-3</v>
      </c>
      <c r="K5612" s="126">
        <f>SUM(G5612:J5612)</f>
        <v>1.4999999999999999E-2</v>
      </c>
      <c r="M5612" s="126">
        <f>K5612+F5612</f>
        <v>1.67E-2</v>
      </c>
      <c r="O5612" s="125" t="s">
        <v>26774</v>
      </c>
      <c r="P5612" s="128" t="s">
        <v>26918</v>
      </c>
      <c r="Q5612" s="151">
        <f>78662+1233</f>
        <v>79895</v>
      </c>
      <c r="R5612" s="124" t="s">
        <v>16348</v>
      </c>
      <c r="S5612" s="130">
        <v>60403</v>
      </c>
      <c r="T5612" s="129">
        <f>S5612/Q5612</f>
        <v>0.75602978909819141</v>
      </c>
      <c r="V5612" s="124" t="s">
        <v>26775</v>
      </c>
    </row>
    <row r="5613" spans="1:22" x14ac:dyDescent="0.45">
      <c r="A5613" s="124">
        <v>578626</v>
      </c>
      <c r="B5613" s="124" t="s">
        <v>26776</v>
      </c>
      <c r="C5613" s="125" t="s">
        <v>26777</v>
      </c>
      <c r="D5613" s="124">
        <v>6</v>
      </c>
      <c r="E5613" s="124" t="s">
        <v>16334</v>
      </c>
      <c r="F5613" s="126">
        <v>1.6999999999999999E-3</v>
      </c>
      <c r="I5613" s="135">
        <v>0.03</v>
      </c>
      <c r="J5613" s="135">
        <v>5.0000000000000001E-3</v>
      </c>
      <c r="K5613" s="126">
        <f>SUM(G5613:J5613)</f>
        <v>3.4999999999999996E-2</v>
      </c>
      <c r="M5613" s="126">
        <f>K5613+F5613</f>
        <v>3.6699999999999997E-2</v>
      </c>
      <c r="O5613" s="125" t="s">
        <v>26778</v>
      </c>
      <c r="P5613" s="128" t="s">
        <v>26918</v>
      </c>
      <c r="Q5613" s="124">
        <f>642822+2078</f>
        <v>644900</v>
      </c>
      <c r="R5613" s="124" t="s">
        <v>16348</v>
      </c>
      <c r="S5613" s="130">
        <v>531060</v>
      </c>
      <c r="T5613" s="129">
        <f>S5613/Q5613</f>
        <v>0.82347650798573424</v>
      </c>
      <c r="V5613" s="124" t="s">
        <v>26779</v>
      </c>
    </row>
    <row r="5614" spans="1:22" customFormat="1" x14ac:dyDescent="0.45">
      <c r="A5614">
        <v>609841</v>
      </c>
      <c r="B5614" t="s">
        <v>26780</v>
      </c>
      <c r="C5614" s="2" t="s">
        <v>26781</v>
      </c>
      <c r="D5614">
        <v>2</v>
      </c>
      <c r="E5614" t="s">
        <v>16417</v>
      </c>
      <c r="F5614" s="124"/>
      <c r="O5614" s="5"/>
      <c r="S5614" s="6"/>
    </row>
    <row r="5615" spans="1:22" customFormat="1" x14ac:dyDescent="0.45">
      <c r="A5615">
        <v>402969</v>
      </c>
      <c r="B5615" t="s">
        <v>26782</v>
      </c>
      <c r="C5615" s="2" t="s">
        <v>26783</v>
      </c>
      <c r="D5615">
        <v>1</v>
      </c>
      <c r="E5615" t="s">
        <v>16334</v>
      </c>
      <c r="F5615" s="124"/>
      <c r="O5615" s="5"/>
      <c r="S5615" s="6"/>
    </row>
    <row r="5616" spans="1:22" customFormat="1" x14ac:dyDescent="0.45">
      <c r="A5616">
        <v>122702</v>
      </c>
      <c r="B5616" t="s">
        <v>26784</v>
      </c>
      <c r="C5616" s="2" t="s">
        <v>26785</v>
      </c>
      <c r="D5616">
        <v>299</v>
      </c>
      <c r="F5616" s="124"/>
      <c r="O5616" s="5"/>
      <c r="S5616" s="6"/>
    </row>
    <row r="5617" spans="1:23" customFormat="1" x14ac:dyDescent="0.45">
      <c r="A5617">
        <v>230612</v>
      </c>
      <c r="B5617" t="s">
        <v>26786</v>
      </c>
      <c r="C5617" s="2" t="s">
        <v>26787</v>
      </c>
      <c r="D5617">
        <v>1</v>
      </c>
      <c r="E5617" t="s">
        <v>16334</v>
      </c>
      <c r="F5617" s="124"/>
      <c r="O5617" s="5"/>
      <c r="S5617" s="6"/>
    </row>
    <row r="5618" spans="1:23" customFormat="1" x14ac:dyDescent="0.45">
      <c r="A5618">
        <v>471166</v>
      </c>
      <c r="B5618" t="s">
        <v>26788</v>
      </c>
      <c r="C5618" s="2" t="s">
        <v>26789</v>
      </c>
      <c r="D5618">
        <v>1</v>
      </c>
      <c r="E5618" t="s">
        <v>16334</v>
      </c>
      <c r="F5618" s="124"/>
      <c r="O5618" s="5"/>
      <c r="S5618" s="6"/>
    </row>
    <row r="5619" spans="1:23" customFormat="1" x14ac:dyDescent="0.45">
      <c r="A5619">
        <v>921484</v>
      </c>
      <c r="B5619" t="s">
        <v>26790</v>
      </c>
      <c r="C5619" s="2" t="s">
        <v>26791</v>
      </c>
      <c r="D5619">
        <v>1</v>
      </c>
      <c r="E5619" t="s">
        <v>16334</v>
      </c>
      <c r="F5619" s="124"/>
      <c r="O5619" s="5"/>
      <c r="S5619" s="6"/>
    </row>
    <row r="5620" spans="1:23" customFormat="1" x14ac:dyDescent="0.45">
      <c r="A5620">
        <v>770143</v>
      </c>
      <c r="B5620" t="s">
        <v>26792</v>
      </c>
      <c r="C5620" t="s">
        <v>16331</v>
      </c>
      <c r="D5620">
        <v>1</v>
      </c>
      <c r="E5620" t="s">
        <v>16331</v>
      </c>
      <c r="F5620" s="124"/>
      <c r="O5620" s="5"/>
      <c r="S5620" s="6"/>
    </row>
    <row r="5621" spans="1:23" customFormat="1" x14ac:dyDescent="0.45">
      <c r="A5621">
        <v>449269</v>
      </c>
      <c r="B5621" t="s">
        <v>26793</v>
      </c>
      <c r="C5621" s="2" t="s">
        <v>26794</v>
      </c>
      <c r="D5621">
        <v>12</v>
      </c>
      <c r="E5621" t="s">
        <v>26638</v>
      </c>
      <c r="F5621" s="124"/>
      <c r="O5621" s="5"/>
      <c r="S5621" s="6"/>
    </row>
    <row r="5622" spans="1:23" customFormat="1" x14ac:dyDescent="0.45">
      <c r="A5622">
        <v>154146</v>
      </c>
      <c r="B5622" t="s">
        <v>26795</v>
      </c>
      <c r="C5622" s="2" t="s">
        <v>26796</v>
      </c>
      <c r="D5622">
        <v>4</v>
      </c>
      <c r="E5622" t="s">
        <v>16334</v>
      </c>
      <c r="F5622" s="124"/>
      <c r="O5622" s="5"/>
      <c r="S5622" s="6"/>
    </row>
    <row r="5623" spans="1:23" customFormat="1" x14ac:dyDescent="0.45">
      <c r="A5623">
        <v>438697</v>
      </c>
      <c r="B5623" t="s">
        <v>26797</v>
      </c>
      <c r="C5623" t="s">
        <v>16331</v>
      </c>
      <c r="D5623">
        <v>0</v>
      </c>
      <c r="E5623" t="s">
        <v>16331</v>
      </c>
      <c r="F5623" s="124"/>
      <c r="O5623" s="5"/>
      <c r="S5623" s="6"/>
    </row>
    <row r="5624" spans="1:23" x14ac:dyDescent="0.45">
      <c r="A5624" s="124">
        <v>578614</v>
      </c>
      <c r="B5624" s="124" t="s">
        <v>26798</v>
      </c>
      <c r="C5624" s="125" t="s">
        <v>24259</v>
      </c>
      <c r="D5624" s="124">
        <v>167</v>
      </c>
      <c r="E5624" s="124" t="s">
        <v>16417</v>
      </c>
      <c r="F5624" s="126">
        <v>9.7999999999999997E-3</v>
      </c>
      <c r="G5624" s="126">
        <v>0.03</v>
      </c>
      <c r="H5624" s="126">
        <v>0.01</v>
      </c>
      <c r="I5624" s="127">
        <v>0</v>
      </c>
      <c r="J5624" s="127">
        <v>0</v>
      </c>
      <c r="K5624" s="126">
        <v>0.04</v>
      </c>
      <c r="L5624" s="3">
        <v>4.9799999999999997E-2</v>
      </c>
      <c r="M5624" s="126">
        <f>K5624+F5624</f>
        <v>4.9799999999999997E-2</v>
      </c>
      <c r="N5624" s="125"/>
      <c r="O5624" s="125" t="s">
        <v>24251</v>
      </c>
      <c r="P5624" s="125" t="s">
        <v>24252</v>
      </c>
      <c r="Q5624" s="130">
        <v>169640000</v>
      </c>
      <c r="R5624" s="130" t="s">
        <v>16348</v>
      </c>
      <c r="S5624" s="130">
        <v>136930000</v>
      </c>
      <c r="T5624" s="129">
        <f>S5624/Q5624</f>
        <v>0.80717991039849091</v>
      </c>
      <c r="V5624" s="125" t="s">
        <v>24253</v>
      </c>
    </row>
    <row r="5625" spans="1:23" customFormat="1" x14ac:dyDescent="0.45">
      <c r="A5625">
        <v>607200</v>
      </c>
      <c r="B5625" t="s">
        <v>26799</v>
      </c>
      <c r="C5625" s="2" t="s">
        <v>26800</v>
      </c>
      <c r="D5625">
        <v>0</v>
      </c>
      <c r="E5625" t="s">
        <v>16334</v>
      </c>
      <c r="F5625" s="124"/>
      <c r="O5625" s="5"/>
      <c r="S5625" s="6"/>
    </row>
    <row r="5626" spans="1:23" customFormat="1" x14ac:dyDescent="0.45">
      <c r="A5626">
        <v>515454</v>
      </c>
      <c r="B5626" t="s">
        <v>26801</v>
      </c>
      <c r="C5626" s="2" t="s">
        <v>26802</v>
      </c>
      <c r="D5626">
        <v>1</v>
      </c>
      <c r="E5626" t="s">
        <v>16334</v>
      </c>
      <c r="F5626" s="124"/>
      <c r="O5626" s="5"/>
      <c r="S5626" s="6"/>
    </row>
    <row r="5627" spans="1:23" customFormat="1" x14ac:dyDescent="0.45">
      <c r="A5627">
        <v>453293</v>
      </c>
      <c r="B5627" t="s">
        <v>26803</v>
      </c>
      <c r="C5627" s="2" t="s">
        <v>26804</v>
      </c>
      <c r="D5627">
        <v>6</v>
      </c>
      <c r="E5627" t="s">
        <v>16334</v>
      </c>
      <c r="F5627" s="124"/>
      <c r="O5627" s="5"/>
      <c r="S5627" s="6"/>
    </row>
    <row r="5628" spans="1:23" customFormat="1" x14ac:dyDescent="0.45">
      <c r="A5628">
        <v>968942</v>
      </c>
      <c r="B5628" t="s">
        <v>26805</v>
      </c>
      <c r="C5628" t="s">
        <v>16331</v>
      </c>
      <c r="D5628">
        <v>2</v>
      </c>
      <c r="E5628" t="s">
        <v>16331</v>
      </c>
      <c r="F5628" s="124"/>
      <c r="O5628" s="5"/>
      <c r="S5628" s="6"/>
    </row>
    <row r="5629" spans="1:23" customFormat="1" x14ac:dyDescent="0.45">
      <c r="A5629">
        <v>626364</v>
      </c>
      <c r="B5629" t="s">
        <v>26806</v>
      </c>
      <c r="C5629" s="2" t="s">
        <v>26807</v>
      </c>
      <c r="D5629">
        <v>1</v>
      </c>
      <c r="E5629" t="s">
        <v>16334</v>
      </c>
      <c r="F5629" s="124"/>
      <c r="O5629" s="5"/>
      <c r="S5629" s="6"/>
    </row>
    <row r="5630" spans="1:23" customFormat="1" x14ac:dyDescent="0.45">
      <c r="A5630">
        <v>474566</v>
      </c>
      <c r="B5630" t="s">
        <v>26808</v>
      </c>
      <c r="C5630" s="2" t="s">
        <v>26809</v>
      </c>
      <c r="D5630">
        <v>5</v>
      </c>
      <c r="E5630" t="s">
        <v>16334</v>
      </c>
      <c r="F5630" s="124"/>
      <c r="O5630" s="5"/>
      <c r="S5630" s="6"/>
    </row>
    <row r="5631" spans="1:23" x14ac:dyDescent="0.45">
      <c r="A5631" s="124">
        <v>806635</v>
      </c>
      <c r="B5631" s="124" t="s">
        <v>26810</v>
      </c>
      <c r="C5631" s="125" t="s">
        <v>26811</v>
      </c>
      <c r="D5631" s="124">
        <v>1</v>
      </c>
      <c r="E5631" s="124" t="s">
        <v>16334</v>
      </c>
      <c r="F5631" s="126">
        <v>1.6999999999999999E-3</v>
      </c>
      <c r="G5631" s="135">
        <v>0.05</v>
      </c>
      <c r="H5631" s="135">
        <v>0.01</v>
      </c>
      <c r="K5631" s="126">
        <f>SUM(G5631:J5631)</f>
        <v>6.0000000000000005E-2</v>
      </c>
      <c r="M5631" s="126">
        <f>K5631+F5631</f>
        <v>6.1700000000000005E-2</v>
      </c>
      <c r="O5631" s="125" t="s">
        <v>26812</v>
      </c>
      <c r="P5631" s="128" t="s">
        <v>26918</v>
      </c>
      <c r="Q5631" s="124">
        <f>298500+68244</f>
        <v>366744</v>
      </c>
      <c r="R5631" s="130" t="s">
        <v>16348</v>
      </c>
      <c r="S5631" s="134">
        <v>268999</v>
      </c>
      <c r="T5631" s="129">
        <f>S5631/Q5631</f>
        <v>0.73347893898741356</v>
      </c>
      <c r="V5631" s="125" t="s">
        <v>26813</v>
      </c>
      <c r="W5631" s="124" t="s">
        <v>16354</v>
      </c>
    </row>
    <row r="5632" spans="1:23" x14ac:dyDescent="0.45">
      <c r="A5632" s="124">
        <v>453710</v>
      </c>
      <c r="B5632" s="124" t="s">
        <v>26814</v>
      </c>
      <c r="C5632" s="125" t="s">
        <v>26815</v>
      </c>
      <c r="D5632" s="124">
        <v>3</v>
      </c>
      <c r="E5632" s="124" t="s">
        <v>16334</v>
      </c>
      <c r="F5632" s="126">
        <v>1.6999999999999999E-3</v>
      </c>
      <c r="G5632" s="126">
        <v>1.4999999999999999E-2</v>
      </c>
      <c r="H5632" s="126">
        <v>5.0000000000000001E-3</v>
      </c>
      <c r="K5632" s="126">
        <f>SUM(G5632:J5632)</f>
        <v>0.02</v>
      </c>
      <c r="M5632" s="126">
        <f>K5632+F5632</f>
        <v>2.1700000000000001E-2</v>
      </c>
      <c r="O5632" s="125" t="s">
        <v>26816</v>
      </c>
      <c r="P5632" s="128" t="s">
        <v>26918</v>
      </c>
      <c r="Q5632" s="124">
        <v>1</v>
      </c>
      <c r="R5632" s="130" t="s">
        <v>16348</v>
      </c>
      <c r="S5632" s="130">
        <v>1</v>
      </c>
      <c r="T5632" s="129">
        <f>S5632/Q5632</f>
        <v>1</v>
      </c>
      <c r="V5632" s="124" t="s">
        <v>26817</v>
      </c>
    </row>
    <row r="5633" spans="1:23" customFormat="1" x14ac:dyDescent="0.45">
      <c r="A5633">
        <v>739045</v>
      </c>
      <c r="B5633" t="s">
        <v>26818</v>
      </c>
      <c r="C5633" s="2" t="s">
        <v>26819</v>
      </c>
      <c r="D5633">
        <v>10</v>
      </c>
      <c r="E5633" t="s">
        <v>16334</v>
      </c>
      <c r="F5633" s="124"/>
      <c r="O5633" s="5"/>
      <c r="S5633" s="6"/>
    </row>
    <row r="5634" spans="1:23" customFormat="1" x14ac:dyDescent="0.45">
      <c r="A5634">
        <v>506519</v>
      </c>
      <c r="B5634" t="s">
        <v>26820</v>
      </c>
      <c r="C5634" s="2" t="s">
        <v>26821</v>
      </c>
      <c r="D5634">
        <v>2</v>
      </c>
      <c r="E5634" t="s">
        <v>16334</v>
      </c>
      <c r="F5634" s="124"/>
      <c r="O5634" s="5"/>
      <c r="S5634" s="6"/>
    </row>
    <row r="5635" spans="1:23" customFormat="1" x14ac:dyDescent="0.45">
      <c r="A5635">
        <v>777162</v>
      </c>
      <c r="B5635" t="s">
        <v>26822</v>
      </c>
      <c r="C5635" s="2" t="s">
        <v>26823</v>
      </c>
      <c r="D5635">
        <v>1</v>
      </c>
      <c r="E5635" t="s">
        <v>26824</v>
      </c>
      <c r="F5635" s="124"/>
      <c r="O5635" s="5"/>
      <c r="S5635" s="6"/>
    </row>
    <row r="5636" spans="1:23" customFormat="1" x14ac:dyDescent="0.45">
      <c r="A5636">
        <v>125686</v>
      </c>
      <c r="B5636" t="s">
        <v>26825</v>
      </c>
      <c r="C5636" t="s">
        <v>16331</v>
      </c>
      <c r="D5636">
        <v>1</v>
      </c>
      <c r="E5636" t="s">
        <v>16331</v>
      </c>
      <c r="F5636" s="124"/>
      <c r="O5636" s="5"/>
      <c r="S5636" s="6"/>
    </row>
    <row r="5637" spans="1:23" customFormat="1" x14ac:dyDescent="0.45">
      <c r="A5637">
        <v>415909</v>
      </c>
      <c r="B5637" t="s">
        <v>26826</v>
      </c>
      <c r="C5637" s="2" t="s">
        <v>26827</v>
      </c>
      <c r="D5637">
        <v>1</v>
      </c>
      <c r="E5637" t="s">
        <v>19374</v>
      </c>
      <c r="F5637" s="124"/>
      <c r="O5637" s="5"/>
      <c r="S5637" s="6"/>
    </row>
    <row r="5638" spans="1:23" customFormat="1" x14ac:dyDescent="0.45">
      <c r="A5638">
        <v>446579</v>
      </c>
      <c r="B5638" t="s">
        <v>26828</v>
      </c>
      <c r="C5638" s="2" t="s">
        <v>26829</v>
      </c>
      <c r="D5638">
        <v>1</v>
      </c>
      <c r="E5638" t="s">
        <v>16417</v>
      </c>
      <c r="F5638" s="124"/>
      <c r="O5638" s="5"/>
      <c r="S5638" s="6"/>
    </row>
    <row r="5639" spans="1:23" customFormat="1" x14ac:dyDescent="0.45">
      <c r="A5639">
        <v>170969</v>
      </c>
      <c r="B5639" t="s">
        <v>26830</v>
      </c>
      <c r="C5639" s="2" t="s">
        <v>26831</v>
      </c>
      <c r="D5639">
        <v>2</v>
      </c>
      <c r="E5639" t="s">
        <v>16334</v>
      </c>
      <c r="F5639" s="124"/>
      <c r="O5639" s="5"/>
      <c r="S5639" s="6"/>
    </row>
    <row r="5640" spans="1:23" customFormat="1" x14ac:dyDescent="0.45">
      <c r="A5640">
        <v>150161</v>
      </c>
      <c r="B5640" t="s">
        <v>26832</v>
      </c>
      <c r="C5640" t="s">
        <v>16331</v>
      </c>
      <c r="D5640">
        <v>1</v>
      </c>
      <c r="E5640" t="s">
        <v>16331</v>
      </c>
      <c r="F5640" s="124"/>
      <c r="O5640" s="5"/>
      <c r="S5640" s="6"/>
    </row>
    <row r="5641" spans="1:23" customFormat="1" x14ac:dyDescent="0.45">
      <c r="A5641">
        <v>711327</v>
      </c>
      <c r="B5641" t="s">
        <v>26833</v>
      </c>
      <c r="C5641" t="s">
        <v>16331</v>
      </c>
      <c r="D5641">
        <v>1</v>
      </c>
      <c r="E5641" t="s">
        <v>16331</v>
      </c>
      <c r="F5641" s="124"/>
      <c r="O5641" s="5"/>
      <c r="S5641" s="6"/>
    </row>
    <row r="5642" spans="1:23" customFormat="1" x14ac:dyDescent="0.45">
      <c r="A5642">
        <v>815310</v>
      </c>
      <c r="B5642" t="s">
        <v>26834</v>
      </c>
      <c r="C5642" s="2" t="s">
        <v>26835</v>
      </c>
      <c r="D5642">
        <v>1</v>
      </c>
      <c r="E5642" t="s">
        <v>16334</v>
      </c>
      <c r="F5642" s="124"/>
      <c r="O5642" s="5"/>
      <c r="S5642" s="6"/>
    </row>
    <row r="5643" spans="1:23" x14ac:dyDescent="0.45">
      <c r="A5643" s="124">
        <v>116336</v>
      </c>
      <c r="B5643" s="124" t="s">
        <v>26836</v>
      </c>
      <c r="C5643" s="125" t="s">
        <v>26837</v>
      </c>
      <c r="D5643" s="124">
        <v>3</v>
      </c>
      <c r="E5643" s="124" t="s">
        <v>16334</v>
      </c>
      <c r="F5643" s="126">
        <v>1.6999999999999999E-3</v>
      </c>
      <c r="G5643" s="135">
        <v>0.05</v>
      </c>
      <c r="H5643" s="135">
        <v>0.02</v>
      </c>
      <c r="K5643" s="126">
        <f>SUM(G5643:J5643)</f>
        <v>7.0000000000000007E-2</v>
      </c>
      <c r="M5643" s="126">
        <f>K5643+F5643</f>
        <v>7.17E-2</v>
      </c>
      <c r="O5643" s="125" t="s">
        <v>26838</v>
      </c>
      <c r="P5643" s="128" t="s">
        <v>26918</v>
      </c>
      <c r="Q5643" s="130">
        <f>534117+70220</f>
        <v>604337</v>
      </c>
      <c r="R5643" s="130" t="s">
        <v>16348</v>
      </c>
      <c r="S5643" s="130">
        <v>475240</v>
      </c>
      <c r="T5643" s="129">
        <f>S5643/Q5643</f>
        <v>0.78638243231839189</v>
      </c>
      <c r="V5643" s="125" t="s">
        <v>26839</v>
      </c>
      <c r="W5643" s="124" t="s">
        <v>16354</v>
      </c>
    </row>
    <row r="5644" spans="1:23" customFormat="1" x14ac:dyDescent="0.45">
      <c r="A5644">
        <v>515774</v>
      </c>
      <c r="B5644" t="s">
        <v>26840</v>
      </c>
      <c r="C5644" s="2" t="s">
        <v>26841</v>
      </c>
      <c r="D5644">
        <v>3</v>
      </c>
      <c r="E5644" t="s">
        <v>16334</v>
      </c>
      <c r="F5644" s="124"/>
      <c r="O5644" s="5"/>
      <c r="S5644" s="6"/>
    </row>
    <row r="5645" spans="1:23" customFormat="1" x14ac:dyDescent="0.45">
      <c r="A5645">
        <v>208737</v>
      </c>
      <c r="B5645" t="s">
        <v>26842</v>
      </c>
      <c r="C5645" s="2" t="s">
        <v>26843</v>
      </c>
      <c r="D5645">
        <v>9</v>
      </c>
      <c r="E5645" t="s">
        <v>16334</v>
      </c>
      <c r="F5645" s="124"/>
      <c r="O5645" s="5"/>
      <c r="S5645" s="6"/>
    </row>
    <row r="5646" spans="1:23" x14ac:dyDescent="0.45">
      <c r="A5646" s="124">
        <v>402770</v>
      </c>
      <c r="B5646" s="124" t="s">
        <v>26844</v>
      </c>
      <c r="C5646" s="125" t="s">
        <v>18760</v>
      </c>
      <c r="D5646" s="124">
        <v>15</v>
      </c>
      <c r="E5646" s="124" t="s">
        <v>16417</v>
      </c>
      <c r="F5646" s="126">
        <v>8.2500000000000004E-3</v>
      </c>
      <c r="G5646" s="126">
        <v>0.02</v>
      </c>
      <c r="H5646" s="126">
        <v>7.4999999999999997E-3</v>
      </c>
      <c r="I5646" s="127">
        <v>0</v>
      </c>
      <c r="J5646" s="127">
        <v>0</v>
      </c>
      <c r="K5646" s="126">
        <v>2.75E-2</v>
      </c>
      <c r="L5646" s="3">
        <v>3.5749999999999997E-2</v>
      </c>
      <c r="M5646" s="126">
        <f>K5646+F5646</f>
        <v>3.5750000000000004E-2</v>
      </c>
      <c r="O5646" s="125" t="s">
        <v>18727</v>
      </c>
      <c r="P5646" s="125" t="s">
        <v>18728</v>
      </c>
      <c r="Q5646" s="130">
        <f>21895536+2032833</f>
        <v>23928369</v>
      </c>
      <c r="R5646" s="130" t="s">
        <v>16348</v>
      </c>
      <c r="S5646" s="130">
        <v>21891619</v>
      </c>
      <c r="T5646" s="129">
        <f>S5646/Q5646</f>
        <v>0.91488136947403309</v>
      </c>
      <c r="V5646" s="125" t="s">
        <v>18729</v>
      </c>
    </row>
    <row r="5647" spans="1:23" customFormat="1" x14ac:dyDescent="0.45">
      <c r="A5647">
        <v>670729</v>
      </c>
      <c r="B5647" t="s">
        <v>26845</v>
      </c>
      <c r="C5647" s="2" t="s">
        <v>26846</v>
      </c>
      <c r="D5647">
        <v>2</v>
      </c>
      <c r="E5647" t="s">
        <v>18739</v>
      </c>
      <c r="F5647" s="124"/>
      <c r="O5647" s="5"/>
      <c r="S5647" s="6"/>
    </row>
    <row r="5648" spans="1:23" customFormat="1" x14ac:dyDescent="0.45">
      <c r="A5648">
        <v>504742</v>
      </c>
      <c r="B5648" t="s">
        <v>26847</v>
      </c>
      <c r="C5648" s="2" t="s">
        <v>26848</v>
      </c>
      <c r="D5648">
        <v>1</v>
      </c>
      <c r="E5648" t="s">
        <v>16334</v>
      </c>
      <c r="F5648" s="124"/>
      <c r="O5648" s="5"/>
      <c r="S5648" s="6"/>
    </row>
    <row r="5649" spans="1:22" customFormat="1" x14ac:dyDescent="0.45">
      <c r="A5649">
        <v>468093</v>
      </c>
      <c r="B5649" t="s">
        <v>26849</v>
      </c>
      <c r="C5649" t="s">
        <v>16331</v>
      </c>
      <c r="D5649">
        <v>0</v>
      </c>
      <c r="E5649" t="s">
        <v>16331</v>
      </c>
      <c r="F5649" s="124"/>
      <c r="O5649" s="5"/>
      <c r="S5649" s="6"/>
    </row>
    <row r="5650" spans="1:22" customFormat="1" x14ac:dyDescent="0.45">
      <c r="A5650">
        <v>441083</v>
      </c>
      <c r="B5650" t="s">
        <v>26850</v>
      </c>
      <c r="C5650" t="s">
        <v>16331</v>
      </c>
      <c r="D5650">
        <v>2</v>
      </c>
      <c r="E5650" t="s">
        <v>16331</v>
      </c>
      <c r="F5650" s="124"/>
      <c r="O5650" s="5"/>
      <c r="S5650" s="6"/>
    </row>
    <row r="5651" spans="1:22" x14ac:dyDescent="0.45">
      <c r="A5651" s="124">
        <v>232518</v>
      </c>
      <c r="B5651" s="124" t="s">
        <v>26851</v>
      </c>
      <c r="C5651" s="125" t="s">
        <v>26852</v>
      </c>
      <c r="D5651" s="124">
        <v>3</v>
      </c>
      <c r="E5651" s="124" t="s">
        <v>16334</v>
      </c>
      <c r="F5651" s="126">
        <v>1.6999999999999999E-3</v>
      </c>
      <c r="G5651" s="126">
        <f>1.5%+2.5%</f>
        <v>0.04</v>
      </c>
      <c r="H5651" s="135">
        <v>0.01</v>
      </c>
      <c r="K5651" s="126">
        <f>SUM(G5651:J5651)</f>
        <v>0.05</v>
      </c>
      <c r="M5651" s="126">
        <f>K5651+F5651</f>
        <v>5.1700000000000003E-2</v>
      </c>
      <c r="O5651" s="125" t="s">
        <v>26853</v>
      </c>
      <c r="P5651" s="128" t="s">
        <v>26918</v>
      </c>
      <c r="Q5651" s="130">
        <f>2052702+60891</f>
        <v>2113593</v>
      </c>
      <c r="R5651" s="130" t="s">
        <v>16348</v>
      </c>
      <c r="S5651" s="130">
        <v>1736533</v>
      </c>
      <c r="T5651" s="129">
        <f>S5651/Q5651</f>
        <v>0.82160236147640531</v>
      </c>
      <c r="V5651" s="125" t="s">
        <v>26854</v>
      </c>
    </row>
    <row r="5652" spans="1:22" customFormat="1" x14ac:dyDescent="0.45">
      <c r="A5652">
        <v>189815</v>
      </c>
      <c r="B5652" t="s">
        <v>26855</v>
      </c>
      <c r="C5652" s="2" t="s">
        <v>26856</v>
      </c>
      <c r="D5652">
        <v>7</v>
      </c>
      <c r="E5652" t="s">
        <v>16334</v>
      </c>
      <c r="F5652" s="124"/>
      <c r="O5652" s="5"/>
      <c r="S5652" s="6"/>
    </row>
    <row r="5653" spans="1:22" customFormat="1" x14ac:dyDescent="0.45">
      <c r="A5653">
        <v>212694</v>
      </c>
      <c r="B5653" t="s">
        <v>26857</v>
      </c>
      <c r="C5653" t="s">
        <v>16331</v>
      </c>
      <c r="D5653">
        <v>2</v>
      </c>
      <c r="E5653" t="s">
        <v>16331</v>
      </c>
      <c r="F5653" s="124"/>
      <c r="O5653" s="5"/>
      <c r="S5653" s="6"/>
    </row>
    <row r="5654" spans="1:22" customFormat="1" x14ac:dyDescent="0.45">
      <c r="A5654">
        <v>622187</v>
      </c>
      <c r="B5654" t="s">
        <v>26858</v>
      </c>
      <c r="C5654" s="2" t="s">
        <v>26859</v>
      </c>
      <c r="D5654">
        <v>1</v>
      </c>
      <c r="E5654" t="s">
        <v>16334</v>
      </c>
      <c r="F5654" s="124"/>
      <c r="O5654" s="5"/>
      <c r="S5654" s="6"/>
    </row>
    <row r="5655" spans="1:22" customFormat="1" x14ac:dyDescent="0.45">
      <c r="A5655">
        <v>301023</v>
      </c>
      <c r="B5655" t="s">
        <v>26860</v>
      </c>
      <c r="C5655" s="2" t="s">
        <v>26861</v>
      </c>
      <c r="D5655">
        <v>1</v>
      </c>
      <c r="E5655" t="s">
        <v>16334</v>
      </c>
      <c r="F5655" s="124"/>
      <c r="O5655" s="5"/>
      <c r="S5655" s="6"/>
    </row>
    <row r="5656" spans="1:22" customFormat="1" x14ac:dyDescent="0.45">
      <c r="A5656">
        <v>220743</v>
      </c>
      <c r="B5656" t="s">
        <v>26862</v>
      </c>
      <c r="C5656" s="2" t="s">
        <v>26861</v>
      </c>
      <c r="D5656">
        <v>81</v>
      </c>
      <c r="E5656" t="s">
        <v>16334</v>
      </c>
      <c r="F5656" s="124"/>
      <c r="O5656" s="5"/>
      <c r="S5656" s="6"/>
    </row>
    <row r="5657" spans="1:22" customFormat="1" x14ac:dyDescent="0.45">
      <c r="A5657">
        <v>126147</v>
      </c>
      <c r="B5657" t="s">
        <v>26863</v>
      </c>
      <c r="C5657" s="2" t="s">
        <v>26864</v>
      </c>
      <c r="D5657">
        <v>20</v>
      </c>
      <c r="E5657" t="s">
        <v>16334</v>
      </c>
      <c r="F5657" s="124"/>
      <c r="O5657" s="5"/>
      <c r="S5657" s="6"/>
    </row>
    <row r="5658" spans="1:22" customFormat="1" x14ac:dyDescent="0.45">
      <c r="A5658">
        <v>143715</v>
      </c>
      <c r="B5658" t="s">
        <v>26865</v>
      </c>
      <c r="C5658" s="2" t="s">
        <v>26866</v>
      </c>
      <c r="D5658">
        <v>15</v>
      </c>
      <c r="E5658" t="s">
        <v>26867</v>
      </c>
      <c r="F5658" s="124"/>
      <c r="O5658" s="5"/>
      <c r="S5658" s="6"/>
    </row>
    <row r="5659" spans="1:22" customFormat="1" x14ac:dyDescent="0.45">
      <c r="A5659">
        <v>630157</v>
      </c>
      <c r="B5659" t="s">
        <v>26868</v>
      </c>
      <c r="C5659" s="2" t="s">
        <v>26869</v>
      </c>
      <c r="D5659">
        <v>1</v>
      </c>
      <c r="E5659" t="s">
        <v>16334</v>
      </c>
      <c r="F5659" s="124"/>
      <c r="O5659" s="5"/>
      <c r="S5659" s="6"/>
    </row>
    <row r="5660" spans="1:22" customFormat="1" x14ac:dyDescent="0.45">
      <c r="A5660">
        <v>648950</v>
      </c>
      <c r="B5660" t="s">
        <v>26870</v>
      </c>
      <c r="C5660" s="2" t="s">
        <v>26871</v>
      </c>
      <c r="D5660">
        <v>1</v>
      </c>
      <c r="E5660" t="s">
        <v>19374</v>
      </c>
      <c r="F5660" s="124"/>
      <c r="O5660" s="5"/>
      <c r="S5660" s="6"/>
    </row>
    <row r="5661" spans="1:22" customFormat="1" x14ac:dyDescent="0.45">
      <c r="A5661">
        <v>510121</v>
      </c>
      <c r="B5661" t="s">
        <v>26872</v>
      </c>
      <c r="C5661" t="s">
        <v>16331</v>
      </c>
      <c r="D5661">
        <v>6</v>
      </c>
      <c r="E5661" t="s">
        <v>16331</v>
      </c>
      <c r="F5661" s="124"/>
      <c r="O5661" s="5"/>
      <c r="S5661" s="6"/>
    </row>
    <row r="5662" spans="1:22" customFormat="1" x14ac:dyDescent="0.45">
      <c r="A5662">
        <v>121003</v>
      </c>
      <c r="B5662" t="s">
        <v>26873</v>
      </c>
      <c r="C5662" s="2" t="s">
        <v>26874</v>
      </c>
      <c r="D5662">
        <v>2</v>
      </c>
      <c r="E5662" t="s">
        <v>16334</v>
      </c>
      <c r="F5662" s="124"/>
      <c r="O5662" s="5"/>
      <c r="S5662" s="6"/>
    </row>
    <row r="5663" spans="1:22" customFormat="1" x14ac:dyDescent="0.45">
      <c r="A5663">
        <v>134005</v>
      </c>
      <c r="B5663" t="s">
        <v>26875</v>
      </c>
      <c r="C5663" s="2" t="s">
        <v>21129</v>
      </c>
      <c r="D5663">
        <v>6</v>
      </c>
      <c r="E5663" t="s">
        <v>16334</v>
      </c>
      <c r="F5663" s="124"/>
      <c r="O5663" s="5"/>
      <c r="S5663" s="6"/>
    </row>
    <row r="5664" spans="1:22" customFormat="1" x14ac:dyDescent="0.45">
      <c r="A5664">
        <v>554067</v>
      </c>
      <c r="B5664" t="s">
        <v>26876</v>
      </c>
      <c r="C5664" s="2" t="s">
        <v>26877</v>
      </c>
      <c r="D5664">
        <v>1</v>
      </c>
      <c r="E5664" t="s">
        <v>16334</v>
      </c>
      <c r="F5664" s="124"/>
      <c r="O5664" s="5"/>
      <c r="S5664" s="6"/>
    </row>
    <row r="5665" spans="1:23" customFormat="1" x14ac:dyDescent="0.45">
      <c r="A5665">
        <v>440770</v>
      </c>
      <c r="B5665" t="s">
        <v>26878</v>
      </c>
      <c r="C5665" s="2" t="s">
        <v>26879</v>
      </c>
      <c r="D5665">
        <v>2</v>
      </c>
      <c r="E5665" t="s">
        <v>19374</v>
      </c>
      <c r="F5665" s="124"/>
      <c r="O5665" s="5"/>
      <c r="S5665" s="6"/>
    </row>
    <row r="5666" spans="1:23" customFormat="1" x14ac:dyDescent="0.45">
      <c r="A5666">
        <v>163292</v>
      </c>
      <c r="B5666" t="s">
        <v>26880</v>
      </c>
      <c r="C5666" s="2" t="s">
        <v>26881</v>
      </c>
      <c r="D5666">
        <v>1</v>
      </c>
      <c r="E5666" t="s">
        <v>16334</v>
      </c>
      <c r="F5666" s="124"/>
      <c r="O5666" s="5"/>
      <c r="S5666" s="6"/>
    </row>
    <row r="5667" spans="1:23" customFormat="1" x14ac:dyDescent="0.45">
      <c r="A5667">
        <v>223377</v>
      </c>
      <c r="B5667" t="s">
        <v>26882</v>
      </c>
      <c r="C5667" s="2" t="s">
        <v>26883</v>
      </c>
      <c r="D5667">
        <v>18</v>
      </c>
      <c r="E5667" t="s">
        <v>16334</v>
      </c>
      <c r="F5667" s="124"/>
      <c r="O5667" s="5"/>
      <c r="S5667" s="6"/>
    </row>
    <row r="5668" spans="1:23" customFormat="1" x14ac:dyDescent="0.45">
      <c r="A5668">
        <v>441766</v>
      </c>
      <c r="B5668" t="s">
        <v>26884</v>
      </c>
      <c r="C5668" s="2" t="s">
        <v>26885</v>
      </c>
      <c r="D5668">
        <v>13</v>
      </c>
      <c r="E5668" t="s">
        <v>16334</v>
      </c>
      <c r="F5668" s="124"/>
      <c r="O5668" s="5"/>
      <c r="S5668" s="6"/>
    </row>
    <row r="5669" spans="1:23" customFormat="1" x14ac:dyDescent="0.45">
      <c r="A5669">
        <v>191657</v>
      </c>
      <c r="B5669" t="s">
        <v>26886</v>
      </c>
      <c r="C5669" s="2" t="s">
        <v>26887</v>
      </c>
      <c r="D5669">
        <v>4</v>
      </c>
      <c r="E5669" t="s">
        <v>16509</v>
      </c>
      <c r="F5669" s="124"/>
      <c r="O5669" s="5"/>
      <c r="S5669" s="6"/>
    </row>
    <row r="5670" spans="1:23" customFormat="1" x14ac:dyDescent="0.45">
      <c r="A5670">
        <v>133733</v>
      </c>
      <c r="B5670" t="s">
        <v>26888</v>
      </c>
      <c r="C5670" t="s">
        <v>16331</v>
      </c>
      <c r="D5670">
        <v>0</v>
      </c>
      <c r="E5670" t="s">
        <v>16331</v>
      </c>
      <c r="F5670" s="124"/>
      <c r="O5670" s="5"/>
      <c r="S5670" s="6"/>
    </row>
    <row r="5671" spans="1:23" customFormat="1" x14ac:dyDescent="0.45">
      <c r="A5671">
        <v>185829</v>
      </c>
      <c r="B5671" t="s">
        <v>26889</v>
      </c>
      <c r="C5671" s="2" t="s">
        <v>26890</v>
      </c>
      <c r="D5671">
        <v>1</v>
      </c>
      <c r="E5671" t="s">
        <v>16334</v>
      </c>
      <c r="F5671" s="124"/>
      <c r="O5671" s="5"/>
      <c r="S5671" s="6"/>
    </row>
    <row r="5672" spans="1:23" customFormat="1" x14ac:dyDescent="0.45">
      <c r="A5672">
        <v>562795</v>
      </c>
      <c r="B5672" t="s">
        <v>26891</v>
      </c>
      <c r="C5672" s="2" t="s">
        <v>26892</v>
      </c>
      <c r="D5672">
        <v>2</v>
      </c>
      <c r="E5672" t="s">
        <v>16334</v>
      </c>
      <c r="F5672" s="124"/>
      <c r="O5672" s="5"/>
      <c r="S5672" s="6"/>
    </row>
    <row r="5673" spans="1:23" x14ac:dyDescent="0.45">
      <c r="A5673" s="124">
        <v>163291</v>
      </c>
      <c r="B5673" s="124" t="s">
        <v>26893</v>
      </c>
      <c r="C5673" s="125" t="s">
        <v>18760</v>
      </c>
      <c r="D5673" s="124">
        <v>27</v>
      </c>
      <c r="E5673" s="124" t="s">
        <v>16417</v>
      </c>
      <c r="F5673" s="126">
        <v>8.2500000000000004E-3</v>
      </c>
      <c r="G5673" s="126">
        <v>0.02</v>
      </c>
      <c r="H5673" s="126">
        <v>7.4999999999999997E-3</v>
      </c>
      <c r="I5673" s="127">
        <v>0</v>
      </c>
      <c r="J5673" s="127">
        <v>0</v>
      </c>
      <c r="K5673" s="126">
        <v>2.75E-2</v>
      </c>
      <c r="L5673" s="3">
        <v>3.5749999999999997E-2</v>
      </c>
      <c r="M5673" s="126">
        <f>K5673+F5673</f>
        <v>3.5750000000000004E-2</v>
      </c>
      <c r="N5673" s="125" t="s">
        <v>18727</v>
      </c>
      <c r="O5673" s="125" t="s">
        <v>18728</v>
      </c>
      <c r="Q5673" s="130">
        <v>23928369</v>
      </c>
      <c r="R5673" s="130" t="s">
        <v>16348</v>
      </c>
      <c r="S5673" s="130">
        <v>21891619</v>
      </c>
      <c r="T5673" s="129">
        <f>S5673/Q5673</f>
        <v>0.91488136947403309</v>
      </c>
      <c r="U5673" s="144" t="s">
        <v>19</v>
      </c>
      <c r="V5673" s="125" t="s">
        <v>18729</v>
      </c>
      <c r="W5673" s="144"/>
    </row>
    <row r="5674" spans="1:23" customFormat="1" x14ac:dyDescent="0.45">
      <c r="A5674">
        <v>133767</v>
      </c>
      <c r="B5674" t="s">
        <v>26894</v>
      </c>
      <c r="C5674" t="s">
        <v>16331</v>
      </c>
      <c r="D5674">
        <v>6</v>
      </c>
      <c r="E5674" t="s">
        <v>16331</v>
      </c>
      <c r="F5674" s="124"/>
      <c r="O5674" s="5"/>
      <c r="S5674" s="6"/>
    </row>
    <row r="5675" spans="1:23" customFormat="1" x14ac:dyDescent="0.45">
      <c r="A5675">
        <v>440742</v>
      </c>
      <c r="B5675" t="s">
        <v>26895</v>
      </c>
      <c r="C5675" s="2" t="s">
        <v>26896</v>
      </c>
      <c r="D5675">
        <v>2</v>
      </c>
      <c r="E5675" t="s">
        <v>16334</v>
      </c>
      <c r="F5675" s="124"/>
      <c r="O5675" s="5"/>
      <c r="S5675" s="6"/>
    </row>
    <row r="5676" spans="1:23" customFormat="1" x14ac:dyDescent="0.45">
      <c r="A5676">
        <v>512604</v>
      </c>
      <c r="B5676" t="s">
        <v>26897</v>
      </c>
      <c r="C5676" s="2" t="s">
        <v>26898</v>
      </c>
      <c r="D5676">
        <v>1</v>
      </c>
      <c r="E5676" t="s">
        <v>16334</v>
      </c>
      <c r="F5676" s="124"/>
      <c r="O5676" s="5"/>
      <c r="S5676" s="6"/>
    </row>
    <row r="5677" spans="1:23" customFormat="1" x14ac:dyDescent="0.45">
      <c r="A5677">
        <v>449607</v>
      </c>
      <c r="B5677" t="s">
        <v>26899</v>
      </c>
      <c r="C5677" s="67" t="s">
        <v>26900</v>
      </c>
      <c r="D5677">
        <v>47</v>
      </c>
      <c r="E5677" s="8" t="s">
        <v>26901</v>
      </c>
      <c r="F5677" s="124"/>
      <c r="O5677" s="5"/>
      <c r="S5677" s="6"/>
    </row>
    <row r="5678" spans="1:23" customFormat="1" x14ac:dyDescent="0.45">
      <c r="A5678">
        <v>225327</v>
      </c>
      <c r="B5678" t="s">
        <v>26902</v>
      </c>
      <c r="C5678" t="s">
        <v>16331</v>
      </c>
      <c r="D5678">
        <v>1</v>
      </c>
      <c r="E5678" t="s">
        <v>16331</v>
      </c>
      <c r="F5678" s="124"/>
      <c r="O5678" s="5"/>
      <c r="S5678" s="6"/>
    </row>
    <row r="5679" spans="1:23" x14ac:dyDescent="0.45">
      <c r="A5679" s="124">
        <v>554381</v>
      </c>
      <c r="B5679" s="124" t="s">
        <v>26903</v>
      </c>
      <c r="C5679" s="125" t="s">
        <v>26904</v>
      </c>
      <c r="D5679" s="124">
        <v>2</v>
      </c>
      <c r="E5679" s="124" t="s">
        <v>16417</v>
      </c>
      <c r="F5679" s="126">
        <v>5.3E-3</v>
      </c>
      <c r="G5679" s="126">
        <f>(3/2)%</f>
        <v>1.4999999999999999E-2</v>
      </c>
      <c r="H5679" s="126">
        <f>((0.6+1.5)/2)/100</f>
        <v>1.0500000000000001E-2</v>
      </c>
      <c r="I5679" s="127">
        <v>0</v>
      </c>
      <c r="J5679" s="127">
        <v>0</v>
      </c>
      <c r="K5679" s="126">
        <f>SUM(G5679:J5679)</f>
        <v>2.5500000000000002E-2</v>
      </c>
      <c r="M5679" s="126">
        <f>K5679+F5679</f>
        <v>3.0800000000000001E-2</v>
      </c>
      <c r="O5679" s="125" t="s">
        <v>16760</v>
      </c>
      <c r="Q5679" s="130">
        <v>64390152</v>
      </c>
      <c r="R5679" s="130" t="s">
        <v>16348</v>
      </c>
      <c r="S5679" s="130">
        <v>54399623</v>
      </c>
      <c r="T5679" s="129">
        <f>S5679/Q5679</f>
        <v>0.84484383574680799</v>
      </c>
      <c r="U5679" s="130"/>
      <c r="V5679" s="125" t="s">
        <v>16832</v>
      </c>
    </row>
    <row r="5680" spans="1:23" customFormat="1" x14ac:dyDescent="0.45">
      <c r="A5680">
        <v>466834</v>
      </c>
      <c r="B5680" t="s">
        <v>26905</v>
      </c>
      <c r="C5680" s="2" t="s">
        <v>26906</v>
      </c>
      <c r="D5680">
        <v>4</v>
      </c>
      <c r="E5680" t="s">
        <v>16334</v>
      </c>
      <c r="F5680" s="124"/>
      <c r="O5680" s="5"/>
      <c r="S5680" s="6"/>
    </row>
    <row r="5681" spans="1:19" customFormat="1" x14ac:dyDescent="0.45">
      <c r="A5681">
        <v>149780</v>
      </c>
      <c r="B5681" t="s">
        <v>26907</v>
      </c>
      <c r="C5681" t="s">
        <v>16331</v>
      </c>
      <c r="D5681">
        <v>0</v>
      </c>
      <c r="E5681" t="s">
        <v>16331</v>
      </c>
      <c r="F5681" s="124"/>
      <c r="O5681" s="5"/>
      <c r="S5681" s="6"/>
    </row>
    <row r="5682" spans="1:19" customFormat="1" x14ac:dyDescent="0.45">
      <c r="A5682">
        <v>763630</v>
      </c>
      <c r="B5682" t="s">
        <v>26908</v>
      </c>
      <c r="C5682" s="2" t="s">
        <v>26909</v>
      </c>
      <c r="D5682">
        <v>5</v>
      </c>
      <c r="F5682" s="124"/>
      <c r="O5682" s="5"/>
      <c r="S5682" s="6"/>
    </row>
    <row r="5683" spans="1:19" customFormat="1" x14ac:dyDescent="0.45">
      <c r="A5683">
        <v>525844</v>
      </c>
      <c r="B5683" t="s">
        <v>26910</v>
      </c>
      <c r="C5683" s="2" t="s">
        <v>26911</v>
      </c>
      <c r="D5683">
        <v>1</v>
      </c>
      <c r="E5683" t="s">
        <v>26638</v>
      </c>
      <c r="F5683" s="124"/>
      <c r="O5683" s="5"/>
      <c r="S5683" s="6"/>
    </row>
    <row r="5684" spans="1:19" customFormat="1" x14ac:dyDescent="0.45">
      <c r="A5684">
        <v>149309</v>
      </c>
      <c r="B5684" t="s">
        <v>26912</v>
      </c>
      <c r="C5684" s="2" t="s">
        <v>26913</v>
      </c>
      <c r="D5684">
        <v>2</v>
      </c>
      <c r="E5684" t="s">
        <v>16334</v>
      </c>
      <c r="F5684" s="124"/>
      <c r="O5684" s="5"/>
      <c r="S5684" s="6"/>
    </row>
    <row r="5685" spans="1:19" customFormat="1" x14ac:dyDescent="0.45">
      <c r="A5685">
        <v>583474</v>
      </c>
      <c r="B5685" t="s">
        <v>26914</v>
      </c>
      <c r="C5685" s="2" t="s">
        <v>26915</v>
      </c>
      <c r="D5685">
        <v>6</v>
      </c>
      <c r="E5685" t="s">
        <v>16417</v>
      </c>
      <c r="F5685" s="126">
        <f>(0.2%+1%)/2</f>
        <v>6.0000000000000001E-3</v>
      </c>
      <c r="G5685" s="3">
        <v>2.5000000000000001E-2</v>
      </c>
      <c r="H5685" s="3">
        <v>7.0000000000000001E-3</v>
      </c>
      <c r="N5685" t="s">
        <v>26916</v>
      </c>
      <c r="O5685" s="2" t="s">
        <v>26917</v>
      </c>
      <c r="S5685" s="6"/>
    </row>
  </sheetData>
  <conditionalFormatting sqref="A1:A5685">
    <cfRule type="duplicateValues" dxfId="5" priority="1"/>
  </conditionalFormatting>
  <conditionalFormatting sqref="B1:B5685">
    <cfRule type="duplicateValues" dxfId="4" priority="2"/>
    <cfRule type="duplicateValues" dxfId="3" priority="3"/>
  </conditionalFormatting>
  <conditionalFormatting sqref="O364">
    <cfRule type="duplicateValues" dxfId="2" priority="4"/>
    <cfRule type="duplicateValues" dxfId="1" priority="5"/>
  </conditionalFormatting>
  <hyperlinks>
    <hyperlink ref="C8" r:id="rId1" xr:uid="{AB58E57F-2DBD-4747-A6CD-48944E69AE46}"/>
    <hyperlink ref="C9" r:id="rId2" xr:uid="{1F980201-A15F-40BB-ACD8-11241925AFF4}"/>
    <hyperlink ref="O9" r:id="rId3" xr:uid="{F2B477F4-2E82-4523-88AA-F775910E8D35}"/>
    <hyperlink ref="C10" r:id="rId4" xr:uid="{E82C0E3E-7843-4FEA-8E67-594CDF3AE35F}"/>
    <hyperlink ref="O10" r:id="rId5" xr:uid="{439EDF95-4D94-4F2C-B50A-E1FFFF8249E7}"/>
    <hyperlink ref="V10" r:id="rId6" xr:uid="{C92FD80D-A7D0-412F-ADE5-9CF7DCA87816}"/>
    <hyperlink ref="C17" r:id="rId7" xr:uid="{37526705-60F1-487B-8BF1-AA1DD2519BAF}"/>
    <hyperlink ref="O17" r:id="rId8" xr:uid="{90F180BC-29AF-45C4-8F75-03A8239C6D83}"/>
    <hyperlink ref="V17" r:id="rId9" xr:uid="{1B12EDAC-2D23-40E0-8C9E-0341D9554012}"/>
    <hyperlink ref="C18" r:id="rId10" xr:uid="{7D245C01-B19B-4BD2-AC8B-6A107FC584E0}"/>
    <hyperlink ref="O18" r:id="rId11" xr:uid="{9BE98AAE-B90A-4B41-BDCC-22593DAB12A4}"/>
    <hyperlink ref="V18" r:id="rId12" xr:uid="{2958E840-8FD9-4007-9155-2D9A1159F55C}"/>
    <hyperlink ref="C26" r:id="rId13" xr:uid="{D30D76DB-A842-4805-9216-B23E3F356399}"/>
    <hyperlink ref="C39" r:id="rId14" xr:uid="{0508AC4F-3FCA-4263-A36B-5DBA0FCE0230}"/>
    <hyperlink ref="O39" r:id="rId15" xr:uid="{E9F7689D-05EC-4CFA-AA86-29E05C13FE56}"/>
    <hyperlink ref="P39" r:id="rId16" xr:uid="{03EF72C3-1F13-4A30-91F0-C79C17397520}"/>
    <hyperlink ref="V39" r:id="rId17" xr:uid="{223C871D-630E-4E94-A487-C70C02D8E7FF}"/>
    <hyperlink ref="C40" r:id="rId18" xr:uid="{813485D1-D211-4BD2-BE6E-21194EEADC3B}"/>
    <hyperlink ref="C49" r:id="rId19" xr:uid="{31496572-181D-4867-9BFA-3C639CBB813E}"/>
    <hyperlink ref="O49" r:id="rId20" xr:uid="{A3609D20-7746-4E04-ABF5-C94020FE8EFE}"/>
    <hyperlink ref="V49" r:id="rId21" xr:uid="{150F8FC0-E6E7-4F26-88F1-43E7E7A201A8}"/>
    <hyperlink ref="C55" r:id="rId22" xr:uid="{A7823D2D-D967-4315-925F-C2EFFD718F3F}"/>
    <hyperlink ref="O55" r:id="rId23" xr:uid="{430EFA76-516E-422C-8DF3-18DA8162E11C}"/>
    <hyperlink ref="V55" r:id="rId24" xr:uid="{810F7C37-57A4-47E2-A084-9500744D1551}"/>
    <hyperlink ref="C60" r:id="rId25" xr:uid="{A5532BD0-1ADA-4424-8FDC-1F3D5EFFE765}"/>
    <hyperlink ref="O60" r:id="rId26" xr:uid="{8CDB9E4D-8593-461A-8705-024A3322204F}"/>
    <hyperlink ref="V60" r:id="rId27" xr:uid="{5AF038EC-E2B7-4E27-9409-B159BFB2F4CF}"/>
    <hyperlink ref="C76" r:id="rId28" xr:uid="{D308D8CC-1E74-4C53-A8F5-B84A1E6FC3FC}"/>
    <hyperlink ref="O76" r:id="rId29" xr:uid="{06F1F746-CAA6-4766-ACB6-91362E606974}"/>
    <hyperlink ref="P76" r:id="rId30" xr:uid="{F3E4D388-6CFD-4114-8D9B-713ED0C5C733}"/>
    <hyperlink ref="V76" r:id="rId31" xr:uid="{F38D82B4-8BE6-4873-B822-92EED13DC0BA}"/>
    <hyperlink ref="C77" r:id="rId32" xr:uid="{1F9F9182-6352-4D73-A197-96A1403CAD6E}"/>
    <hyperlink ref="O77" r:id="rId33" xr:uid="{92AAC343-4590-4ECE-B333-88F05047183F}"/>
    <hyperlink ref="P77" r:id="rId34" xr:uid="{B7CB26DD-2AB9-443C-A278-7C09434081A6}"/>
    <hyperlink ref="V77" r:id="rId35" xr:uid="{019A67CC-0C89-44A1-AFA3-1373C9B613B3}"/>
    <hyperlink ref="C78" r:id="rId36" xr:uid="{360440A2-D1E2-4B3D-BFDC-0F6AF5827A95}"/>
    <hyperlink ref="O78" r:id="rId37" xr:uid="{A6823572-5578-47F0-975B-A13E1F1FC12D}"/>
    <hyperlink ref="C85" r:id="rId38" xr:uid="{68B1213F-DB7F-4143-A805-2941C7882337}"/>
    <hyperlink ref="O85" r:id="rId39" xr:uid="{685B52B2-FD58-40FD-9233-0B181594A848}"/>
    <hyperlink ref="V85" r:id="rId40" xr:uid="{15E91210-31D4-4835-84D7-6000B6356CE5}"/>
    <hyperlink ref="C87" r:id="rId41" xr:uid="{E3D01093-1810-4503-9D0C-9AC2AA3620C0}"/>
    <hyperlink ref="O87" r:id="rId42" xr:uid="{0B070AC2-234D-4BA7-A517-6866BC316ADE}"/>
    <hyperlink ref="P87" r:id="rId43" xr:uid="{D2884038-65B0-4ADC-B459-38DBB1B5E8BD}"/>
    <hyperlink ref="V87" r:id="rId44" xr:uid="{5C4742CC-9D54-4766-A79A-C1B901D4CB12}"/>
    <hyperlink ref="C91" r:id="rId45" xr:uid="{8E4C0CC9-A6DD-476A-95ED-A0C4B4A40E01}"/>
    <hyperlink ref="O91" r:id="rId46" xr:uid="{5684E553-42D8-4C05-986E-738EB9914C72}"/>
    <hyperlink ref="V91" r:id="rId47" xr:uid="{F8CD177E-0105-4888-98D0-875D10CB9975}"/>
    <hyperlink ref="C95" r:id="rId48" xr:uid="{D313E149-3876-4FDD-AEA3-644721195471}"/>
    <hyperlink ref="O95" r:id="rId49" xr:uid="{49E6A285-DE7E-4704-BC5F-A63B764E1AC9}"/>
    <hyperlink ref="V95" r:id="rId50" xr:uid="{06AAACC7-1899-41C5-87E1-A7A68672224E}"/>
    <hyperlink ref="C99" r:id="rId51" xr:uid="{D99E4E18-DFB7-46F8-9DA8-E0CCEE7692F8}"/>
    <hyperlink ref="O99" r:id="rId52" xr:uid="{264CF28E-0F81-49D9-9E79-6C8D27B2E40E}"/>
    <hyperlink ref="V99" r:id="rId53" xr:uid="{AC252B58-EB73-4335-8DAA-4702C272A69A}"/>
    <hyperlink ref="C116" r:id="rId54" xr:uid="{5BE2DA0F-9B6D-4281-BA16-9B9F9762F56B}"/>
    <hyperlink ref="C117" r:id="rId55" xr:uid="{D1B69E42-BA92-4713-93BC-6C9FD5F9FBE4}"/>
    <hyperlink ref="D117" r:id="rId56" display="https://register.fca.org.uk/s/firm?id=001b000000MfI0DAAV" xr:uid="{AE570452-9A86-4705-B614-013125D50567}"/>
    <hyperlink ref="O117" r:id="rId57" xr:uid="{6D3AC0E0-B382-4F23-8D5E-19D6502F97A5}"/>
    <hyperlink ref="V117" r:id="rId58" xr:uid="{B2C4CBCD-D89D-4A2F-BE60-FBED081199A5}"/>
    <hyperlink ref="C122" r:id="rId59" xr:uid="{25C9C799-596A-410C-933F-720BC5BD915F}"/>
    <hyperlink ref="O122" r:id="rId60" xr:uid="{331EB5A7-86BF-4ADB-A365-E84793DA149A}"/>
    <hyperlink ref="V122" r:id="rId61" xr:uid="{4F27F565-8D38-442C-B293-62381D68528C}"/>
    <hyperlink ref="C124" r:id="rId62" xr:uid="{0B6CEEBD-6B06-45E0-A0BB-7B6328868751}"/>
    <hyperlink ref="O124" r:id="rId63" xr:uid="{F50BC9BA-4A9E-4388-82F2-F5499C19F2EF}"/>
    <hyperlink ref="P124" r:id="rId64" xr:uid="{848F839A-1E8E-4F88-96D3-93737D473737}"/>
    <hyperlink ref="V124" r:id="rId65" xr:uid="{F3675AA9-ADE0-4C9A-BE22-F0C501DDF6C7}"/>
    <hyperlink ref="C126" r:id="rId66" xr:uid="{54449DEC-251B-427D-A4A7-BBC8AB940D85}"/>
    <hyperlink ref="O129" r:id="rId67" xr:uid="{5B252F08-0CA8-400E-9071-518BC37FC485}"/>
    <hyperlink ref="C133" r:id="rId68" xr:uid="{FC652E3E-ACE1-4892-9B60-27622518252E}"/>
    <hyperlink ref="O133" r:id="rId69" xr:uid="{30AFC72F-E0B6-4801-95D5-08D9762C570C}"/>
    <hyperlink ref="V133" r:id="rId70" xr:uid="{EC043E2C-30EC-41A2-A081-EC339FBFCA79}"/>
    <hyperlink ref="C142" r:id="rId71" xr:uid="{FBA7A1B8-71F0-4BC7-8FD1-A0AB30CBD9EF}"/>
    <hyperlink ref="O142" r:id="rId72" xr:uid="{90D81EC1-9443-46D3-AE2C-2D988FBCEFAB}"/>
    <hyperlink ref="P142" r:id="rId73" xr:uid="{2849736D-783C-4AED-BF1C-DCB070F6D54D}"/>
    <hyperlink ref="V142" r:id="rId74" xr:uid="{C2457C1B-C1A4-4D08-842C-BA7D9F740125}"/>
    <hyperlink ref="C148" r:id="rId75" xr:uid="{29D5A0CB-8A6A-4156-8013-6FE8B2A5CE5B}"/>
    <hyperlink ref="O148" r:id="rId76" xr:uid="{18321389-80EE-457A-A194-572D0BB645FA}"/>
    <hyperlink ref="P148" r:id="rId77" xr:uid="{9D894236-D37F-41BC-8EA3-6725F698898A}"/>
    <hyperlink ref="V148" r:id="rId78" xr:uid="{2D37F146-90A7-4FA7-9244-107CCB428A9D}"/>
    <hyperlink ref="C153" r:id="rId79" xr:uid="{8DB02F72-303C-487F-AC73-3C95EE3B64E6}"/>
    <hyperlink ref="O153" r:id="rId80" xr:uid="{04729E81-0D97-4CA8-B8D2-1F2B3A35A111}"/>
    <hyperlink ref="P153" r:id="rId81" xr:uid="{3B989AAF-BC6B-46E7-8EE9-83EB264CD122}"/>
    <hyperlink ref="V153" r:id="rId82" xr:uid="{F75B0322-3602-45BB-9827-218BD034EDB2}"/>
    <hyperlink ref="O156" r:id="rId83" xr:uid="{9DE4E334-B8E5-4829-92AD-678F9F0A4656}"/>
    <hyperlink ref="V156" r:id="rId84" xr:uid="{997778CB-ECD7-4288-9940-E737DBC0DEEE}"/>
    <hyperlink ref="C167" r:id="rId85" xr:uid="{34191B6B-364E-424E-B0B5-BBE5C3A3C9B7}"/>
    <hyperlink ref="O167" r:id="rId86" xr:uid="{76EB4293-2332-4586-9005-51BFD6A1FF6B}"/>
    <hyperlink ref="V167" r:id="rId87" xr:uid="{70048988-19CB-48F6-9941-9947D375B637}"/>
    <hyperlink ref="C169" r:id="rId88" xr:uid="{0A9C31AA-F739-4827-9345-359F89A41DD4}"/>
    <hyperlink ref="C170" r:id="rId89" xr:uid="{ED34509B-D106-46BB-A26F-94E75AF33324}"/>
    <hyperlink ref="O170" r:id="rId90" xr:uid="{C1F6DA8F-AF35-4430-8536-FA6DEE61264A}"/>
    <hyperlink ref="V170" r:id="rId91" xr:uid="{F9036AFD-200A-4726-8F61-90AB10A5368E}"/>
    <hyperlink ref="C175" r:id="rId92" xr:uid="{8FE8A535-74D9-4027-BF4D-DAEC7F7C7A70}"/>
    <hyperlink ref="O175" r:id="rId93" xr:uid="{67BD9638-8427-4A7C-A5E4-66A7E9A98B92}"/>
    <hyperlink ref="V175" r:id="rId94" xr:uid="{39C2174C-9F3C-45FB-8939-9657D8DB0257}"/>
    <hyperlink ref="C176" r:id="rId95" xr:uid="{00F73966-FCF2-4E62-A229-A1AEF0E2FB80}"/>
    <hyperlink ref="O176" r:id="rId96" xr:uid="{71C96DC2-5E58-4953-8D30-3ADC620AF759}"/>
    <hyperlink ref="V176" r:id="rId97" xr:uid="{2EF3BCCC-1F21-47DA-9DC3-41A37BCC643A}"/>
    <hyperlink ref="C178" r:id="rId98" xr:uid="{B33C4B69-0A95-439C-8FC9-6B2ABD5B9C3B}"/>
    <hyperlink ref="O178" r:id="rId99" xr:uid="{EC7F2304-B1EA-4D23-A45C-1DB5C01E2540}"/>
    <hyperlink ref="V178" r:id="rId100" xr:uid="{65274C87-E9CF-4864-8EA1-38629ECC232B}"/>
    <hyperlink ref="O182" r:id="rId101" xr:uid="{3FA6FE32-23B0-4B7B-8D45-9B2B856AC29B}"/>
    <hyperlink ref="P182" r:id="rId102" xr:uid="{2BEEC1DD-088E-45FF-81CA-17576D0E5D42}"/>
    <hyperlink ref="V182" r:id="rId103" xr:uid="{4B188D10-9DD1-4A42-ABAC-CBD5E18DF917}"/>
    <hyperlink ref="C189" r:id="rId104" xr:uid="{6931F18D-5723-46F1-826E-D596B705C6B6}"/>
    <hyperlink ref="C192" r:id="rId105" xr:uid="{76400074-DCE0-4686-9FA4-CA5373FB50FD}"/>
    <hyperlink ref="O192" r:id="rId106" xr:uid="{9F3A6D15-B5C2-43FA-BA8C-BE9F4EE685D0}"/>
    <hyperlink ref="V192" r:id="rId107" xr:uid="{5B4B8ADA-352D-42CB-A9D2-42BBBBAA1E20}"/>
    <hyperlink ref="C199" r:id="rId108" xr:uid="{4F2910A0-0D51-4AF3-9EA3-B91FC0CBAAEC}"/>
    <hyperlink ref="O199" r:id="rId109" xr:uid="{08C59F1E-C81E-4FD7-A6B1-3FA09FB3F984}"/>
    <hyperlink ref="P199" r:id="rId110" xr:uid="{A5E8D0E8-D839-424C-B7C0-44C1E4D16A2E}"/>
    <hyperlink ref="V199" r:id="rId111" xr:uid="{20982B20-947A-41C1-A7CC-FE8DDFA56D81}"/>
    <hyperlink ref="O211" r:id="rId112" xr:uid="{30991C4C-73BE-495C-B60B-68460D39E871}"/>
    <hyperlink ref="O219" r:id="rId113" xr:uid="{9AFE11C6-0AD3-43C1-B30A-82DB8D96A817}"/>
    <hyperlink ref="C220" r:id="rId114" xr:uid="{3229147C-8781-4340-BFFB-F9C5C87996D4}"/>
    <hyperlink ref="C228" r:id="rId115" xr:uid="{661EE686-E943-4246-AC2E-D03760D5DD50}"/>
    <hyperlink ref="O228" r:id="rId116" xr:uid="{B487BAF2-98E9-4DBE-A3C4-C05C3B0D6E16}"/>
    <hyperlink ref="P228" r:id="rId117" xr:uid="{3B021051-2A27-476B-819A-8E2C009E3852}"/>
    <hyperlink ref="C233" r:id="rId118" xr:uid="{C6ACD3D2-AC8D-490B-88F0-9DC19D4FD35B}"/>
    <hyperlink ref="O233" r:id="rId119" xr:uid="{711F99B7-CDFC-40CB-804D-041E60DC5D6F}"/>
    <hyperlink ref="P233" r:id="rId120" xr:uid="{BCAD9FF2-A4C5-4B49-95C4-A4CC7A55F2BA}"/>
    <hyperlink ref="V233" r:id="rId121" xr:uid="{DB4793E9-57A5-4824-B984-DB4AEB46B05D}"/>
    <hyperlink ref="C240" r:id="rId122" xr:uid="{32EE058D-57D8-49AB-93D9-AD5D12A55E33}"/>
    <hyperlink ref="C242" r:id="rId123" xr:uid="{01ACAE82-FCE2-45B4-852A-AE5C86DEFF6E}"/>
    <hyperlink ref="O242" r:id="rId124" xr:uid="{D26D3287-B15A-4DA4-8842-124740DD0AC9}"/>
    <hyperlink ref="V242" r:id="rId125" xr:uid="{CB16D153-6221-46A4-9377-AC38E374460C}"/>
    <hyperlink ref="C244" r:id="rId126" xr:uid="{B1E4B7C2-C9A2-4A30-87F0-5F14026B6FB8}"/>
    <hyperlink ref="O244" r:id="rId127" xr:uid="{7B5A71F9-278F-470C-8D5D-277608FC270A}"/>
    <hyperlink ref="V244" r:id="rId128" xr:uid="{A04B72F2-C719-4582-821B-7E6BE02DE946}"/>
    <hyperlink ref="C251" r:id="rId129" xr:uid="{70B30B56-B53D-4D3F-8097-010C7728C344}"/>
    <hyperlink ref="O251" r:id="rId130" xr:uid="{5750F2F5-FCEC-41F7-8F46-806399F5FC92}"/>
    <hyperlink ref="V251" r:id="rId131" xr:uid="{59606A3D-DF80-4F3D-842F-ADCE4523638A}"/>
    <hyperlink ref="C259" r:id="rId132" xr:uid="{1C0829CF-41B6-4FBA-89C9-5D6DA4AEBE17}"/>
    <hyperlink ref="O259" r:id="rId133" xr:uid="{4E13184D-3279-4D24-A76D-9A67F64177DB}"/>
    <hyperlink ref="V259" r:id="rId134" xr:uid="{D3351110-510E-44B3-A356-E197647B0B9B}"/>
    <hyperlink ref="C261" r:id="rId135" xr:uid="{CA76BEAA-F962-41BC-9E3C-B81D83B55EE0}"/>
    <hyperlink ref="O261" r:id="rId136" xr:uid="{F5645B65-B495-46CE-8FF6-5EE9700E72B5}"/>
    <hyperlink ref="V261" r:id="rId137" xr:uid="{2E02EBAF-1B6F-4C23-B7DE-ABB072EE824A}"/>
    <hyperlink ref="C262" r:id="rId138" xr:uid="{7852CDD6-6AC8-41BD-8250-774D7D9B7309}"/>
    <hyperlink ref="O262" r:id="rId139" xr:uid="{834F7E22-3EDF-4122-A84F-545148B188BB}"/>
    <hyperlink ref="V262" r:id="rId140" xr:uid="{DA1D96A6-EDA0-48A7-9CF5-BD12473919C3}"/>
    <hyperlink ref="C268" r:id="rId141" xr:uid="{3098FF50-8D8E-4A66-BB9A-9A8754D01CB4}"/>
    <hyperlink ref="C272" r:id="rId142" xr:uid="{05B9EBC6-4B61-47CB-A107-0B5BB8CA97F5}"/>
    <hyperlink ref="C274" r:id="rId143" xr:uid="{EC6B8D7C-E215-4B43-BA4E-05B09BF853DE}"/>
    <hyperlink ref="O274" r:id="rId144" xr:uid="{82A68CE5-250C-409B-9390-8FF2AA8E07AA}"/>
    <hyperlink ref="V274" r:id="rId145" xr:uid="{E45471B9-79D8-4037-94E1-25125D6BF767}"/>
    <hyperlink ref="C275" r:id="rId146" xr:uid="{AE86427A-9AEC-463D-B74F-A841FEA0FA38}"/>
    <hyperlink ref="C276" r:id="rId147" xr:uid="{E937AD81-92D9-48D4-A0AE-9FFDBEF4B4D0}"/>
    <hyperlink ref="C279" r:id="rId148" xr:uid="{22591D34-FDC7-4384-B0F3-D23A0B52412E}"/>
    <hyperlink ref="O279" r:id="rId149" xr:uid="{F270BC04-511C-4F99-97EF-B60347A41F85}"/>
    <hyperlink ref="C294" r:id="rId150" xr:uid="{225CE0C2-D5D4-4B30-8F93-9C998A734B69}"/>
    <hyperlink ref="O294" r:id="rId151" xr:uid="{E0489EDD-FBB8-4987-BA63-B0BA3FBEBF79}"/>
    <hyperlink ref="V294" r:id="rId152" xr:uid="{3C2A6757-F7EC-44C1-B461-F1D78D21DA08}"/>
    <hyperlink ref="C295" r:id="rId153" xr:uid="{36A2A2A8-8D02-483C-AB29-9913AADD9898}"/>
    <hyperlink ref="O295" r:id="rId154" xr:uid="{E9BC189C-1EBF-4492-9DE4-47F4A4569049}"/>
    <hyperlink ref="V295" r:id="rId155" xr:uid="{F7D36CD0-7BE0-427A-B3AB-B4179DD8F75F}"/>
    <hyperlink ref="C297" r:id="rId156" xr:uid="{D34BC3DD-BB3C-459C-87BB-D1C0D6094B55}"/>
    <hyperlink ref="O297" r:id="rId157" xr:uid="{0FB04086-6D7A-45DC-8054-AD17F92E1C1F}"/>
    <hyperlink ref="V297" r:id="rId158" xr:uid="{451DB5F0-2DBD-4E79-9D34-BC528349901C}"/>
    <hyperlink ref="C302" r:id="rId159" xr:uid="{CADCBF00-2F6D-4B60-B5DA-C8FF452541C6}"/>
    <hyperlink ref="O302" r:id="rId160" xr:uid="{F186E6AB-5DD8-4F77-8751-F00DB59C82B3}"/>
    <hyperlink ref="V302" r:id="rId161" xr:uid="{964E2951-56B8-41E1-81B3-7A21F331AF93}"/>
    <hyperlink ref="C307" r:id="rId162" xr:uid="{351B08A4-ECB2-4F72-AAFC-987852803EDE}"/>
    <hyperlink ref="O307" r:id="rId163" xr:uid="{2EA70E28-1398-4494-81D0-21AE232C5233}"/>
    <hyperlink ref="V307" r:id="rId164" xr:uid="{341BD96F-5FDA-4349-A45A-2021ACE7BA45}"/>
    <hyperlink ref="C317" r:id="rId165" xr:uid="{C9EA6337-C063-44C6-94B6-ECF542D44436}"/>
    <hyperlink ref="O317" r:id="rId166" xr:uid="{82B35891-7145-40A0-9AB6-C3EF8FEFD50F}"/>
    <hyperlink ref="V317" r:id="rId167" xr:uid="{67D031CA-E22F-4F91-B602-209921016E10}"/>
    <hyperlink ref="C319" r:id="rId168" xr:uid="{1CC45CC7-9EC1-4214-9EB9-F14CDA200305}"/>
    <hyperlink ref="O319" r:id="rId169" xr:uid="{8482B2EB-E44C-4431-85F5-5A5553D6D5EF}"/>
    <hyperlink ref="V319" r:id="rId170" xr:uid="{8D23CC8A-5FF0-4672-98DE-5E5851948DDC}"/>
    <hyperlink ref="C324" r:id="rId171" xr:uid="{E2A1DE0B-134D-4025-BD87-AC1DB9853464}"/>
    <hyperlink ref="O324" r:id="rId172" xr:uid="{8491A3EB-4613-4B16-BB59-FC237D4CB5FA}"/>
    <hyperlink ref="V324" r:id="rId173" xr:uid="{8C444F05-73C9-4E4D-B3B1-B77DF73FF47B}"/>
    <hyperlink ref="C329" r:id="rId174" xr:uid="{39FA999C-1863-4E3A-9D2B-1A0F134231F3}"/>
    <hyperlink ref="O329" r:id="rId175" xr:uid="{D6134C9A-7CBD-4386-9E64-B5E50DAF6132}"/>
    <hyperlink ref="V329" r:id="rId176" xr:uid="{E89966ED-60F5-4FE6-B4AA-1DA4665AAD3A}"/>
    <hyperlink ref="C337" r:id="rId177" xr:uid="{7BF6DE04-2D44-4405-9A33-BC6C84983B9D}"/>
    <hyperlink ref="O337" r:id="rId178" xr:uid="{F4D2536E-6968-4C7F-AEF9-4E8629829437}"/>
    <hyperlink ref="P337" r:id="rId179" xr:uid="{89924950-04C8-43A4-812F-090BD1138769}"/>
    <hyperlink ref="V337" r:id="rId180" xr:uid="{A8D976B7-9A0B-42E9-8250-73D9EA785F93}"/>
    <hyperlink ref="C346" r:id="rId181" xr:uid="{9D82F6A8-5C73-482D-8AE3-451BEBD0B952}"/>
    <hyperlink ref="C351" r:id="rId182" xr:uid="{9FF54774-DDC6-49C4-BBBD-BCF7562B986E}"/>
    <hyperlink ref="O351" r:id="rId183" xr:uid="{3DFA1773-8429-4051-813F-67EC43E53823}"/>
    <hyperlink ref="V351" r:id="rId184" xr:uid="{FE8580CC-E96B-4DD0-957F-5B352EB6B05C}"/>
    <hyperlink ref="C352" r:id="rId185" xr:uid="{E67575CD-B973-4372-9A97-E16020472BC0}"/>
    <hyperlink ref="O352" r:id="rId186" xr:uid="{08C397BB-16EC-4CE2-8216-492D3833B857}"/>
    <hyperlink ref="V352" r:id="rId187" xr:uid="{461DD0EF-EB95-42B6-9BCF-B329229A9DD3}"/>
    <hyperlink ref="C355" r:id="rId188" xr:uid="{C3B2EF9B-DEA2-4277-A085-9071270ED696}"/>
    <hyperlink ref="C359" r:id="rId189" xr:uid="{8B261C78-EA15-4ECB-986D-9B75EE458DF3}"/>
    <hyperlink ref="O359" r:id="rId190" xr:uid="{E3850F28-3B6A-44B7-BD84-722B05BD7EAC}"/>
    <hyperlink ref="O364" r:id="rId191" xr:uid="{B7F0A3DA-9C8B-4A1E-ACCF-378DF6A0CB33}"/>
    <hyperlink ref="V364" r:id="rId192" xr:uid="{A427E7B5-F2A4-499D-ADA8-90038D8C5A4B}"/>
    <hyperlink ref="C366" r:id="rId193" xr:uid="{8FCEF32A-2C42-45B1-8A01-EEDC2B6D3339}"/>
    <hyperlink ref="C367" r:id="rId194" xr:uid="{FC319E7C-3D34-465B-B8CC-4E56595AD624}"/>
    <hyperlink ref="O367" r:id="rId195" xr:uid="{00F8EDD9-5928-4FFA-A4B3-5B24FD86C1F3}"/>
    <hyperlink ref="V367" r:id="rId196" xr:uid="{B7C386F5-9588-42C8-ACA0-F813E5F72ED1}"/>
    <hyperlink ref="C374" r:id="rId197" xr:uid="{4637FFB7-96B8-42CB-B025-708849AC9DC3}"/>
    <hyperlink ref="O376" r:id="rId198" xr:uid="{60A41EC1-7D0F-4C66-B010-520894DDF95C}"/>
    <hyperlink ref="V376" r:id="rId199" xr:uid="{2F2DBEE8-AD67-45ED-A006-FAF7AF4E1F34}"/>
    <hyperlink ref="O377" r:id="rId200" xr:uid="{818540CF-B2DE-424C-BBE9-E5E2F06CEA7C}"/>
    <hyperlink ref="V377" r:id="rId201" xr:uid="{C6849DF4-34E3-46E1-9A3C-EB113FDB4146}"/>
    <hyperlink ref="O381" r:id="rId202" xr:uid="{9822D404-EEFC-44FF-93A6-8EE28A266495}"/>
    <hyperlink ref="V381" r:id="rId203" xr:uid="{61358438-630D-4CB9-B87C-8B390E1C549E}"/>
    <hyperlink ref="O396" r:id="rId204" xr:uid="{13AA6E36-B64C-4FA6-8A64-36C8C5478222}"/>
    <hyperlink ref="V396" r:id="rId205" xr:uid="{DBEAA276-46F4-4469-A073-1F4D32ED3AAD}"/>
    <hyperlink ref="C400" r:id="rId206" xr:uid="{B1D2D0D0-5516-458D-90BB-2D66A4E3C6FF}"/>
    <hyperlink ref="O407" r:id="rId207" xr:uid="{39A52EEE-FA5A-480E-B3B9-57F5D43EA4E7}"/>
    <hyperlink ref="V407" r:id="rId208" xr:uid="{60573310-D01B-4C30-8276-4BBA923900C4}"/>
    <hyperlink ref="O412" r:id="rId209" xr:uid="{A6D85109-5FDF-4BDE-A327-BD4AAF2052CC}"/>
    <hyperlink ref="V412" r:id="rId210" xr:uid="{267E0B8A-3887-443C-9CC2-0F865920BA8B}"/>
    <hyperlink ref="O413" r:id="rId211" xr:uid="{2876DC70-048C-41AE-9550-AE8A00287AD8}"/>
    <hyperlink ref="V413" r:id="rId212" xr:uid="{9898090B-B89D-45B5-BF53-C9B5E99D2691}"/>
    <hyperlink ref="O420" r:id="rId213" xr:uid="{A4F00F0B-4DE8-41D4-8214-C12E3BA1F7F5}"/>
    <hyperlink ref="V420" r:id="rId214" xr:uid="{4A873317-26F2-43F9-A541-008CCCFAE1C7}"/>
    <hyperlink ref="O423" r:id="rId215" xr:uid="{6BBC6A38-9F00-41C0-901A-069CE8295E6B}"/>
    <hyperlink ref="V423" r:id="rId216" xr:uid="{55D0D786-1C53-422F-892D-8A1B664BABED}"/>
    <hyperlink ref="C427" r:id="rId217" xr:uid="{D743C8C1-CD23-4F1A-9D3F-2746E25A606E}"/>
    <hyperlink ref="O427" r:id="rId218" xr:uid="{4E6CA054-D090-4237-9100-5A6B2A0DC8B2}"/>
    <hyperlink ref="V427" r:id="rId219" xr:uid="{B39010E6-F809-47B7-8BDB-4900A99CF944}"/>
    <hyperlink ref="C428" r:id="rId220" xr:uid="{AAA998E0-C40F-4C53-8685-52D3936AA3CB}"/>
    <hyperlink ref="E428" r:id="rId221" xr:uid="{E932AF00-8CDD-46F5-90E9-6EDAAEB86F2D}"/>
    <hyperlink ref="O429" r:id="rId222" xr:uid="{2AB999EB-D27A-4014-849F-4E492A553857}"/>
    <hyperlink ref="V429" r:id="rId223" xr:uid="{23BE7CC8-FA72-4FA0-BB88-013A1C961B7A}"/>
    <hyperlink ref="O438" r:id="rId224" xr:uid="{AF33744A-0663-43E0-BED4-60C2F2EC8516}"/>
    <hyperlink ref="V438" r:id="rId225" xr:uid="{A0A3DAB6-ADB1-4C76-8FE4-D4C09D62E9DC}"/>
    <hyperlink ref="O470" r:id="rId226" xr:uid="{0F471D7D-1272-4E8C-9E45-3FE09BA2212D}"/>
    <hyperlink ref="V470" r:id="rId227" xr:uid="{BB8C99B2-47FF-47DD-BD2A-BA43778B8C0D}"/>
    <hyperlink ref="C485" r:id="rId228" xr:uid="{D38BD7D9-9707-4DDF-BE33-08805AA1C324}"/>
    <hyperlink ref="O485" r:id="rId229" xr:uid="{A7B58EAE-F01D-4483-89F7-A31DD60B1ACC}"/>
    <hyperlink ref="V485" r:id="rId230" xr:uid="{7D7BAC85-AD16-42CB-8622-99C03BCBC842}"/>
    <hyperlink ref="C488" r:id="rId231" xr:uid="{831675D0-55E9-417B-B37B-1BB1418D95FF}"/>
    <hyperlink ref="O492" r:id="rId232" xr:uid="{56482B18-6BF3-4482-A649-044BED868F64}"/>
    <hyperlink ref="V492" r:id="rId233" xr:uid="{41EFED44-AED9-4844-8DAC-4728D740A365}"/>
    <hyperlink ref="C503" r:id="rId234" xr:uid="{ABE9DB9A-A69B-4C11-96CE-84CD53895942}"/>
    <hyperlink ref="O503" r:id="rId235" xr:uid="{52BD83AE-A160-4E78-B0D6-F818EEFB19E5}"/>
    <hyperlink ref="O525" r:id="rId236" xr:uid="{90A17EDE-A233-4E22-821D-C1A0F866F83D}"/>
    <hyperlink ref="V525" r:id="rId237" xr:uid="{D5C6AC13-5A5E-496B-AC69-3F3C422E9A79}"/>
    <hyperlink ref="C530" r:id="rId238" xr:uid="{EC13C753-772B-46EA-9086-841BAAB0A04E}"/>
    <hyperlink ref="O530" r:id="rId239" xr:uid="{14D3BDF6-98A9-43AC-9C39-EB2CF4ACE4D4}"/>
    <hyperlink ref="V530" r:id="rId240" xr:uid="{414E7CEF-2D14-415D-AD63-ABBAE7D975C5}"/>
    <hyperlink ref="O533" r:id="rId241" xr:uid="{0B3A3C30-A768-42FE-9D2C-C58163DAB57C}"/>
    <hyperlink ref="V533" r:id="rId242" xr:uid="{370E627E-A037-4001-A8EF-F55709CD8F69}"/>
    <hyperlink ref="O542" r:id="rId243" xr:uid="{C3E38C4D-9F54-467C-B628-62F620B98482}"/>
    <hyperlink ref="V542" r:id="rId244" xr:uid="{A210BD9A-FBAF-49BB-AE7E-2A652A742481}"/>
    <hyperlink ref="O550" r:id="rId245" xr:uid="{9CA134EC-D175-4A19-AB47-8254627E4065}"/>
    <hyperlink ref="V550" r:id="rId246" xr:uid="{F4AB7C07-EEF3-4DD7-99D4-4B344AC54F2B}"/>
    <hyperlink ref="O551" r:id="rId247" xr:uid="{821281CE-A341-40D5-95B0-8780E22A8403}"/>
    <hyperlink ref="V551" r:id="rId248" xr:uid="{C18E36C3-C240-4EBF-8B95-77ABD9EDC5DE}"/>
    <hyperlink ref="O569" r:id="rId249" xr:uid="{2F40EF93-3D1F-49C0-AFB7-9ACE41FC63A9}"/>
    <hyperlink ref="V569" r:id="rId250" xr:uid="{CC7D2F12-C876-40A8-B41B-4CBDC687B800}"/>
    <hyperlink ref="O576" r:id="rId251" xr:uid="{BAECBD51-09DF-4B54-83F9-B7500771E67C}"/>
    <hyperlink ref="V576" r:id="rId252" xr:uid="{147840E6-0B26-4820-BD62-AF0F08962813}"/>
    <hyperlink ref="C583" r:id="rId253" xr:uid="{8EFFF934-92F1-4DF5-987A-44E8E48A6F00}"/>
    <hyperlink ref="C587" r:id="rId254" xr:uid="{CAFB3F65-94DE-4125-9D54-260DF7CB03A1}"/>
    <hyperlink ref="O591" r:id="rId255" xr:uid="{109ADC0C-D8DA-409D-B87E-417CFA86E0C1}"/>
    <hyperlink ref="V591" r:id="rId256" xr:uid="{127FE2A8-259C-4A89-85ED-010ABB2EBE28}"/>
    <hyperlink ref="O601" r:id="rId257" xr:uid="{80B1C466-F82D-4253-995C-B9CED19D8C2E}"/>
    <hyperlink ref="V601" r:id="rId258" xr:uid="{B083F40C-D4A1-4E46-835C-769513116A6D}"/>
    <hyperlink ref="O619" r:id="rId259" xr:uid="{760F8D2B-6A29-469E-BF3F-D18E30DADDC8}"/>
    <hyperlink ref="C620" r:id="rId260" xr:uid="{6C50D371-A693-43D7-8AF4-697C2E065BBB}"/>
    <hyperlink ref="O620" r:id="rId261" xr:uid="{32F7B5D3-A095-402E-800F-B328505701E3}"/>
    <hyperlink ref="P620" r:id="rId262" xr:uid="{AA0F6BA8-38FD-48D9-ABA4-14F8CFFA888F}"/>
    <hyperlink ref="V620" r:id="rId263" xr:uid="{511A4AB7-5186-46AD-A6B7-994E5F0F11A4}"/>
    <hyperlink ref="O621" r:id="rId264" xr:uid="{41D5957E-D297-41E2-8B29-66354F1795AA}"/>
    <hyperlink ref="P621" r:id="rId265" xr:uid="{C13F8F0B-DC9D-4990-8B6B-056004B4FDB7}"/>
    <hyperlink ref="V621" r:id="rId266" xr:uid="{2B2CFC22-72EE-42E5-93F0-67DD6774F4D6}"/>
    <hyperlink ref="O624" r:id="rId267" xr:uid="{44A205F4-98C0-4EFC-9EBC-667AA431178F}"/>
    <hyperlink ref="C635" r:id="rId268" xr:uid="{48A1CA97-7F76-46E2-BAA3-D58DE1A5D5A0}"/>
    <hyperlink ref="O635" r:id="rId269" xr:uid="{9AF93172-C633-4A2E-ABE7-F93778414709}"/>
    <hyperlink ref="V635" r:id="rId270" xr:uid="{512677F9-E9DA-490D-BEAD-C6624D7518D7}"/>
    <hyperlink ref="C641" r:id="rId271" xr:uid="{879D5C4E-058C-4842-8F3E-CBC8444DB9FA}"/>
    <hyperlink ref="D641" r:id="rId272" display="https://careers.nfumutual.co.uk/what-you-could-be-doing/financial-advisers" xr:uid="{03DB16E9-CF37-4E66-A866-14FEACAB5B94}"/>
    <hyperlink ref="O641" r:id="rId273" xr:uid="{AD1052EC-7B5B-4A52-B76D-C55BBE9EFF2A}"/>
    <hyperlink ref="P641" r:id="rId274" xr:uid="{89D9765C-8DCE-46CC-B251-4C62387A5992}"/>
    <hyperlink ref="V641" r:id="rId275" xr:uid="{973D8158-293B-4D9A-AD9D-5320485CBCD1}"/>
    <hyperlink ref="C642" r:id="rId276" xr:uid="{06625266-8C34-44A3-85C2-2F488C859D98}"/>
    <hyperlink ref="C653" r:id="rId277" xr:uid="{E6F75D8A-9A11-4AF6-8EC5-E18CD0056833}"/>
    <hyperlink ref="O654" r:id="rId278" xr:uid="{89293EB4-5F8A-44E8-8536-8C8C3C1EA025}"/>
    <hyperlink ref="V654" r:id="rId279" xr:uid="{516CFFA7-7C52-422C-90D0-34B193135263}"/>
    <hyperlink ref="O667" r:id="rId280" xr:uid="{C4BBC0D3-0B37-4EBE-9291-82EE9E3138E0}"/>
    <hyperlink ref="V667" r:id="rId281" xr:uid="{53F0AC13-8E23-492D-A3B1-50C33D9CDCA2}"/>
    <hyperlink ref="O672" r:id="rId282" xr:uid="{2C6C73AE-7AAC-40A6-A21E-C500B358998D}"/>
    <hyperlink ref="V672" r:id="rId283" xr:uid="{F58B29D6-8A88-4561-875C-441B55D8BF50}"/>
    <hyperlink ref="O681" r:id="rId284" location="expect" xr:uid="{2C84B85C-F71A-422E-90F5-63738406BEE3}"/>
    <hyperlink ref="V681" r:id="rId285" xr:uid="{DB08FBBC-9AE2-440F-B3B0-F404554FF58C}"/>
    <hyperlink ref="O687" r:id="rId286" xr:uid="{AAF74A83-A9B9-4BA1-84C4-9976694BE118}"/>
    <hyperlink ref="V687" r:id="rId287" xr:uid="{A81B368F-5EFD-4FCD-BAD9-17E8F99947E6}"/>
    <hyperlink ref="O690" r:id="rId288" xr:uid="{019B91AA-372D-4926-A6E6-1AF072C4A9D1}"/>
    <hyperlink ref="V690" r:id="rId289" xr:uid="{7238FA49-35D9-416F-A916-397C0F7A8F5E}"/>
    <hyperlink ref="O691" r:id="rId290" xr:uid="{33B34075-44A6-4069-A690-BBAC20DDAC4B}"/>
    <hyperlink ref="V691" r:id="rId291" xr:uid="{5DE90736-D39B-46F1-A03D-364ED3448CCC}"/>
    <hyperlink ref="O693" r:id="rId292" xr:uid="{EDBB0908-5DC0-4600-A70B-9BA29CC7480D}"/>
    <hyperlink ref="V693" r:id="rId293" xr:uid="{92E1489A-C7A5-4E57-A56F-7FD2E53869E2}"/>
    <hyperlink ref="O711" r:id="rId294" xr:uid="{34D3268D-088C-4432-A520-3FDA41E41ACE}"/>
    <hyperlink ref="V711" r:id="rId295" xr:uid="{F4FE5655-08FB-45CF-8A1C-F8C39A78AFDE}"/>
    <hyperlink ref="O714" r:id="rId296" xr:uid="{6F4C6061-7FB3-4454-9A83-10F33F3739DF}"/>
    <hyperlink ref="V714" r:id="rId297" xr:uid="{6B828101-6B61-4627-963D-4B414A5295A5}"/>
    <hyperlink ref="O729" r:id="rId298" xr:uid="{539A7E6F-D7B0-4C2B-8340-1664587CB7C3}"/>
    <hyperlink ref="O735" r:id="rId299" xr:uid="{82FF78C5-FC5F-4A1B-916B-939FFBE05448}"/>
    <hyperlink ref="V735" r:id="rId300" xr:uid="{6A0917AE-834D-4200-AA87-74B8C496A4BE}"/>
    <hyperlink ref="C740" r:id="rId301" xr:uid="{116FC972-4581-441D-AB2C-E3D0C5C15304}"/>
    <hyperlink ref="O740" r:id="rId302" xr:uid="{01F09A5A-3430-417E-88EF-6998F606A121}"/>
    <hyperlink ref="V740" r:id="rId303" xr:uid="{D48463D1-B527-46B6-B3A4-B7C8851F80FD}"/>
    <hyperlink ref="O751" r:id="rId304" xr:uid="{D8B49A87-03AC-4CE4-97FF-FDD9A0CD34EF}"/>
    <hyperlink ref="V751" r:id="rId305" xr:uid="{BD68A0B1-8CC0-4DC4-86A7-3F6EDD86B5E7}"/>
    <hyperlink ref="O755" r:id="rId306" xr:uid="{C7B553D6-74AB-45AC-B2D5-6C447E3A65D1}"/>
    <hyperlink ref="V755" r:id="rId307" xr:uid="{6DD6DDFD-1334-4612-B408-D106773EAAB1}"/>
    <hyperlink ref="O785" r:id="rId308" xr:uid="{F0A9FC74-26EF-414E-A1BE-AF0E7C09FA62}"/>
    <hyperlink ref="V785" r:id="rId309" xr:uid="{93CBE979-36C4-4B5F-B7E9-4C4694EF852D}"/>
    <hyperlink ref="O787" r:id="rId310" xr:uid="{F0794B7B-2FF8-43AF-9E84-5C0611F45092}"/>
    <hyperlink ref="V787" r:id="rId311" xr:uid="{6509FF16-6DD5-453C-8680-99491B181128}"/>
    <hyperlink ref="O788" r:id="rId312" xr:uid="{FD0EC66B-C816-41DD-88AA-A631DD2EBB1B}"/>
    <hyperlink ref="O803" r:id="rId313" xr:uid="{4833A0E8-01E9-4049-BF64-CD94691A3062}"/>
    <hyperlink ref="V803" r:id="rId314" xr:uid="{FD31DC01-93C4-4CFF-91F5-2D735133382E}"/>
    <hyperlink ref="O840" r:id="rId315" xr:uid="{17E03BAA-EAC3-49F6-BB9C-9641304AFA45}"/>
    <hyperlink ref="V840" r:id="rId316" xr:uid="{1223D008-7245-4E3E-9346-ECFF1C78FF21}"/>
    <hyperlink ref="O848" r:id="rId317" xr:uid="{64F616FA-B441-44FB-80B5-784029B4E19E}"/>
    <hyperlink ref="V848" r:id="rId318" xr:uid="{342AF9CE-9851-4CA3-87A8-9DDBC5C49F96}"/>
    <hyperlink ref="O850" r:id="rId319" xr:uid="{A801797D-A68D-402B-85D9-608EDE458F70}"/>
    <hyperlink ref="V850" r:id="rId320" xr:uid="{88B4FCBA-73AB-448C-BBE3-5900ED907E5C}"/>
    <hyperlink ref="C854" r:id="rId321" xr:uid="{C7492AD8-A468-4517-86BD-B6C5BAE10C0E}"/>
    <hyperlink ref="C865" r:id="rId322" xr:uid="{E4BB6080-62F9-44F9-A602-7ECFB9B53B1E}"/>
    <hyperlink ref="C867" r:id="rId323" xr:uid="{E6F6FB0A-677C-4F17-82EC-F541C0403455}"/>
    <hyperlink ref="C880" r:id="rId324" xr:uid="{6E55CCE7-FA1E-4ECE-B0E7-11800A8A054D}"/>
    <hyperlink ref="O880" r:id="rId325" xr:uid="{3F203F4A-02A5-444A-8626-6FE3B71905CC}"/>
    <hyperlink ref="V880" r:id="rId326" xr:uid="{D1C8E6A9-3633-45EB-B0A6-A6C0FD4745FF}"/>
    <hyperlink ref="O883" r:id="rId327" xr:uid="{28A686E9-9705-46E1-8BBF-22E7FABF60F5}"/>
    <hyperlink ref="V883" r:id="rId328" xr:uid="{AED44BBE-6B95-43DA-B1D6-B5D33654D852}"/>
    <hyperlink ref="O889" r:id="rId329" xr:uid="{A360E0AD-4920-4607-B77B-58BCD70017AB}"/>
    <hyperlink ref="V889" r:id="rId330" xr:uid="{3BC2FF78-D4B7-40A7-BDCD-4F88D36FAA46}"/>
    <hyperlink ref="O907" r:id="rId331" xr:uid="{A9A3B429-486A-4411-ADDA-6F2C0D306915}"/>
    <hyperlink ref="P907" r:id="rId332" xr:uid="{6BC2316A-6B2E-4F9D-80FD-A9F2DA8E116B}"/>
    <hyperlink ref="V907" r:id="rId333" xr:uid="{91DCFBB6-70D9-4441-AE05-EC15FD76D022}"/>
    <hyperlink ref="O913" r:id="rId334" xr:uid="{1AE940A4-7652-43E5-811B-C9645C148281}"/>
    <hyperlink ref="V913" r:id="rId335" xr:uid="{3E111FC7-986F-4C9A-AECC-69106B1A488C}"/>
    <hyperlink ref="O925" r:id="rId336" xr:uid="{8CE384B2-F582-4BCC-BADC-EA4BB66CF89A}"/>
    <hyperlink ref="O934" r:id="rId337" xr:uid="{081EA40A-B7FE-4396-902C-0BDA673139E3}"/>
    <hyperlink ref="V934" r:id="rId338" xr:uid="{07D5D65C-2982-46D2-BBFE-5C81DE5129AF}"/>
    <hyperlink ref="O936" r:id="rId339" xr:uid="{ABDC4AFA-26CD-4026-8BDC-D8FEE0BE3F06}"/>
    <hyperlink ref="V936" r:id="rId340" xr:uid="{AE2A3311-AEE6-4BCF-98B4-D11F1DF36BD8}"/>
    <hyperlink ref="O943" r:id="rId341" xr:uid="{A213A1C2-4F1E-45BD-A99D-28B07C30ED02}"/>
    <hyperlink ref="V943" r:id="rId342" xr:uid="{8CE96F2C-59BB-4A95-9C6A-D750D69ADB8C}"/>
    <hyperlink ref="V949" r:id="rId343" xr:uid="{53C7C494-8D3D-4491-8AF9-CFF119743712}"/>
    <hyperlink ref="O960" r:id="rId344" xr:uid="{2FCF3F5E-93D3-495E-A5CF-5A45A97B77B9}"/>
    <hyperlink ref="V960" r:id="rId345" xr:uid="{BF33B943-2447-4651-8A8F-D7C2B50F2B0C}"/>
    <hyperlink ref="O986" r:id="rId346" xr:uid="{A399F8F5-F1EB-4D53-866B-88D3B642633A}"/>
    <hyperlink ref="O994" r:id="rId347" xr:uid="{CBA3E832-AFFB-40D9-9368-3DE6D5276AF7}"/>
    <hyperlink ref="V994" r:id="rId348" xr:uid="{F2FF42C3-CAAC-4A5A-B1B4-8F444BAE047C}"/>
    <hyperlink ref="C995" r:id="rId349" xr:uid="{4573E19A-6E2E-44EF-BEBA-3D996FFB234F}"/>
    <hyperlink ref="O995" r:id="rId350" xr:uid="{F02B893C-3537-4310-BE0E-2EF3F7CDBEC8}"/>
    <hyperlink ref="V995" r:id="rId351" xr:uid="{C9AD32FF-8BB8-40EF-8495-F9B5F3CA4088}"/>
    <hyperlink ref="C1005" r:id="rId352" xr:uid="{AE1A0FD5-F90B-49FB-BCCC-6CCA4324F0AA}"/>
    <hyperlink ref="O1005" r:id="rId353" xr:uid="{67F50505-0290-40B0-9C6C-17339ABB39C1}"/>
    <hyperlink ref="V1005" r:id="rId354" xr:uid="{1E256B86-9608-4DDE-8E82-D82ABCC75465}"/>
    <hyperlink ref="C1013" r:id="rId355" xr:uid="{633D780C-90E0-49EF-A802-8FB878DD7DE4}"/>
    <hyperlink ref="C1017" r:id="rId356" xr:uid="{5937F854-F41F-43A4-86DF-EA8FB9C74FBE}"/>
    <hyperlink ref="C1030" r:id="rId357" xr:uid="{DFB14ED5-7448-48B9-BC9D-8D141B1B7E19}"/>
    <hyperlink ref="O1030" r:id="rId358" xr:uid="{F4ABA875-AB57-4FAF-B6EF-6C0DDFB1C2F4}"/>
    <hyperlink ref="V1030" r:id="rId359" xr:uid="{2E6F94B1-2056-4139-8FA3-793DA3CA6920}"/>
    <hyperlink ref="C1042" r:id="rId360" xr:uid="{F3F40705-6627-4C19-8856-B0D1E7466830}"/>
    <hyperlink ref="O1054" r:id="rId361" xr:uid="{96A79C2C-969E-42D6-A86A-49435FB780AC}"/>
    <hyperlink ref="V1054" r:id="rId362" xr:uid="{430303C9-6F0C-4BD0-BFA0-09370A8EB8C1}"/>
    <hyperlink ref="C1066" r:id="rId363" xr:uid="{3DCE9B37-2602-486E-9380-97FF40672620}"/>
    <hyperlink ref="O1066" r:id="rId364" xr:uid="{28FBBCBB-DA76-4243-993B-C288A5BC95E5}"/>
    <hyperlink ref="V1066" r:id="rId365" xr:uid="{8CE1335D-45D6-4F84-B12E-9959C73C0F1E}"/>
    <hyperlink ref="C1083" r:id="rId366" xr:uid="{DB43EECA-3866-4F30-947E-E471185BB7FE}"/>
    <hyperlink ref="O1091" r:id="rId367" xr:uid="{A5367FBA-95F7-4A80-853D-EF3848B2C407}"/>
    <hyperlink ref="V1091" r:id="rId368" xr:uid="{5977D25F-0F7C-4630-A47C-2053DF0F5917}"/>
    <hyperlink ref="O1093" r:id="rId369" xr:uid="{41ACA99A-B258-45DE-BEB6-02ACCAB8B548}"/>
    <hyperlink ref="V1093" r:id="rId370" xr:uid="{220ED67E-900E-4104-B169-9ADE527AA3EE}"/>
    <hyperlink ref="O1096" r:id="rId371" xr:uid="{43675BA0-EEF2-4614-BF95-C723E258F2F4}"/>
    <hyperlink ref="V1096" r:id="rId372" xr:uid="{9A9A0007-3C2A-41FD-9C53-A6398307F93C}"/>
    <hyperlink ref="C1114" r:id="rId373" xr:uid="{209A3B04-FC5B-4012-9A6B-2403CE07E701}"/>
    <hyperlink ref="O1118" r:id="rId374" xr:uid="{A33C7678-2EF8-4FAA-BED7-D3B1D47021BA}"/>
    <hyperlink ref="V1118" r:id="rId375" xr:uid="{83302EF0-2A10-4535-BD3C-5C17E51C1938}"/>
    <hyperlink ref="O1126" r:id="rId376" xr:uid="{18D94E9B-79EA-43D1-9526-554E94B33F4E}"/>
    <hyperlink ref="V1126" r:id="rId377" xr:uid="{82E6C2AA-5AB7-4B84-8D6E-06EFD6FE86B7}"/>
    <hyperlink ref="C1130" r:id="rId378" xr:uid="{70767E07-5F54-4871-877A-A8ED8B8F2069}"/>
    <hyperlink ref="O1130" r:id="rId379" xr:uid="{4B021507-DE84-494A-A793-DECFF66AB45C}"/>
    <hyperlink ref="V1130" r:id="rId380" xr:uid="{92B989AE-3601-4519-9336-D481A945432B}"/>
    <hyperlink ref="C1150" r:id="rId381" xr:uid="{ECCCBC2F-DC64-4646-95D3-D7170628CF8F}"/>
    <hyperlink ref="O1150" r:id="rId382" xr:uid="{74D27458-F100-4973-98D5-CA2F3114E329}"/>
    <hyperlink ref="V1150" r:id="rId383" xr:uid="{C96065FA-BC57-4F22-8AC9-C0C3CC790CFE}"/>
    <hyperlink ref="O1158" r:id="rId384" xr:uid="{6AB7C63F-4042-4EC8-B32E-123AC4321CCB}"/>
    <hyperlink ref="V1158" r:id="rId385" xr:uid="{43569475-A92A-426D-A491-40F360068902}"/>
    <hyperlink ref="O1165" r:id="rId386" xr:uid="{0BD5A2D5-0625-4BA2-AE4A-0ED761D296D5}"/>
    <hyperlink ref="V1165" r:id="rId387" xr:uid="{9430400C-87C4-4CA1-AB31-D2C4A1C67A9D}"/>
    <hyperlink ref="C1169" r:id="rId388" xr:uid="{FD14516F-ADEC-4628-B1B8-232B61ECA280}"/>
    <hyperlink ref="O1171" r:id="rId389" xr:uid="{E2045929-9CBA-4141-B208-8320E24FCEE6}"/>
    <hyperlink ref="V1171" r:id="rId390" xr:uid="{50F0363E-CC4E-4324-B718-3B3ABE341F95}"/>
    <hyperlink ref="O1176" r:id="rId391" xr:uid="{1571E010-BA62-4BE0-A7AE-86F809E5552E}"/>
    <hyperlink ref="V1176" r:id="rId392" xr:uid="{33EDC941-5FE6-41A9-A927-0B8D9E00FF35}"/>
    <hyperlink ref="O1189" r:id="rId393" xr:uid="{F3302046-154D-40EF-819D-D27746204D86}"/>
    <hyperlink ref="P1189" r:id="rId394" xr:uid="{9EE84FED-E9A3-4E8C-ACD7-556F5FA20D6E}"/>
    <hyperlink ref="O1206" r:id="rId395" xr:uid="{FBE9916D-A6FA-46BA-AAE8-7A837BC3E65E}"/>
    <hyperlink ref="P1206" r:id="rId396" xr:uid="{F17531D8-DA6C-413D-ACEE-92C20E70BF97}"/>
    <hyperlink ref="C1263" r:id="rId397" xr:uid="{40BDF8A0-DF1B-4820-9CDC-CFD86B50194E}"/>
    <hyperlink ref="O1263" r:id="rId398" xr:uid="{01FE9B7A-EE10-4710-9A15-696653D443D4}"/>
    <hyperlink ref="P1263" r:id="rId399" xr:uid="{A76EEC4B-F503-460B-91A7-8EA40534B5D3}"/>
    <hyperlink ref="O1277" r:id="rId400" xr:uid="{5156A1F2-448C-49DD-B2BE-354D0306B768}"/>
    <hyperlink ref="P1277" r:id="rId401" xr:uid="{2A6BA385-EC18-44EF-9F8F-118FC44B0EEF}"/>
    <hyperlink ref="C1278" r:id="rId402" xr:uid="{B92DD30B-9FA7-4317-9494-84AD274CAF13}"/>
    <hyperlink ref="O1303" r:id="rId403" xr:uid="{52F05F2C-23CB-4F5E-9D5A-7434F4010B28}"/>
    <hyperlink ref="P1303" r:id="rId404" xr:uid="{47A072EA-27ED-46CF-ACEE-4D057CE16E8A}"/>
    <hyperlink ref="O1306" r:id="rId405" xr:uid="{715FFC27-5DBA-4E2D-BE84-3B574608A48A}"/>
    <hyperlink ref="P1306" r:id="rId406" xr:uid="{8B93680D-468A-4D3E-B0BF-8BDB24CAF98D}"/>
    <hyperlink ref="O1315" r:id="rId407" xr:uid="{383FE0A8-245C-4EB6-B0A6-685942D120F2}"/>
    <hyperlink ref="P1315" r:id="rId408" xr:uid="{B377A2D5-5A7C-421E-AE39-6CE5E554ECD9}"/>
    <hyperlink ref="O1326" r:id="rId409" xr:uid="{DF403CCF-7DFF-404E-A949-C46C51865D9D}"/>
    <hyperlink ref="V1326" r:id="rId410" xr:uid="{26632CEB-C822-4901-8C62-5AA79118416F}"/>
    <hyperlink ref="O1345" r:id="rId411" xr:uid="{11008165-D0C0-44DF-96E6-7EC56A96D2F9}"/>
    <hyperlink ref="V1345" r:id="rId412" xr:uid="{D06CCE0A-28D3-4447-816F-98FED2C645C2}"/>
    <hyperlink ref="O1361" r:id="rId413" xr:uid="{4CF85FF0-14A1-46A8-975E-513F5EA34BC2}"/>
    <hyperlink ref="V1361" r:id="rId414" xr:uid="{D556A088-C72E-417B-A97A-1B4822765465}"/>
    <hyperlink ref="C1374" r:id="rId415" xr:uid="{99D3CBC2-7584-4CA9-AED4-B0486A9E3D26}"/>
    <hyperlink ref="O1414" r:id="rId416" xr:uid="{F422219D-4500-4980-920A-843272C4775F}"/>
    <hyperlink ref="V1414" r:id="rId417" xr:uid="{609216D2-76D3-4CB9-AAD1-E73BA600E212}"/>
    <hyperlink ref="C1416" r:id="rId418" xr:uid="{EF8278CC-A1EE-4030-BD50-E101E8E7D36C}"/>
    <hyperlink ref="O1416" r:id="rId419" xr:uid="{FB62CE51-EAF3-4728-AFD2-120CF8D57E1D}"/>
    <hyperlink ref="P1416" r:id="rId420" xr:uid="{4384918E-E0F7-483D-8AB4-DC6463E957AA}"/>
    <hyperlink ref="V1416" r:id="rId421" xr:uid="{396CDFC3-3F08-44C5-B6F1-D0662CFB3A86}"/>
    <hyperlink ref="C1434" r:id="rId422" xr:uid="{032031C8-71DE-4927-A6FA-61BA64204C5F}"/>
    <hyperlink ref="O1434" r:id="rId423" xr:uid="{651BE65C-7D21-41AA-97A4-E6DE30A60FB8}"/>
    <hyperlink ref="P1434" r:id="rId424" xr:uid="{2498050B-A822-4758-9293-63BEA58743C3}"/>
    <hyperlink ref="V1434" r:id="rId425" xr:uid="{1D6A8893-DC15-4287-B15C-2905E5F7F7BE}"/>
    <hyperlink ref="C1441" r:id="rId426" xr:uid="{2333230C-ECAF-436A-A259-8EB168ED98DB}"/>
    <hyperlink ref="C1444" r:id="rId427" xr:uid="{4D795D25-5D56-4B0E-BFDC-7A85EC4EDF7E}"/>
    <hyperlink ref="O1444" r:id="rId428" xr:uid="{8BA25057-12E1-4FC5-88D5-F2C64A656947}"/>
    <hyperlink ref="V1444" r:id="rId429" xr:uid="{E861204B-C8D5-470C-8F29-C2BB1F900323}"/>
    <hyperlink ref="C1496" r:id="rId430" xr:uid="{2C745004-9551-4B89-B2D1-0E53C23149B9}"/>
    <hyperlink ref="O1496" r:id="rId431" xr:uid="{FD34D847-ECA3-462F-BB4F-DF3DEBD0CC6E}"/>
    <hyperlink ref="C1539" r:id="rId432" xr:uid="{EDAAC38A-DC52-46D3-91A7-8BC75379039F}"/>
    <hyperlink ref="O1539" r:id="rId433" xr:uid="{C7548C1C-06B2-440E-ABFB-A69420BF4541}"/>
    <hyperlink ref="V1539" r:id="rId434" xr:uid="{2EE43948-30BA-4211-A5FC-DEC6DF875BA3}"/>
    <hyperlink ref="O1556" r:id="rId435" xr:uid="{975B66C0-B480-4E34-ABB2-FA637FFB6933}"/>
    <hyperlink ref="V1556" r:id="rId436" xr:uid="{6209035F-9A51-46A0-8F2E-068F3477B93C}"/>
    <hyperlink ref="O1558" r:id="rId437" xr:uid="{1AA5AA17-ACDB-4298-BB25-B9023339C510}"/>
    <hyperlink ref="V1558" r:id="rId438" xr:uid="{A1C90F90-AC53-4AC4-B8AE-C72A9E667169}"/>
    <hyperlink ref="C1562" r:id="rId439" xr:uid="{C7C6BB55-B572-48F2-8F21-13135EB141BB}"/>
    <hyperlink ref="O1562" r:id="rId440" xr:uid="{15516CDD-5D3C-42D1-9B29-1B6689A80D7E}"/>
    <hyperlink ref="V1562" r:id="rId441" xr:uid="{9648A0AF-C742-4265-981F-9F8A38A53453}"/>
    <hyperlink ref="O1570" r:id="rId442" xr:uid="{62769CB4-892C-4E9C-9FB0-9698216CDE07}"/>
    <hyperlink ref="V1570" r:id="rId443" xr:uid="{9B17B011-FF39-4ECC-A37B-F4D371D23989}"/>
    <hyperlink ref="O1609" r:id="rId444" xr:uid="{B5D1124C-59DE-4943-8D88-30DC94E0FAAF}"/>
    <hyperlink ref="P1609" r:id="rId445" xr:uid="{DFFF92B6-B0B9-4492-8E75-CBBB43EFFE0A}"/>
    <hyperlink ref="V1609" r:id="rId446" xr:uid="{0C9B9683-F143-42CB-A939-6C63A0827E07}"/>
    <hyperlink ref="C1614" r:id="rId447" xr:uid="{2DC83C6F-EA05-4B34-8042-5733749A5670}"/>
    <hyperlink ref="O1633" r:id="rId448" xr:uid="{21A6BC5A-8706-4D98-9279-8C6E8DB832C3}"/>
    <hyperlink ref="V1633" r:id="rId449" xr:uid="{932639A3-7379-4FB8-95FD-A1DB2CE914AB}"/>
    <hyperlink ref="C1637" r:id="rId450" xr:uid="{89A76A56-9CCC-4C3E-AA50-1A6F8FC5CEED}"/>
    <hyperlink ref="O1637" r:id="rId451" xr:uid="{E9F2CC76-E87D-4496-B69B-81E1BCDE45D9}"/>
    <hyperlink ref="P1637" r:id="rId452" xr:uid="{AC255E52-92E3-4571-876A-1BF637E6EADA}"/>
    <hyperlink ref="V1637" r:id="rId453" xr:uid="{75288FED-C0C9-464E-AF50-22A3FE04DC2F}"/>
    <hyperlink ref="C1639" r:id="rId454" xr:uid="{78AB53A2-3BDF-4799-8450-43FBC1CA65A5}"/>
    <hyperlink ref="O1639" r:id="rId455" xr:uid="{F9046686-CCE3-4384-AAAE-8203D4B51C64}"/>
    <hyperlink ref="P1639" r:id="rId456" xr:uid="{60F745BB-78FC-4001-BF71-88E85A03A380}"/>
    <hyperlink ref="V1639" r:id="rId457" xr:uid="{2E540B66-3F13-496E-BE61-D3AE160CA05B}"/>
    <hyperlink ref="C1649" r:id="rId458" xr:uid="{47A03508-F5D4-4AF7-BE0B-DD78B9E9BC06}"/>
    <hyperlink ref="C1683" r:id="rId459" xr:uid="{65A5A7BB-5BDE-449C-809F-693CA79D5ACE}"/>
    <hyperlink ref="D1683" r:id="rId460" display="https://register.fca.org.uk/s/firm?id=001b000000Mfbv9AAB" xr:uid="{9D75FF58-C01F-4822-AD0A-2A73805A2ACF}"/>
    <hyperlink ref="O1683" r:id="rId461" xr:uid="{830146B5-3A23-4F4A-BD00-BC99B098B18D}"/>
    <hyperlink ref="C1688" r:id="rId462" xr:uid="{923E8B63-90F7-42D0-911B-32738FEE698A}"/>
    <hyperlink ref="O1688" r:id="rId463" location="our-fees" xr:uid="{9E702B70-99B5-46A7-B4DE-CC36C844E6B2}"/>
    <hyperlink ref="V1688" r:id="rId464" xr:uid="{40AB8D4F-131E-41A3-AE2B-BC00B90C045C}"/>
    <hyperlink ref="C1757" r:id="rId465" xr:uid="{0401C59F-9AE1-4174-AC23-0C379F73CC96}"/>
    <hyperlink ref="O1757" r:id="rId466" xr:uid="{DB082B9E-91C8-41C2-B9B8-60C58F7BDA70}"/>
    <hyperlink ref="V1757" r:id="rId467" xr:uid="{4EC2A3F8-82E8-4CFE-97FA-3FC95808B892}"/>
    <hyperlink ref="C1759" r:id="rId468" xr:uid="{EF854913-96F1-4313-BA72-2DA4283671A4}"/>
    <hyperlink ref="O1759" r:id="rId469" xr:uid="{CE095348-076B-4D59-BFCF-7C8533367CB7}"/>
    <hyperlink ref="V1759" r:id="rId470" xr:uid="{058DEAF7-A68E-46DC-AE38-C3DDED62B015}"/>
    <hyperlink ref="C1760" r:id="rId471" xr:uid="{EA20D33A-0219-4F18-B12E-A27EE79E631A}"/>
    <hyperlink ref="O1760" r:id="rId472" xr:uid="{4594C328-2455-42E7-92D1-4053CF1724E7}"/>
    <hyperlink ref="V1760" r:id="rId473" xr:uid="{84ED233B-30AC-447E-9B56-51578D8B8564}"/>
    <hyperlink ref="C1770" r:id="rId474" xr:uid="{4CAEDE6C-5C62-4724-9BF8-4089C980E039}"/>
    <hyperlink ref="O1770" r:id="rId475" xr:uid="{FDF64332-71CA-43F2-BBB4-5B1975AF0270}"/>
    <hyperlink ref="V1770" r:id="rId476" xr:uid="{F7714802-4677-4CC5-9498-9D25936EE6AD}"/>
    <hyperlink ref="C1791" r:id="rId477" xr:uid="{6F45DAC1-A7E6-4D7E-A878-4EF64CD59C2C}"/>
    <hyperlink ref="O1791" r:id="rId478" xr:uid="{67084CB0-BFFB-48EE-8448-F37BD3AE1161}"/>
    <hyperlink ref="V1791" r:id="rId479" xr:uid="{EA963512-FB23-4061-86DE-865C702FB720}"/>
    <hyperlink ref="C1804" r:id="rId480" xr:uid="{B2F2B50D-2CB2-48F6-BAA7-F4D8E04FB04B}"/>
    <hyperlink ref="O1804" r:id="rId481" xr:uid="{34F1E096-4043-4AD3-A16E-895B131DE877}"/>
    <hyperlink ref="V1804" r:id="rId482" xr:uid="{C125C1D3-CD57-43A3-B6D3-59F9A7912657}"/>
    <hyperlink ref="C1821" r:id="rId483" xr:uid="{58B8148C-E5B6-4BB4-93D9-FA879CD86608}"/>
    <hyperlink ref="O1821" r:id="rId484" xr:uid="{C470F5D8-5925-423D-A427-55FC51CB5676}"/>
    <hyperlink ref="V1821" r:id="rId485" xr:uid="{5D9B016E-6DA0-4BC8-94CF-389543C67DA3}"/>
    <hyperlink ref="C1826" r:id="rId486" xr:uid="{68374FF6-99BF-4A34-935F-976D1DB7230B}"/>
    <hyperlink ref="V1826" r:id="rId487" xr:uid="{F60EA127-AD01-4D44-B602-5F16D142286D}"/>
    <hyperlink ref="C1828" r:id="rId488" xr:uid="{F7476772-AE84-4294-AC6A-5E99182CEEF1}"/>
    <hyperlink ref="O1828" r:id="rId489" xr:uid="{EE4FFB81-358C-48A1-9A8A-C8D29CFDEAD9}"/>
    <hyperlink ref="V1828" r:id="rId490" xr:uid="{5CE64BEB-27BD-4073-84D7-93ED220464A9}"/>
    <hyperlink ref="O1840" r:id="rId491" xr:uid="{9B4C7CD5-0E1E-4D40-86D7-BF7DC9870C28}"/>
    <hyperlink ref="C1851" r:id="rId492" xr:uid="{01F5E85B-2702-471B-948A-217066789822}"/>
    <hyperlink ref="O1851" r:id="rId493" xr:uid="{D723C0D3-0BE2-4218-A79B-8D3C8E0D684A}"/>
    <hyperlink ref="V1851" r:id="rId494" xr:uid="{05D5A065-83AB-4483-AD95-41F3BCC1B0EB}"/>
    <hyperlink ref="C1852" r:id="rId495" xr:uid="{E41ABDCF-D7FE-4B32-8060-F8B589ED1EEE}"/>
    <hyperlink ref="O1852" r:id="rId496" xr:uid="{6B135466-C688-4284-BB46-B33C24B1AE1E}"/>
    <hyperlink ref="V1852" r:id="rId497" xr:uid="{2F1E5B2E-0771-4F0D-A60A-57EBB2B1736A}"/>
    <hyperlink ref="C1891" r:id="rId498" xr:uid="{73D52F35-5A18-4D0B-B15D-022A6CFE82BA}"/>
    <hyperlink ref="O1891" r:id="rId499" xr:uid="{C83FF0E9-B61A-4AA2-A38D-5FD6638699F2}"/>
    <hyperlink ref="V1891" r:id="rId500" xr:uid="{23A91A94-D40B-4FB1-8BEF-DB0512FAD3B5}"/>
    <hyperlink ref="O1917" r:id="rId501" xr:uid="{06495DF5-BB80-40A7-9097-634B993A47A2}"/>
    <hyperlink ref="P1917" r:id="rId502" xr:uid="{AB477850-16C2-4EFD-8616-2A77851B3C2D}"/>
    <hyperlink ref="V1917" r:id="rId503" xr:uid="{8D9640AB-EF80-4E87-9173-F1B72E437F9A}"/>
    <hyperlink ref="C1923" r:id="rId504" xr:uid="{C4A19ED1-45C6-43F7-85EA-CD6B783F0460}"/>
    <hyperlink ref="O1935" r:id="rId505" xr:uid="{05757844-A084-4EC7-896A-D5456FE05A6C}"/>
    <hyperlink ref="P1935" r:id="rId506" xr:uid="{5791E6DB-5451-458D-967A-BFA6E3305044}"/>
    <hyperlink ref="O1957" r:id="rId507" xr:uid="{E8EB197E-111D-41EF-9A14-AE1D2F26D920}"/>
    <hyperlink ref="P1957" r:id="rId508" xr:uid="{62D3AD03-25D7-447D-AD3C-A23F5F9B4043}"/>
    <hyperlink ref="V1957" r:id="rId509" xr:uid="{1CF6BDAF-9E08-4F25-9430-33504FF701B2}"/>
    <hyperlink ref="C1967" r:id="rId510" location="wealth-management-services" xr:uid="{99D5E96B-5633-4472-BCC0-24F970C6837B}"/>
    <hyperlink ref="O1976" r:id="rId511" xr:uid="{2F66DDAA-2A36-4205-B97E-13F201935200}"/>
    <hyperlink ref="P1976" r:id="rId512" xr:uid="{287C9902-6D6D-4606-BA66-BF7F141E9523}"/>
    <hyperlink ref="O2013" r:id="rId513" xr:uid="{3E961D78-C73D-4C54-8C12-C3DF0A71825B}"/>
    <hyperlink ref="P2013" r:id="rId514" xr:uid="{CFECC72E-8CD9-4300-9D45-B79F2E89119D}"/>
    <hyperlink ref="O2048" r:id="rId515" xr:uid="{443C918A-4CD3-4F03-98D0-4BEF5CFADC3B}"/>
    <hyperlink ref="P2048" r:id="rId516" xr:uid="{55B696E8-760A-4ED8-8E02-EDDDF507F492}"/>
    <hyperlink ref="O2058" r:id="rId517" xr:uid="{EB097800-4467-4DF0-8BFE-424DC7EAF1B1}"/>
    <hyperlink ref="P2058" r:id="rId518" xr:uid="{09C0CF08-BA2C-4272-9D5A-2EDF8D9B58B4}"/>
    <hyperlink ref="O2099" r:id="rId519" xr:uid="{E2E9E16B-FD9F-4511-A876-B0D354C8B946}"/>
    <hyperlink ref="P2099" r:id="rId520" xr:uid="{931FC929-044A-4C69-9245-2A402BE1CEE2}"/>
    <hyperlink ref="V2099" r:id="rId521" xr:uid="{750CA4C7-ACD2-4BA8-BC36-D09452150723}"/>
    <hyperlink ref="O2121" r:id="rId522" xr:uid="{663216B8-F479-4D51-86C8-9AC7EEEB9A76}"/>
    <hyperlink ref="C2124" r:id="rId523" xr:uid="{ABEB724F-A532-4B43-B76F-BE0FF1BBD887}"/>
    <hyperlink ref="O2135" r:id="rId524" xr:uid="{5941D5DE-5316-40B3-854A-9D2D4E93453A}"/>
    <hyperlink ref="P2135" r:id="rId525" xr:uid="{FB369C29-E90B-4150-94C7-8975674B890A}"/>
    <hyperlink ref="O2138" r:id="rId526" xr:uid="{D50A95D9-18D6-44CF-86CE-A41E9410732D}"/>
    <hyperlink ref="P2138" r:id="rId527" xr:uid="{9066EC1E-66FE-442E-8D3B-1FF561B6393C}"/>
    <hyperlink ref="V2138" r:id="rId528" xr:uid="{78792C05-2E17-4C20-A994-D2DF5D571004}"/>
    <hyperlink ref="O2174" r:id="rId529" xr:uid="{CD44EC91-9881-4123-831F-07E6AB185B59}"/>
    <hyperlink ref="O2175" r:id="rId530" xr:uid="{306814F3-557F-4087-B1B9-0F2838AEACE2}"/>
    <hyperlink ref="P2175" r:id="rId531" xr:uid="{788686F4-F910-4B34-BD1A-23AE0489E03D}"/>
    <hyperlink ref="V2175" r:id="rId532" xr:uid="{5405FD7F-97D3-4221-9C12-CFDFCB72B56F}"/>
    <hyperlink ref="O2181" r:id="rId533" xr:uid="{BB9EC766-D593-453B-8D80-D6085042B0DC}"/>
    <hyperlink ref="P2181" r:id="rId534" xr:uid="{DD58A6DD-84F5-4FBC-9398-925E42423F34}"/>
    <hyperlink ref="V2181" r:id="rId535" xr:uid="{A46B682D-4294-443A-9805-64778A77F888}"/>
    <hyperlink ref="O2210" r:id="rId536" xr:uid="{05AC497F-CBFE-45AD-8E0B-A5C53D39B705}"/>
    <hyperlink ref="V2210" r:id="rId537" xr:uid="{F5394251-2771-4FC2-9A19-6727B77B1F02}"/>
    <hyperlink ref="O2231" r:id="rId538" xr:uid="{E5C623A2-BA33-4151-818A-C40B988380A9}"/>
    <hyperlink ref="V2231" r:id="rId539" xr:uid="{17E8BED3-2DD1-4841-8FBA-B61436839BCB}"/>
    <hyperlink ref="O2233" r:id="rId540" xr:uid="{C033DE07-0926-4AC8-8214-9C35D7EE2D58}"/>
    <hyperlink ref="V2233" r:id="rId541" xr:uid="{2F9A4CC9-C07C-4BE9-AD07-FB664D417A80}"/>
    <hyperlink ref="C2271" r:id="rId542" xr:uid="{92B7B3E9-C86A-40A7-9CC3-8D3A63132A87}"/>
    <hyperlink ref="O2271" r:id="rId543" xr:uid="{D43EB68B-DF93-4668-9057-9E25C2261308}"/>
    <hyperlink ref="V2271" r:id="rId544" xr:uid="{052AA918-4FCF-4CF6-BB2A-7C7CF70F2E53}"/>
    <hyperlink ref="C2294" r:id="rId545" xr:uid="{13FF135F-890D-49C6-B5AB-D584165AA1A0}"/>
    <hyperlink ref="O2321" r:id="rId546" xr:uid="{B76DEF24-9486-47FD-B47F-B0C30103D092}"/>
    <hyperlink ref="V2321" r:id="rId547" xr:uid="{4E43AC65-FF8A-4FBB-80AE-198DA3A68CA0}"/>
    <hyperlink ref="D2332" r:id="rId548" display="https://register.fca.org.uk/s/firm?id=001b000000MfFfKAAV" xr:uid="{812B19DD-9A34-404A-BDBC-886EA882DCC0}"/>
    <hyperlink ref="O2332" r:id="rId549" xr:uid="{BBB264B7-34E6-49F0-8476-1A91853A5EC5}"/>
    <hyperlink ref="V2332" r:id="rId550" xr:uid="{AAA7E695-97CC-49E0-9DBC-CE12715AE877}"/>
    <hyperlink ref="C2387" r:id="rId551" xr:uid="{3404DF9B-341B-4ED8-BAF5-8EAEFAB75D2D}"/>
    <hyperlink ref="O2413" r:id="rId552" xr:uid="{820A6E17-85A3-4B7F-9B54-39CCEBF3D031}"/>
    <hyperlink ref="V2413" r:id="rId553" xr:uid="{52B74EFD-FB8C-4D50-B9B1-25C2646363E7}"/>
    <hyperlink ref="C2416" r:id="rId554" xr:uid="{30C67D32-4E9F-45FF-8B0F-B6EE1C8FB3A7}"/>
    <hyperlink ref="O2421" r:id="rId555" xr:uid="{5475057E-B639-42B4-9060-A91B4AAF4890}"/>
    <hyperlink ref="V2421" r:id="rId556" xr:uid="{3B0620BB-5EBC-4F7C-BC6C-239DF12ECCCD}"/>
    <hyperlink ref="O2423" r:id="rId557" xr:uid="{51B05C89-0BEE-4A10-AEE2-A23A5190C557}"/>
    <hyperlink ref="V2423" r:id="rId558" xr:uid="{2B9DAC5F-0850-4319-AB84-42C70E063F98}"/>
    <hyperlink ref="O2451" r:id="rId559" xr:uid="{158C78C0-C67F-436A-8620-AB7B490F1971}"/>
    <hyperlink ref="V2451" r:id="rId560" xr:uid="{BB37B0FD-B6F4-4081-A9B6-F5EA132E8704}"/>
    <hyperlink ref="O2474" r:id="rId561" xr:uid="{6C886CC4-73F2-4758-8199-F88EF8E5DD99}"/>
    <hyperlink ref="V2474" r:id="rId562" xr:uid="{CFA19D92-A378-49F6-ACE8-2C0811CBC171}"/>
    <hyperlink ref="V2475" r:id="rId563" xr:uid="{D28CC2BB-C330-4270-ADF3-02EEA45D0CB3}"/>
    <hyperlink ref="V2500" r:id="rId564" xr:uid="{AFE0F145-5F75-4CCB-9300-DC42F7A60169}"/>
    <hyperlink ref="O2528" r:id="rId565" xr:uid="{25208B78-6A66-4990-9FD0-B783E97F0224}"/>
    <hyperlink ref="V2528" r:id="rId566" xr:uid="{7FC4CA69-308F-4566-AE62-2101C944F781}"/>
    <hyperlink ref="O2537" r:id="rId567" xr:uid="{785877AA-BAE9-4E03-B53C-16719DE319D4}"/>
    <hyperlink ref="P2537" r:id="rId568" xr:uid="{CD4D3D81-4E6E-488A-9DC6-0D4D30F7F8B3}"/>
    <hyperlink ref="V2537" r:id="rId569" xr:uid="{C86C1AB0-E044-4E5A-82F7-798A36192D1A}"/>
    <hyperlink ref="C2539" r:id="rId570" xr:uid="{DDEFF68B-DD91-412E-A0EB-904313C0B6B1}"/>
    <hyperlink ref="O2539" r:id="rId571" xr:uid="{378A897F-B522-42BE-B75E-6AA8532D030E}"/>
    <hyperlink ref="V2539" r:id="rId572" xr:uid="{3EDF8ACC-29D0-4D7E-B5AB-C6FA1C80457C}"/>
    <hyperlink ref="O2549" r:id="rId573" xr:uid="{5B2ADE18-52DB-4011-9E6A-1BD60144BA5E}"/>
    <hyperlink ref="V2549" r:id="rId574" xr:uid="{A0F99720-2325-4EDD-8E3A-777116FF8EFA}"/>
    <hyperlink ref="O2586" r:id="rId575" xr:uid="{6A9F1898-DDE5-4A24-9F78-3662AD0A2F31}"/>
    <hyperlink ref="V2586" r:id="rId576" xr:uid="{A4CC29A3-7C93-4816-B078-E8F01C3F1D72}"/>
    <hyperlink ref="O2588" r:id="rId577" xr:uid="{F24DA0B0-ADC7-483D-B232-6FB3FB63C6DB}"/>
    <hyperlink ref="V2588" r:id="rId578" xr:uid="{EB71B1DA-7D47-4AF7-AD84-D973577CF342}"/>
    <hyperlink ref="O2601" r:id="rId579" xr:uid="{0D100075-62E4-4823-A77F-802D8CC6281B}"/>
    <hyperlink ref="V2601" r:id="rId580" xr:uid="{3EB89E22-1490-45DB-B30D-7CE56D3F733E}"/>
    <hyperlink ref="O2614" r:id="rId581" xr:uid="{8948D586-EA57-43B4-8A94-9586A1A7A2D4}"/>
    <hyperlink ref="V2614" r:id="rId582" xr:uid="{78CE11DF-3853-48A5-A408-F221D8D17C97}"/>
    <hyperlink ref="O2625" r:id="rId583" xr:uid="{3409F5C2-0745-4981-B8A4-0CDE7B7ACF3F}"/>
    <hyperlink ref="V2625" r:id="rId584" xr:uid="{810DEE4F-5027-4A49-8136-1B506D6C5894}"/>
    <hyperlink ref="C2641" r:id="rId585" xr:uid="{BABD44AC-2928-432A-9B30-F1D328A8DE38}"/>
    <hyperlink ref="O2641" r:id="rId586" xr:uid="{7A03A814-DB60-4279-A663-085BECC1CC6F}"/>
    <hyperlink ref="V2641" r:id="rId587" xr:uid="{7D6C760D-E1F2-4B6E-84DD-2B420EDE5A84}"/>
    <hyperlink ref="C2642" r:id="rId588" xr:uid="{959792E7-DE60-4180-826A-DC34B1674A66}"/>
    <hyperlink ref="O2647" r:id="rId589" xr:uid="{739E37F9-CC13-4CA2-8EC9-D1185D236E63}"/>
    <hyperlink ref="V2647" r:id="rId590" xr:uid="{B5141E79-3799-40D1-AA6E-7A32162DF751}"/>
    <hyperlink ref="O2653" r:id="rId591" xr:uid="{D2760656-7EAE-4CF7-899B-B763C52027CF}"/>
    <hyperlink ref="V2653" r:id="rId592" xr:uid="{345FA80E-D78E-4DA7-B3CE-943A4688D773}"/>
    <hyperlink ref="V2656" r:id="rId593" xr:uid="{1B6367DB-9B09-4A12-AD6B-523E9546BBF5}"/>
    <hyperlink ref="V2675" r:id="rId594" xr:uid="{80680CC4-039D-476F-A3F0-3F14248DEA66}"/>
    <hyperlink ref="O2687" r:id="rId595" xr:uid="{B215BF0E-D15F-4C9E-8352-D7CBEABF993C}"/>
    <hyperlink ref="P2687" r:id="rId596" xr:uid="{7C792CF2-6353-43F2-8BC6-50BD132C03D5}"/>
    <hyperlink ref="V2687" r:id="rId597" xr:uid="{4382065A-152B-41CC-A3DD-E72C15E1E065}"/>
    <hyperlink ref="O2763" r:id="rId598" xr:uid="{DE066B06-FD0E-48C3-B323-CF48BA23A55B}"/>
    <hyperlink ref="P2763" r:id="rId599" xr:uid="{47088D99-0507-4B40-A37A-173ED52DFE35}"/>
    <hyperlink ref="O2783" r:id="rId600" xr:uid="{CA296C21-DEAD-4568-95AD-DC55548B3543}"/>
    <hyperlink ref="P2783" r:id="rId601" xr:uid="{E41630F7-F5F3-4D4D-9524-9E3F2546BE01}"/>
    <hyperlink ref="V2783" r:id="rId602" xr:uid="{CE57577D-7571-406B-B854-1B783B2D77C7}"/>
    <hyperlink ref="C2803" r:id="rId603" xr:uid="{192585A8-A652-4B81-B1A4-0E9EABBF18F6}"/>
    <hyperlink ref="O2803" r:id="rId604" xr:uid="{571C45C2-6000-4F22-8DAD-764A0473CCE1}"/>
    <hyperlink ref="P2803" r:id="rId605" xr:uid="{8EF9DD58-7D04-411A-A479-87CFC9DE610E}"/>
    <hyperlink ref="V2803" r:id="rId606" xr:uid="{211AEA79-9F03-49EA-9EB9-72056591E20A}"/>
    <hyperlink ref="O2816" r:id="rId607" xr:uid="{7F2A0778-F23F-4257-AB65-862EFA25D46D}"/>
    <hyperlink ref="V2816" r:id="rId608" xr:uid="{42633C36-073B-4B85-A3CA-615125250E0B}"/>
    <hyperlink ref="V2871" r:id="rId609" xr:uid="{AD3A017E-EC0C-4AFF-B27B-A8809E38DED1}"/>
    <hyperlink ref="O2906" r:id="rId610" xr:uid="{07617F45-70BF-49D6-B017-764DC0A44EDD}"/>
    <hyperlink ref="P2906" r:id="rId611" xr:uid="{90CE7811-BE6A-47CA-B8B0-552B33272A5D}"/>
    <hyperlink ref="O2923" r:id="rId612" xr:uid="{BA927EE9-B0E6-4647-AA17-468BFA1B1D53}"/>
    <hyperlink ref="V2923" r:id="rId613" xr:uid="{F8F77614-3B5A-46F6-AF25-E4AF0B254195}"/>
    <hyperlink ref="V2933" r:id="rId614" xr:uid="{2267A987-CCA8-4B38-BA60-299DA15E0E6E}"/>
    <hyperlink ref="C2935" r:id="rId615" xr:uid="{D5113177-420D-4C92-8B93-694BE05DAE3E}"/>
    <hyperlink ref="N2935" r:id="rId616" xr:uid="{2FA7C864-3647-4CA3-8A1B-6768869880C0}"/>
    <hyperlink ref="C2945" r:id="rId617" xr:uid="{72FBEB7E-1876-405C-BC70-1F40AB9D84D1}"/>
    <hyperlink ref="O2945" r:id="rId618" xr:uid="{279BDDA8-2F78-4C09-A403-24A3D654C35A}"/>
    <hyperlink ref="V2945" r:id="rId619" xr:uid="{ECE20F01-725D-41E3-83F8-7F7CEC19BA6D}"/>
    <hyperlink ref="C2960" r:id="rId620" xr:uid="{289A7468-2E5D-444E-BE67-A6F3E9BB1639}"/>
    <hyperlink ref="O2960" r:id="rId621" xr:uid="{88038145-A9CE-4644-904A-E2EB24D93493}"/>
    <hyperlink ref="V2960" r:id="rId622" xr:uid="{8AEA03E2-D5D4-4328-B5EC-45811BA5B8C5}"/>
    <hyperlink ref="V2963" r:id="rId623" xr:uid="{3437996A-8761-414A-8362-13F967B72E54}"/>
    <hyperlink ref="O2965" r:id="rId624" xr:uid="{C312D2C5-B168-4B57-A23C-51A938CB2990}"/>
    <hyperlink ref="V2965" r:id="rId625" xr:uid="{5706B56E-E457-4386-8099-3529415D0336}"/>
    <hyperlink ref="O2967" r:id="rId626" xr:uid="{FCC69959-A343-4735-BB08-CFEA0F46766F}"/>
    <hyperlink ref="V2967" r:id="rId627" xr:uid="{9291B175-A0D6-4DE3-BA8F-6A5F292157B7}"/>
    <hyperlink ref="O2971" r:id="rId628" xr:uid="{91BADDCF-7175-414A-87BD-C097D37251EC}"/>
    <hyperlink ref="V2971" r:id="rId629" xr:uid="{FA0ABE1A-9421-4E71-81B3-2982BCC0DA91}"/>
    <hyperlink ref="O2975" r:id="rId630" xr:uid="{9E895D0C-89A1-4052-939E-16667AA1862D}"/>
    <hyperlink ref="V2975" r:id="rId631" xr:uid="{64E4FBF7-750C-4143-A37C-8980E9D06C92}"/>
    <hyperlink ref="C2985" r:id="rId632" xr:uid="{89D64603-4C5C-49AA-840A-1B0CA3A9A87D}"/>
    <hyperlink ref="O2985" r:id="rId633" xr:uid="{A3E7FBB4-E6F1-4216-9460-8144DAC35A1D}"/>
    <hyperlink ref="V2985" r:id="rId634" xr:uid="{55C98959-1D1A-4B71-AA07-809AB26569DB}"/>
    <hyperlink ref="O2990" r:id="rId635" xr:uid="{46AD73FE-5A0B-4192-ACC2-7DA07FFEDCD5}"/>
    <hyperlink ref="P2990" r:id="rId636" location="/fund-centre" xr:uid="{479BE464-17CB-4ED6-9F92-59765EE40F02}"/>
    <hyperlink ref="V2990" r:id="rId637" xr:uid="{00F698D0-638D-46BD-8FF6-341123C63C3D}"/>
    <hyperlink ref="O2998" r:id="rId638" xr:uid="{11557AF6-713D-45EE-B4F3-C218C181F573}"/>
    <hyperlink ref="V2998" r:id="rId639" xr:uid="{FD74D281-54C2-43AE-8F13-A39048BB2134}"/>
    <hyperlink ref="C3022" r:id="rId640" xr:uid="{C43046A7-4512-4B9B-872F-4A65F6AD2B01}"/>
    <hyperlink ref="O3049" r:id="rId641" xr:uid="{30E4E47F-86B3-44A9-91EB-956724FA02D5}"/>
    <hyperlink ref="V3049" r:id="rId642" xr:uid="{112C6F17-E88D-4384-B987-5E5D981BF6F0}"/>
    <hyperlink ref="O3057" r:id="rId643" xr:uid="{B0550ED3-95FA-4B46-93AD-51CCC89F8AC5}"/>
    <hyperlink ref="V3057" r:id="rId644" xr:uid="{36AC5A80-55D2-4426-8AD8-A10303D39884}"/>
    <hyperlink ref="O3071" r:id="rId645" xr:uid="{BC6D274A-55BE-42CE-86F5-3EA96D54529A}"/>
    <hyperlink ref="V3071" r:id="rId646" xr:uid="{D76581E5-44A1-49A6-B788-16C784270590}"/>
    <hyperlink ref="O3089" r:id="rId647" xr:uid="{10FF32C6-200F-46D9-98BA-3E4F4D120ABF}"/>
    <hyperlink ref="P3089" r:id="rId648" xr:uid="{ADAEE984-DD0E-4C14-85F1-94CE27E6C063}"/>
    <hyperlink ref="V3089" r:id="rId649" xr:uid="{BDB49C68-7F51-4ED2-ADD1-D7D2DF8D68ED}"/>
    <hyperlink ref="O3091" r:id="rId650" xr:uid="{B4948561-FF68-424C-B918-6FE2B5ADE1B0}"/>
    <hyperlink ref="V3091" r:id="rId651" xr:uid="{302A3ECB-74A3-4E71-A9E3-27B13CBB04AE}"/>
    <hyperlink ref="C3099" r:id="rId652" xr:uid="{146D90FF-1E0D-4786-A5F1-84DBBA5D8612}"/>
    <hyperlink ref="O3099" r:id="rId653" xr:uid="{A24A982A-CD20-4CBB-AB0F-8F4E37826448}"/>
    <hyperlink ref="V3099" r:id="rId654" xr:uid="{38A3CFE3-99D0-4156-87C8-FF7996AB4983}"/>
    <hyperlink ref="O3172" r:id="rId655" xr:uid="{B606C913-D3DB-476A-B51B-9D459D7F0EEF}"/>
    <hyperlink ref="V3172" r:id="rId656" xr:uid="{4A0A8BC7-6603-4CF0-94A4-6741F719610A}"/>
    <hyperlink ref="C3173" r:id="rId657" xr:uid="{A0777AA0-3941-4722-B311-7931999211C3}"/>
    <hyperlink ref="O3249" r:id="rId658" xr:uid="{77E90E71-9D03-4D8A-9897-85623AD2650A}"/>
    <hyperlink ref="V3249" r:id="rId659" xr:uid="{F873F9FF-83A5-48A5-80BE-5FE0E40EC342}"/>
    <hyperlink ref="C3265" r:id="rId660" xr:uid="{0DEAB546-F67C-42E1-A2D7-5DFABA3D649E}"/>
    <hyperlink ref="O3265" r:id="rId661" xr:uid="{8660FC5E-0C5C-4DC8-9A3D-5FF747956944}"/>
    <hyperlink ref="V3265" r:id="rId662" xr:uid="{7869947A-E24C-4065-A114-7338259862A5}"/>
    <hyperlink ref="C3267" r:id="rId663" xr:uid="{B739AF17-27F7-433C-90B4-4CEA7E062938}"/>
    <hyperlink ref="P3287" r:id="rId664" xr:uid="{7208FB55-6FA8-4AAC-B682-AC491FEB1A13}"/>
    <hyperlink ref="V3287" r:id="rId665" xr:uid="{EE00F128-131B-4A89-9B3D-841DDAEA522A}"/>
    <hyperlink ref="O3296" r:id="rId666" xr:uid="{F897F12B-29F4-4109-A013-B5ABCEB8B128}"/>
    <hyperlink ref="P3296" r:id="rId667" xr:uid="{3FB2E8BF-7299-407F-8A76-3046BD968415}"/>
    <hyperlink ref="V3296" r:id="rId668" xr:uid="{FE5B384D-01E3-47C9-AC43-1B7A8A5C334E}"/>
    <hyperlink ref="O3314" r:id="rId669" xr:uid="{3B57A9ED-8EEB-4F12-8BEF-48135D73F9BA}"/>
    <hyperlink ref="V3314" r:id="rId670" xr:uid="{E1E18ECF-7DD1-44EF-9F80-8A01B2BC457D}"/>
    <hyperlink ref="O3338" r:id="rId671" xr:uid="{28CA14F1-1543-4DC2-91DC-66F0E5729C06}"/>
    <hyperlink ref="V3338" r:id="rId672" xr:uid="{0C273B9E-639F-4C19-A3F7-29DB9EB13E62}"/>
    <hyperlink ref="C3365" r:id="rId673" xr:uid="{2FFAD3EC-00D7-4763-9736-884A77EBB6F8}"/>
    <hyperlink ref="O3365" r:id="rId674" xr:uid="{4C723C5D-08A2-4159-81FB-45D6CEE5F7DD}"/>
    <hyperlink ref="V3365" r:id="rId675" xr:uid="{01EFEA5C-DD04-46FD-9A5B-9E9BD2DB5A7F}"/>
    <hyperlink ref="O3371" r:id="rId676" xr:uid="{2CA0AF7F-562B-4CC3-AEB4-23E32CF97252}"/>
    <hyperlink ref="V3371" r:id="rId677" xr:uid="{0E78F1CF-7A12-4E55-AB0F-C98024FD30D9}"/>
    <hyperlink ref="O3388" r:id="rId678" xr:uid="{9C09C51A-B9DF-40BF-B8F6-F5CD0EB5AE8F}"/>
    <hyperlink ref="V3388" r:id="rId679" xr:uid="{65E4DF05-4057-4E98-A8D2-47ABF8C6290E}"/>
    <hyperlink ref="O3419" r:id="rId680" xr:uid="{525A722E-9CBF-4FFA-B790-D5A9F2C9DA92}"/>
    <hyperlink ref="V3419" r:id="rId681" xr:uid="{0E133289-8CC9-4BC1-872A-D63C728E20A3}"/>
    <hyperlink ref="C3436" r:id="rId682" xr:uid="{35FB3B5A-59AB-4C5D-982F-E894E4DE255A}"/>
    <hyperlink ref="O3436" r:id="rId683" xr:uid="{F1DF5631-1366-4483-B5A2-1A4DFC08E585}"/>
    <hyperlink ref="V3436" r:id="rId684" xr:uid="{23E86326-987F-4B1A-B55E-7190BF755283}"/>
    <hyperlink ref="C3473" r:id="rId685" xr:uid="{0F452D04-E019-4B51-8AD6-6241FC93FF09}"/>
    <hyperlink ref="C3507" r:id="rId686" xr:uid="{146EA5BA-B813-45A6-BE7A-CD681E848542}"/>
    <hyperlink ref="O3507" r:id="rId687" xr:uid="{19003169-2737-4C07-94F7-D5C6B6BDDF55}"/>
    <hyperlink ref="V3507" r:id="rId688" xr:uid="{BB45876D-3DE8-4D92-A7D9-7AF5BFAB453F}"/>
    <hyperlink ref="C3513" r:id="rId689" xr:uid="{BEE91C3C-6CA9-4BD3-8A06-1D27F2C961C0}"/>
    <hyperlink ref="C3520" r:id="rId690" xr:uid="{4A97B1D1-0F1B-44D6-AA49-F5668EC93439}"/>
    <hyperlink ref="O3520" r:id="rId691" xr:uid="{46A61F88-71E4-424C-AD1B-A6DEB05AE7FB}"/>
    <hyperlink ref="V3520" r:id="rId692" xr:uid="{321E9753-B27C-4E1C-8D64-59BDCF8D068D}"/>
    <hyperlink ref="O3578" r:id="rId693" xr:uid="{2766022F-F6DB-45DE-9D5F-3AD985BB1D33}"/>
    <hyperlink ref="V3578" r:id="rId694" xr:uid="{8567A1F4-A9FA-4D90-BBC5-9B1AC834DEB0}"/>
    <hyperlink ref="C3582" r:id="rId695" xr:uid="{F9DF28B1-6593-457D-9630-1C59C9BB6DA4}"/>
    <hyperlink ref="O3582" r:id="rId696" xr:uid="{DF8FA827-C541-40BE-AC81-42CF9503D830}"/>
    <hyperlink ref="V3582" r:id="rId697" xr:uid="{FE353CF7-5927-4219-AE3A-83DAAFDD47E4}"/>
    <hyperlink ref="C3583" r:id="rId698" xr:uid="{21165A64-3A6E-4233-AC1C-BA08462CD6C5}"/>
    <hyperlink ref="O3583" r:id="rId699" xr:uid="{4A2EC02C-A5A3-4EDB-AE61-4B65B0F5483C}"/>
    <hyperlink ref="V3583" r:id="rId700" xr:uid="{E22821CE-C8B9-449C-B9F8-09BA76B0BF1B}"/>
    <hyperlink ref="O3587" r:id="rId701" location="pricing" xr:uid="{5A63BED4-AE38-4A4D-BA82-0EA33CBA608C}"/>
    <hyperlink ref="V3587" r:id="rId702" xr:uid="{4472C14F-C114-4492-9078-39A57FDED1AA}"/>
    <hyperlink ref="O3631" r:id="rId703" xr:uid="{8A765BC9-0DB3-4FDF-80EE-2FB9141AC098}"/>
    <hyperlink ref="O3691" r:id="rId704" xr:uid="{D55EFCE3-4A13-4188-8BED-930CF5A8204D}"/>
    <hyperlink ref="V3691" r:id="rId705" xr:uid="{1463EBF6-0138-4B47-A8A3-11A5B35BDC43}"/>
    <hyperlink ref="C3707" r:id="rId706" xr:uid="{15C52F56-0753-493A-A2CF-EEA01FEEEDCC}"/>
    <hyperlink ref="D3707" r:id="rId707" display="https://brigroup.co.uk/our-team/" xr:uid="{02B91823-4C24-4A04-9CA1-5D1EC261E670}"/>
    <hyperlink ref="O3707" r:id="rId708" xr:uid="{D380D991-DB5A-4A30-A64A-AEC767D1BF3B}"/>
    <hyperlink ref="V3707" r:id="rId709" xr:uid="{B0AF29BE-2A2A-4D56-87DD-5BCD9AD811C2}"/>
    <hyperlink ref="O3745" r:id="rId710" xr:uid="{AF603582-02F2-4ACC-AF4C-62757E2ADEEE}"/>
    <hyperlink ref="V3745" r:id="rId711" xr:uid="{1484C756-3543-4641-8847-73967D3B7318}"/>
    <hyperlink ref="O3749" r:id="rId712" xr:uid="{2923D611-5CA9-4B8F-BE10-D271AEFC162A}"/>
    <hyperlink ref="V3749" r:id="rId713" xr:uid="{A1BF6141-968F-4D17-BDD8-5EEAC6FACB24}"/>
    <hyperlink ref="O3776" r:id="rId714" xr:uid="{8FC8EE68-ED42-4F23-AC59-F1740E520108}"/>
    <hyperlink ref="V3776" r:id="rId715" xr:uid="{6D04CF7B-31A7-4FC8-94FA-F265E6126946}"/>
    <hyperlink ref="O3822" r:id="rId716" xr:uid="{65672649-9795-450C-8270-7B38D2F190EA}"/>
    <hyperlink ref="V3822" r:id="rId717" xr:uid="{D05C06A4-84D2-4900-B350-D1B00752D0E6}"/>
    <hyperlink ref="O3838" r:id="rId718" xr:uid="{EC890CFF-3EF7-46FC-9F4B-37B8AAB155A3}"/>
    <hyperlink ref="V3838" r:id="rId719" xr:uid="{E6D2D5DC-CF63-4A4F-9051-80C6E1927DBC}"/>
    <hyperlink ref="C3861" r:id="rId720" xr:uid="{B91E8C09-903A-4B69-A4F2-9E42DDFD8B32}"/>
    <hyperlink ref="O3882" r:id="rId721" xr:uid="{527A7F89-4B35-45EC-9EDF-4DE3CAD045C7}"/>
    <hyperlink ref="V3882" r:id="rId722" xr:uid="{8639D5B1-CA3F-43AB-9A36-448C4102CF0B}"/>
    <hyperlink ref="O3911" r:id="rId723" xr:uid="{1E32115A-EDCA-4FFE-B62E-B62D7CE0C0D6}"/>
    <hyperlink ref="V3911" r:id="rId724" xr:uid="{EB762E39-7D82-4E60-9477-2FDD5AD663C9}"/>
    <hyperlink ref="O3944" r:id="rId725" xr:uid="{4B957595-699F-48CA-8B66-C7B3EA1C3568}"/>
    <hyperlink ref="V3944" r:id="rId726" xr:uid="{100695F7-290D-478D-983C-CD97DFE5DBD9}"/>
    <hyperlink ref="O3950" r:id="rId727" xr:uid="{EA26C56C-5C5B-489C-9BF4-BCB162FFEE37}"/>
    <hyperlink ref="V3950" r:id="rId728" xr:uid="{2FAF7286-1D43-4FED-BFE6-92FFD4D996C5}"/>
    <hyperlink ref="O3975" r:id="rId729" xr:uid="{83429B9D-05D1-4CEB-9B26-DA92028C83DF}"/>
    <hyperlink ref="C3982" r:id="rId730" xr:uid="{6DC62452-A941-4046-B7BD-7AC06AE47847}"/>
    <hyperlink ref="O3982" r:id="rId731" xr:uid="{40FD5E70-AB4A-4F30-A03B-6A0C07BF4D22}"/>
    <hyperlink ref="V3982" r:id="rId732" xr:uid="{B9D28AFC-22B2-4175-9C6E-0C4DBE72B608}"/>
    <hyperlink ref="C4017" r:id="rId733" xr:uid="{773D8D0F-401B-42E8-8DA3-C1A8FD1B9DC7}"/>
    <hyperlink ref="O4021" r:id="rId734" xr:uid="{E6C0CF08-0D20-43DB-B061-C9A1BF19D666}"/>
    <hyperlink ref="V4021" r:id="rId735" xr:uid="{2E63FEB5-71F3-4D12-A8EA-53724016BB60}"/>
    <hyperlink ref="O4040" r:id="rId736" xr:uid="{859EF2F8-162F-42FF-857D-9009FABC1A2C}"/>
    <hyperlink ref="V4040" r:id="rId737" xr:uid="{9091C4B2-4508-4D00-B0A9-E670EA833838}"/>
    <hyperlink ref="C4075" r:id="rId738" xr:uid="{1F2C327C-6580-4978-B0BE-CD0E40D2A800}"/>
    <hyperlink ref="O4075" r:id="rId739" xr:uid="{85B6BBF9-D433-4617-AE1A-A6219023EFED}"/>
    <hyperlink ref="V4075" r:id="rId740" xr:uid="{C03607EC-D222-4CF8-89E2-3D4358ED88AF}"/>
    <hyperlink ref="C4101" r:id="rId741" xr:uid="{E2F556DA-B70F-4ABB-9047-C2C2992BBE35}"/>
    <hyperlink ref="O4101" r:id="rId742" xr:uid="{31FD7CF8-D289-4F29-8BB0-E199D6789AD2}"/>
    <hyperlink ref="V4101" r:id="rId743" xr:uid="{B8B4A823-DD9C-4BB1-B056-194DA17AF62B}"/>
    <hyperlink ref="C4118" r:id="rId744" xr:uid="{AF1F694A-3FF1-422C-84EC-D48FD7668D47}"/>
    <hyperlink ref="O4118" r:id="rId745" xr:uid="{95368F96-E496-4B82-B6E0-277573919DAC}"/>
    <hyperlink ref="V4118" r:id="rId746" xr:uid="{1C4E218F-7978-48ED-BC5C-3BE665664DB1}"/>
    <hyperlink ref="O4151" r:id="rId747" xr:uid="{1EE2E1FF-5C12-4675-8C0E-36E81179D4E1}"/>
    <hyperlink ref="V4151" r:id="rId748" xr:uid="{D90A25B0-D6C4-491F-95DE-37E1BF12C177}"/>
    <hyperlink ref="O4200" r:id="rId749" xr:uid="{A7E2F4D9-405D-49B0-87BF-22DD2E51D08A}"/>
    <hyperlink ref="C4204" r:id="rId750" xr:uid="{9729408A-3BD6-4554-894E-1526CF07075A}"/>
    <hyperlink ref="O4204" r:id="rId751" xr:uid="{4CE58186-EA5D-499C-A645-6CBF8E974775}"/>
    <hyperlink ref="V4204" r:id="rId752" xr:uid="{84DEBFA8-8BF1-42F1-BFEA-ED5BB83F0E1E}"/>
    <hyperlink ref="O4206" r:id="rId753" xr:uid="{5EC123FE-001E-414C-8277-376BBE937D4B}"/>
    <hyperlink ref="V4206" r:id="rId754" xr:uid="{83AAADAD-938C-445D-B5B7-974018C769F9}"/>
    <hyperlink ref="C4212" r:id="rId755" xr:uid="{A701761F-4577-4EF9-9442-86378481D5B8}"/>
    <hyperlink ref="O4212" r:id="rId756" xr:uid="{68B5ADEE-7AC7-40FF-A2E0-B83ED7A87CB5}"/>
    <hyperlink ref="V4212" r:id="rId757" xr:uid="{A78CE021-DD8D-428E-9E89-26D9F32E3A74}"/>
    <hyperlink ref="C4216" r:id="rId758" xr:uid="{90C0DCF9-0796-4B08-B349-52BBB582F5B5}"/>
    <hyperlink ref="O4227" r:id="rId759" xr:uid="{E2A65A3A-8E8D-4731-A32E-362FD3A1F501}"/>
    <hyperlink ref="V4227" r:id="rId760" xr:uid="{5C3678A2-B2EC-4EE6-B597-FB85406AA918}"/>
    <hyperlink ref="C4230" r:id="rId761" xr:uid="{98FCF6B3-F8D0-4C6A-95F3-1AE020677C0A}"/>
    <hyperlink ref="O4230" r:id="rId762" xr:uid="{D9ECD510-6EC9-4F96-94C8-DA04C780E1B0}"/>
    <hyperlink ref="C4239" r:id="rId763" xr:uid="{91CAEBAD-D46E-45AF-A143-8CAACC2842EF}"/>
    <hyperlink ref="O4239" r:id="rId764" xr:uid="{549A3184-3A94-492F-A4FA-A7D08A727346}"/>
    <hyperlink ref="P4239" r:id="rId765" xr:uid="{8019FBC4-1A11-4B35-AE22-AC0C6ED7128D}"/>
    <hyperlink ref="V4239" r:id="rId766" xr:uid="{63728284-2630-4AFB-88F9-58E82E71D52D}"/>
    <hyperlink ref="C4242" r:id="rId767" xr:uid="{52C22913-92F3-4331-8BF9-379C3918956D}"/>
    <hyperlink ref="O4242" r:id="rId768" xr:uid="{C5C5FAD1-EA7E-47B9-82BD-69BFA9121CD5}"/>
    <hyperlink ref="P4242" r:id="rId769" xr:uid="{9CF35F79-F0D4-468D-9BEB-0668577910D2}"/>
    <hyperlink ref="V4242" r:id="rId770" xr:uid="{F376A0F6-A7C3-48AB-9DD2-3F442DDD234B}"/>
    <hyperlink ref="C4260" r:id="rId771" xr:uid="{309F5803-9AC2-4192-BCC3-7BA1CBB5CBA7}"/>
    <hyperlink ref="O4260" r:id="rId772" xr:uid="{42FBA5DB-4058-4DC5-B9F5-544925700323}"/>
    <hyperlink ref="P4260" r:id="rId773" xr:uid="{1CA93100-0133-4DCF-9531-9A61859770E7}"/>
    <hyperlink ref="V4260" r:id="rId774" xr:uid="{64D64B66-5C39-4B41-B0B8-0BEED5081DFF}"/>
    <hyperlink ref="C4274" r:id="rId775" xr:uid="{C944FA95-AB1F-42E1-AD8F-FDC1611042BC}"/>
    <hyperlink ref="D4274" r:id="rId776" display="https://register.fca.org.uk/s/firm?id=001b000000Mff3PAAR" xr:uid="{1D14151D-8FC0-49E7-9821-B3D8D22E1677}"/>
    <hyperlink ref="O4274" r:id="rId777" xr:uid="{323CCFCF-06EA-471F-AD32-7ABD3252CCF1}"/>
    <hyperlink ref="P4274" r:id="rId778" xr:uid="{84603634-7DD1-476F-A241-37FF576F6EE8}"/>
    <hyperlink ref="V4274" r:id="rId779" xr:uid="{1CD12F05-9F59-4E73-BD33-4A4853314034}"/>
    <hyperlink ref="C4279" r:id="rId780" xr:uid="{A007A805-9718-4618-A0E8-47816922745A}"/>
    <hyperlink ref="O4279" r:id="rId781" xr:uid="{FAC02689-AF65-47C4-ABA0-38FF2768FB8E}"/>
    <hyperlink ref="P4279" r:id="rId782" xr:uid="{215FD230-076D-451A-A568-554156142A93}"/>
    <hyperlink ref="V4279" r:id="rId783" xr:uid="{3BEE179F-0C37-4872-8EF1-AB3D42664EF7}"/>
    <hyperlink ref="C4285" r:id="rId784" xr:uid="{6C7833CD-FF6A-432B-88E4-8BFB14B2F3A3}"/>
    <hyperlink ref="O4285" r:id="rId785" xr:uid="{9D5A6400-E04D-4421-92BE-D76803A632FD}"/>
    <hyperlink ref="P4285" r:id="rId786" xr:uid="{179DDB66-0221-47BA-8EC7-4674A61DF9AF}"/>
    <hyperlink ref="V4285" r:id="rId787" xr:uid="{23CA7E34-11C6-4102-A498-140C38B17136}"/>
    <hyperlink ref="C4288" r:id="rId788" xr:uid="{3404A33A-CF83-4826-AD53-87BF7F25E3CD}"/>
    <hyperlink ref="D4288" r:id="rId789" display="https://register.fca.org.uk/s/firm?id=001b000000NMXZ4AAP" xr:uid="{6F821AE4-9686-4434-A91D-3F075A7F0D52}"/>
    <hyperlink ref="O4288" r:id="rId790" xr:uid="{F974D0FF-2A83-4204-ACA3-D9FC0F6F545C}"/>
    <hyperlink ref="P4288" r:id="rId791" xr:uid="{E38F2474-E137-4BB5-A153-16D9E0A8E31D}"/>
    <hyperlink ref="V4288" r:id="rId792" xr:uid="{C8F5A686-BA03-40F0-8E60-6A4817CE0639}"/>
    <hyperlink ref="C4302" r:id="rId793" xr:uid="{F624C274-B1A2-4DBC-B316-3290725C5BBF}"/>
    <hyperlink ref="D4302" r:id="rId794" display="https://register.fca.org.uk/s/firm?id=001b000000c43l7AAA" xr:uid="{AFB66415-2093-4139-806B-3E213048D4CC}"/>
    <hyperlink ref="O4302" r:id="rId795" xr:uid="{023E96FF-F879-4AE6-9005-3D693D519FC4}"/>
    <hyperlink ref="P4302" r:id="rId796" xr:uid="{A774B42F-59C0-490E-8937-84CFDFCE7365}"/>
    <hyperlink ref="V4302" r:id="rId797" xr:uid="{74B63CA9-8B9A-4C4B-97EC-5CE913B747E9}"/>
    <hyperlink ref="C4315" r:id="rId798" xr:uid="{E1057A8D-09FD-43D0-8C6B-9092DC7DB147}"/>
    <hyperlink ref="D4315" r:id="rId799" display="https://register.fca.org.uk/s/firm?id=0010X000046DIxEQAW" xr:uid="{51F07578-75E3-41AF-9BFA-47CE6E75AD25}"/>
    <hyperlink ref="O4315" r:id="rId800" xr:uid="{9275DB8D-8459-41DC-A10C-6BD90A10233D}"/>
    <hyperlink ref="P4315" r:id="rId801" xr:uid="{82A28081-96AF-479A-867E-939C45287E04}"/>
    <hyperlink ref="V4315" r:id="rId802" xr:uid="{392780B7-E69D-4B1D-8562-C7EA7901B7AA}"/>
    <hyperlink ref="C4340" r:id="rId803" xr:uid="{7B66C472-98B1-40F5-8F31-0D02CC37C710}"/>
    <hyperlink ref="O4340" r:id="rId804" xr:uid="{247AA240-7B27-42F1-A616-68C8E294CC99}"/>
    <hyperlink ref="V4340" r:id="rId805" xr:uid="{7E23FC00-4CB0-45D5-B67C-6F18C91B5C01}"/>
    <hyperlink ref="C4356" r:id="rId806" xr:uid="{957346D1-5847-40EC-8425-33A3AFA26ECB}"/>
    <hyperlink ref="O4356" r:id="rId807" xr:uid="{E54837B2-AD16-42FE-8555-A2B856023921}"/>
    <hyperlink ref="V4356" r:id="rId808" xr:uid="{319E768E-DD40-47BB-87D2-41876047FAD4}"/>
    <hyperlink ref="C4363" r:id="rId809" xr:uid="{276B0686-6BB5-435D-AD41-6A337086ECA4}"/>
    <hyperlink ref="O4363" r:id="rId810" xr:uid="{FD6209E8-9DAF-463B-90F3-979CCBA8D576}"/>
    <hyperlink ref="V4363" r:id="rId811" xr:uid="{E0692166-28FB-4130-B19F-AED3DBA4719E}"/>
    <hyperlink ref="C4370" r:id="rId812" xr:uid="{AF67591A-ADE6-4500-A0D5-8882EACA5CA6}"/>
    <hyperlink ref="O4370" r:id="rId813" xr:uid="{8EA159FE-CC60-4E83-8147-C42A87576DD5}"/>
    <hyperlink ref="V4370" r:id="rId814" xr:uid="{59CB2493-3272-4A10-90D8-E4BCC516FD3F}"/>
    <hyperlink ref="O4379" r:id="rId815" xr:uid="{55F62688-349B-45C6-A9CD-4383D4445EE6}"/>
    <hyperlink ref="V4379" r:id="rId816" xr:uid="{F68FC9E6-3536-4CAA-9A9B-004AF9C5E1C6}"/>
    <hyperlink ref="O4439" r:id="rId817" xr:uid="{5B239008-A8AD-4766-ADCE-D2421B34AE35}"/>
    <hyperlink ref="O4447" r:id="rId818" xr:uid="{7D2112DC-E277-4E8E-A24B-C7982B9EEC10}"/>
    <hyperlink ref="V4447" r:id="rId819" xr:uid="{77F251B5-3F80-43B7-B02F-94C61050E0F6}"/>
    <hyperlink ref="O4476" r:id="rId820" xr:uid="{56D6F30B-60D4-43DD-BE27-8C39BBE7BC56}"/>
    <hyperlink ref="V4476" r:id="rId821" xr:uid="{7D747BB4-BF0E-4DBB-84C2-9FA6A6362A40}"/>
    <hyperlink ref="O4478" r:id="rId822" xr:uid="{EE867890-8BC6-4766-A560-B5F2EBBB5026}"/>
    <hyperlink ref="P4478" r:id="rId823" xr:uid="{722B6E7D-0F29-454B-BBB2-2AF353915DCC}"/>
    <hyperlink ref="V4478" r:id="rId824" xr:uid="{3D6C90BE-BBAB-4DE6-829D-1F3EB4DAC4F9}"/>
    <hyperlink ref="O4485" r:id="rId825" xr:uid="{92BA6BF4-3870-4712-A597-18A07BDCE273}"/>
    <hyperlink ref="V4485" r:id="rId826" xr:uid="{B3FC6C66-5234-4B64-BB8D-84A48FE1345D}"/>
    <hyperlink ref="O4533" r:id="rId827" xr:uid="{277768EB-E682-4BDF-820C-F9736F4A86D5}"/>
    <hyperlink ref="V4533" r:id="rId828" xr:uid="{F763C462-35A3-4AE3-A778-6AB1833EFCC2}"/>
    <hyperlink ref="O4543" r:id="rId829" xr:uid="{2F800066-559F-4BA2-80EE-1CC3375FC6D9}"/>
    <hyperlink ref="V4543" r:id="rId830" xr:uid="{15EE863E-8DD1-4EF6-830C-7D9EF6A9FF62}"/>
    <hyperlink ref="C4563" r:id="rId831" xr:uid="{AACC9305-FDFE-472F-BA31-64CA57F047BB}"/>
    <hyperlink ref="O4563" r:id="rId832" xr:uid="{344308E3-4397-4C30-A0D7-395FA4319FA6}"/>
    <hyperlink ref="V4563" r:id="rId833" xr:uid="{A94C3537-3788-4B9E-B6CB-22DEEA7637BF}"/>
    <hyperlink ref="C4566" r:id="rId834" xr:uid="{1A474C1D-D4F2-4966-978A-7040658FA0A6}"/>
    <hyperlink ref="O4574" r:id="rId835" xr:uid="{16EF7F8C-D573-404B-A5F5-52BCBA652DAF}"/>
    <hyperlink ref="V4574" r:id="rId836" xr:uid="{EDF9F754-480B-441A-84D9-27E28F3071D7}"/>
    <hyperlink ref="O4577" r:id="rId837" xr:uid="{38C8D38F-4158-47CF-B55C-B9BA7B1A4D24}"/>
    <hyperlink ref="V4577" r:id="rId838" xr:uid="{621C5341-3945-4EC9-9F5F-43A8EC3FB91E}"/>
    <hyperlink ref="O4578" r:id="rId839" xr:uid="{95570B47-6F97-48B2-92FB-7D6B0EB044A9}"/>
    <hyperlink ref="V4578" r:id="rId840" xr:uid="{702E0A4C-574F-445B-98AB-1AEB22BD767C}"/>
    <hyperlink ref="C4587" r:id="rId841" xr:uid="{D217E6D9-93DB-4512-B280-15782BE40714}"/>
    <hyperlink ref="O4587" r:id="rId842" xr:uid="{05451349-EF8C-44AC-88F5-B081C6F98FD5}"/>
    <hyperlink ref="V4587" r:id="rId843" xr:uid="{889453BF-F97B-46B5-B680-4F82860AB635}"/>
    <hyperlink ref="O4593" r:id="rId844" xr:uid="{2E2ADEA4-BE4B-4488-BCB8-A759CAF6ADF5}"/>
    <hyperlink ref="V4593" r:id="rId845" xr:uid="{813EF931-2BF7-4ECE-B990-56A10CD5F4BC}"/>
    <hyperlink ref="O4594" r:id="rId846" xr:uid="{2ED905F9-E1F2-4CC9-8719-26000E5C42DF}"/>
    <hyperlink ref="V4594" r:id="rId847" xr:uid="{D0F05DB4-658B-498A-B96A-F4313168815C}"/>
    <hyperlink ref="O4607" r:id="rId848" xr:uid="{46081111-6623-49D7-A4FC-74A6E5A6018F}"/>
    <hyperlink ref="V4607" r:id="rId849" xr:uid="{DF518A75-4F25-449F-9DB4-1F0C9F952D63}"/>
    <hyperlink ref="O4617" r:id="rId850" xr:uid="{353915F3-9535-4877-A7CD-5C27F26DD290}"/>
    <hyperlink ref="V4617" r:id="rId851" xr:uid="{6B71425D-27DC-40C5-B701-623ECAFB9989}"/>
    <hyperlink ref="C4637" r:id="rId852" xr:uid="{53904800-05D1-49A1-A434-CEBD51DA4B8F}"/>
    <hyperlink ref="O4637" r:id="rId853" xr:uid="{DA58F7D2-06AD-4D2A-9351-7EDED9CC8027}"/>
    <hyperlink ref="V4637" r:id="rId854" xr:uid="{F1423123-2F0A-42D5-8086-337440BBF24E}"/>
    <hyperlink ref="O4687" r:id="rId855" xr:uid="{F133EB88-A6E1-46A9-8FEF-E30C8B316D06}"/>
    <hyperlink ref="V4687" r:id="rId856" xr:uid="{D611B750-2FD7-4928-9E85-7EEC4AA76CAF}"/>
    <hyperlink ref="O4704" r:id="rId857" xr:uid="{E5C95E6F-BD3B-443D-8C32-E18208582B2B}"/>
    <hyperlink ref="V4704" r:id="rId858" xr:uid="{C10E8964-9FC0-4983-9B0C-1829BD8ADDEF}"/>
    <hyperlink ref="C4719" r:id="rId859" xr:uid="{EC6228FF-37A2-45B3-8B57-8052D0659DB1}"/>
    <hyperlink ref="O4719" r:id="rId860" xr:uid="{5E346120-75DB-4B03-83E5-587D8F10E988}"/>
    <hyperlink ref="P4719" r:id="rId861" xr:uid="{0FA4BE4F-141B-4AEF-A14A-88BDB6E64DB9}"/>
    <hyperlink ref="V4719" r:id="rId862" xr:uid="{6D30D4A4-4DF0-438D-856A-2328F4819A48}"/>
    <hyperlink ref="O4753" r:id="rId863" xr:uid="{CD6E3604-D044-432B-A300-B08BFDD781DC}"/>
    <hyperlink ref="V4753" r:id="rId864" xr:uid="{5E965B23-177A-498A-B31E-C02B29B9C8A5}"/>
    <hyperlink ref="C4763" r:id="rId865" xr:uid="{0C1E6748-AFBC-4BFB-AEF7-BFCC9E49A6D9}"/>
    <hyperlink ref="O4764" r:id="rId866" xr:uid="{99C8B8EB-EB04-40B1-819B-B41884935644}"/>
    <hyperlink ref="V4764" r:id="rId867" xr:uid="{56E894C5-8D25-41E2-B811-9257E9BECCF4}"/>
    <hyperlink ref="O4772" r:id="rId868" xr:uid="{5DB33664-4012-4B70-B96E-46D2E385075A}"/>
    <hyperlink ref="V4772" r:id="rId869" xr:uid="{BF2562F8-F939-415F-8661-0C368087EA42}"/>
    <hyperlink ref="O4782" r:id="rId870" xr:uid="{D4225CD1-3733-43B6-9010-1CEFD15BDE7E}"/>
    <hyperlink ref="V4782" r:id="rId871" xr:uid="{C93D2129-BF28-487D-A258-1DF18E416E05}"/>
    <hyperlink ref="O4788" r:id="rId872" xr:uid="{3165C50F-BDD0-46C4-B8C9-BA8CC974ED77}"/>
    <hyperlink ref="P4788" r:id="rId873" xr:uid="{2194DDEA-A39B-4F7F-A658-1795E6F2FF02}"/>
    <hyperlink ref="C4789" r:id="rId874" xr:uid="{3FCF1D3C-9E15-4176-BCBD-B5B390EC995C}"/>
    <hyperlink ref="O4793" r:id="rId875" xr:uid="{2191078C-EECD-42CA-91DB-0D3B60CFFAAE}"/>
    <hyperlink ref="V4793" r:id="rId876" xr:uid="{696BFB76-4CE8-4A37-94AE-E45D1F0DFA6F}"/>
    <hyperlink ref="C4801" r:id="rId877" xr:uid="{B7345E18-BAF4-4CF4-9A78-B85D090A4103}"/>
    <hyperlink ref="C4802" r:id="rId878" xr:uid="{EC9ECBC2-BDC3-4F7A-88F4-3E184C167574}"/>
    <hyperlink ref="O4802" r:id="rId879" xr:uid="{EC43566C-FFC2-4B53-B540-16D01BF23EC8}"/>
    <hyperlink ref="V4802" r:id="rId880" xr:uid="{4D97265E-23C8-40B4-8EFB-6366CB69F82C}"/>
    <hyperlink ref="C4826" r:id="rId881" xr:uid="{C7729581-BD84-4C37-8144-24A43465E21F}"/>
    <hyperlink ref="C4838" r:id="rId882" xr:uid="{2011E099-563D-4FDF-881A-8F03A1CF3DDD}"/>
    <hyperlink ref="O4838" r:id="rId883" xr:uid="{DFC19730-229F-4FA2-B82B-EC834B6DBE02}"/>
    <hyperlink ref="P4838" r:id="rId884" xr:uid="{EC2818D6-CBC2-4915-A32D-AE29DDE2FBCF}"/>
    <hyperlink ref="V4838" r:id="rId885" xr:uid="{653F38B5-94C8-42E2-9AA7-43E84D0A00D0}"/>
    <hyperlink ref="O4844" r:id="rId886" xr:uid="{C45AEB77-CF60-42DD-AB2A-A0B55C43F7F3}"/>
    <hyperlink ref="V4844" r:id="rId887" xr:uid="{C87D5C2D-19AC-4742-96D6-C4FD5E382306}"/>
    <hyperlink ref="C4880" r:id="rId888" xr:uid="{397050E1-2D78-4CD7-AB7A-E39CC5A7C0CA}"/>
    <hyperlink ref="C4887" r:id="rId889" xr:uid="{01E0CDB6-FF26-49DE-9349-F223CC24C59D}"/>
    <hyperlink ref="C4888" r:id="rId890" xr:uid="{52B946C7-A8DF-417C-B3DE-36F35AD9D928}"/>
    <hyperlink ref="C4893" r:id="rId891" xr:uid="{3AAA19C1-CF4B-4C7B-9996-E82F55B4D310}"/>
    <hyperlink ref="O4893" r:id="rId892" xr:uid="{E7BFF673-9D08-4B6A-A795-206C63ABC654}"/>
    <hyperlink ref="P4893" r:id="rId893" xr:uid="{21AC2918-2F03-4359-9546-8863A4F8466A}"/>
    <hyperlink ref="O4900" r:id="rId894" xr:uid="{BD3B671D-DC41-4C12-993B-6A4684D546AA}"/>
    <hyperlink ref="P4900" r:id="rId895" xr:uid="{0894F914-8D10-4452-B9CC-E618C678E7A1}"/>
    <hyperlink ref="V4900" r:id="rId896" xr:uid="{BED0C8F7-8050-4528-A97E-5613768B1509}"/>
    <hyperlink ref="O4908" r:id="rId897" xr:uid="{5D408365-464B-47BD-8C9D-B12F0284890C}"/>
    <hyperlink ref="P4908" r:id="rId898" xr:uid="{CF378CF1-663B-4D1E-9178-D709EDE43957}"/>
    <hyperlink ref="C4913" r:id="rId899" xr:uid="{73E5DD8E-CE97-4743-B460-33EF0C7BB267}"/>
    <hyperlink ref="O4913" r:id="rId900" xr:uid="{932F12E1-CD33-4A74-877C-844866B62AAA}"/>
    <hyperlink ref="P4913" r:id="rId901" xr:uid="{C102423A-B8FA-45F9-AC16-BDB578D4A1FE}"/>
    <hyperlink ref="C4950" r:id="rId902" xr:uid="{81FAFDBF-35A3-4712-90E9-14F3FF2F3747}"/>
    <hyperlink ref="O4950" r:id="rId903" xr:uid="{6C9193B6-7BE7-4028-B47B-46731C1EF08E}"/>
    <hyperlink ref="P4950" r:id="rId904" xr:uid="{730725A7-DF1E-4B4E-B557-798E1B991E1E}"/>
    <hyperlink ref="V4950" r:id="rId905" xr:uid="{EDBEE01F-0FC6-4087-B16F-F7687092F847}"/>
    <hyperlink ref="C4958" r:id="rId906" xr:uid="{9C32C579-90B9-4209-A6D8-A972F48EF937}"/>
    <hyperlink ref="O4958" r:id="rId907" xr:uid="{F062EE36-B331-4D75-A6B0-1989F6005181}"/>
    <hyperlink ref="V4958" r:id="rId908" xr:uid="{9EFCB6B7-1E7F-4196-BD58-7011E0C03BC5}"/>
    <hyperlink ref="C4988" r:id="rId909" xr:uid="{76D830DF-BC86-4F75-A3DD-E887CB8AD0E1}"/>
    <hyperlink ref="N4988" r:id="rId910" xr:uid="{71D8C163-05B0-425E-8FE3-E806FF169598}"/>
    <hyperlink ref="O4988" r:id="rId911" xr:uid="{378EB662-A2AF-4795-9A0D-EB29A1FA6774}"/>
    <hyperlink ref="V4988" r:id="rId912" xr:uid="{901E30CB-BD23-49A0-874A-038DA5545227}"/>
    <hyperlink ref="O5004" r:id="rId913" xr:uid="{F923EC27-31EC-457B-9DE3-52AA157AA078}"/>
    <hyperlink ref="V5004" r:id="rId914" xr:uid="{8F6D98AE-7C9F-44E1-82F1-C21581B4347B}"/>
    <hyperlink ref="O5009" r:id="rId915" xr:uid="{C7F17D06-71F1-413A-9E1F-1B180D9D290B}"/>
    <hyperlink ref="V5009" r:id="rId916" xr:uid="{8D8153F8-8EEF-4A9D-9C47-1A5C938FE14B}"/>
    <hyperlink ref="C5011" r:id="rId917" xr:uid="{D26C6281-8783-4E9F-9C7C-65A3A6BEAF66}"/>
    <hyperlink ref="C5020" r:id="rId918" xr:uid="{EA5CD5AB-98FA-4B46-BF1F-E8F36AEF7500}"/>
    <hyperlink ref="O5028" r:id="rId919" xr:uid="{7B646EAC-A99A-405F-A0DC-F0555EFBB682}"/>
    <hyperlink ref="V5028" r:id="rId920" xr:uid="{328B8C8B-2ADD-476F-B24B-98AEDF718EC0}"/>
    <hyperlink ref="C5048" r:id="rId921" xr:uid="{0F83CEC9-F1E1-455E-BF13-729A117465B6}"/>
    <hyperlink ref="O5048" r:id="rId922" xr:uid="{0089D782-AB86-4549-A980-E8B99506FDBE}"/>
    <hyperlink ref="V5048" r:id="rId923" xr:uid="{DB3ABB89-57D3-4C4A-8E33-94720B6F4737}"/>
    <hyperlink ref="C5065" r:id="rId924" xr:uid="{FE0D95A8-1854-45A9-9526-F4FC245EE5B3}"/>
    <hyperlink ref="O5065" r:id="rId925" xr:uid="{6D59AFD2-B182-4A15-881A-2A43B8D8BAA4}"/>
    <hyperlink ref="P5065" r:id="rId926" xr:uid="{D997943E-3644-49D4-8B58-D595B6AC7272}"/>
    <hyperlink ref="V5065" r:id="rId927" xr:uid="{57EB21CE-BB38-4EC1-B627-B49D5E95BB4F}"/>
    <hyperlink ref="O5080" r:id="rId928" xr:uid="{995D6741-1763-4D48-A2F5-CC8E8DF048AF}"/>
    <hyperlink ref="P5080" r:id="rId929" xr:uid="{F8978280-24CE-4B6E-BDF1-5B507143AD5C}"/>
    <hyperlink ref="V5080" r:id="rId930" xr:uid="{D5407D27-8DFB-419E-A734-D093245BF7B3}"/>
    <hyperlink ref="C5081" r:id="rId931" xr:uid="{B7F7B5C5-F724-4F6E-A540-9C7D6A70A215}"/>
    <hyperlink ref="O5081" r:id="rId932" xr:uid="{22A66735-063A-468D-8454-E1DB703BECD9}"/>
    <hyperlink ref="V5081" r:id="rId933" xr:uid="{1781A085-AAEE-41BB-A6C4-03BBB12D480B}"/>
    <hyperlink ref="O5109" r:id="rId934" xr:uid="{E37E7321-5999-464B-84D4-B7BD432E6DF6}"/>
    <hyperlink ref="V5109" r:id="rId935" xr:uid="{E12F9533-5C0B-4397-B9C9-F66F467A36F9}"/>
    <hyperlink ref="O5127" r:id="rId936" xr:uid="{758D6F81-4B3F-45EC-AFF4-DD6CB07378D4}"/>
    <hyperlink ref="V5127" r:id="rId937" xr:uid="{D12B21B9-5E71-4335-B3CD-8967516C985B}"/>
    <hyperlink ref="O5137" r:id="rId938" xr:uid="{D01B46C8-54D8-4DA2-97BE-D51900CB548D}"/>
    <hyperlink ref="V5137" r:id="rId939" xr:uid="{4121BCBA-69CB-463C-B733-73D4BBE2E784}"/>
    <hyperlink ref="O5138" r:id="rId940" xr:uid="{960BD821-FF0D-4EB4-8F77-1449D24775C2}"/>
    <hyperlink ref="V5138" r:id="rId941" xr:uid="{35771565-E3DD-4424-A597-8CD774D9A045}"/>
    <hyperlink ref="C5142" r:id="rId942" xr:uid="{9D90F990-C50F-4852-8302-2E62686FB028}"/>
    <hyperlink ref="O5146" r:id="rId943" xr:uid="{609C3AD4-622D-4CBC-A858-FF174BEED3B8}"/>
    <hyperlink ref="V5146" r:id="rId944" xr:uid="{BF47ED48-0AF1-4658-8E16-543962B4AE00}"/>
    <hyperlink ref="C5151" r:id="rId945" xr:uid="{2D6097F2-5BCB-4738-96EE-D143ABF20A27}"/>
    <hyperlink ref="O5173" r:id="rId946" xr:uid="{15715AE1-986D-4530-9926-82DA4EC1B15F}"/>
    <hyperlink ref="V5173" r:id="rId947" xr:uid="{F3864612-139D-48ED-824C-8F4554A06693}"/>
    <hyperlink ref="O5205" r:id="rId948" xr:uid="{83C524BF-8C11-4C1C-A9D4-30779BC159A1}"/>
    <hyperlink ref="V5205" r:id="rId949" xr:uid="{3FDC774E-71FC-416C-A484-970485BD4666}"/>
    <hyperlink ref="C5207" r:id="rId950" xr:uid="{B45BEBF2-9A82-4631-BE9C-BF771863E832}"/>
    <hyperlink ref="C5212" r:id="rId951" xr:uid="{652761BD-1F11-4BEB-92FF-CE563640FF52}"/>
    <hyperlink ref="O5212" r:id="rId952" xr:uid="{7EC58632-C577-48C0-86EB-783B19D2420C}"/>
    <hyperlink ref="V5212" r:id="rId953" xr:uid="{707F9E4E-F882-417D-950F-46C3D982E390}"/>
    <hyperlink ref="O5224" r:id="rId954" xr:uid="{C43D7B38-8E2C-465A-A540-627A8E1F18C2}"/>
    <hyperlink ref="V5224" r:id="rId955" xr:uid="{0BCDEDD9-F6BF-4339-BAF5-90353353C558}"/>
    <hyperlink ref="O5243" r:id="rId956" xr:uid="{231DD164-6D60-40AA-B531-52580274E97E}"/>
    <hyperlink ref="V5243" r:id="rId957" xr:uid="{00429784-106D-4BB0-8F39-E08B916455AE}"/>
    <hyperlink ref="O5248" r:id="rId958" xr:uid="{B7B54C62-C6E6-4087-94CB-B03E2413A98D}"/>
    <hyperlink ref="V5248" r:id="rId959" xr:uid="{F6677754-662A-4856-BBA5-4DDFEC9B6D2E}"/>
    <hyperlink ref="O5259" r:id="rId960" xr:uid="{E811EDAF-D6A6-4EF8-9BDC-13B632C399E4}"/>
    <hyperlink ref="V5259" r:id="rId961" xr:uid="{1F399494-9500-4911-BEAF-030AE8B3A19F}"/>
    <hyperlink ref="O5264" r:id="rId962" xr:uid="{0C13E662-C203-4E94-A1E4-E0D68C02B2DE}"/>
    <hyperlink ref="V5264" r:id="rId963" xr:uid="{11A1110C-C4CA-4EB7-AE71-AF029C4FB975}"/>
    <hyperlink ref="O5280" r:id="rId964" xr:uid="{9BDED956-D18D-4E88-9AD1-0386985AD5A2}"/>
    <hyperlink ref="V5280" r:id="rId965" xr:uid="{32E7802A-2065-4155-A656-2E1CC289DCD7}"/>
    <hyperlink ref="O5298" r:id="rId966" xr:uid="{32174CF0-6C52-4629-B807-B841F80A829F}"/>
    <hyperlink ref="V5298" r:id="rId967" xr:uid="{0AF9A5C1-5019-4F9E-B03C-59C538F6DB0E}"/>
    <hyperlink ref="O5299" r:id="rId968" xr:uid="{417CB48F-5412-48C8-9485-DFAB0AF31C71}"/>
    <hyperlink ref="C5304" r:id="rId969" xr:uid="{37638853-73C3-4DDC-A6FC-F8E4B4C726F8}"/>
    <hyperlink ref="O5308" r:id="rId970" xr:uid="{4FFEBAA6-AB37-4777-B8AA-B004849B6040}"/>
    <hyperlink ref="V5308" r:id="rId971" xr:uid="{743C26A4-9A97-41D4-B9D2-DF056F645425}"/>
    <hyperlink ref="C5313" r:id="rId972" xr:uid="{C54D46AD-746F-47B3-B97B-D66FCB04DB58}"/>
    <hyperlink ref="O5313" r:id="rId973" xr:uid="{CE3FB6FC-2B7D-4CBA-A7C7-F8CD08638E3A}"/>
    <hyperlink ref="V5313" r:id="rId974" xr:uid="{E0919AEF-CDAA-49B8-8B53-6FCE1F158783}"/>
    <hyperlink ref="C5314" r:id="rId975" xr:uid="{1C761588-B1DB-4E4C-94B9-F1982CC88373}"/>
    <hyperlink ref="O5314" r:id="rId976" xr:uid="{3B773755-93A9-4E1F-BAAB-445806EFDD96}"/>
    <hyperlink ref="V5314" r:id="rId977" xr:uid="{8DECB14E-C85A-4734-9346-1007C9C77E49}"/>
    <hyperlink ref="C5315" r:id="rId978" xr:uid="{242B010D-4D29-44A6-81F8-1E69855A9473}"/>
    <hyperlink ref="O5316" r:id="rId979" xr:uid="{6C232BC2-D27F-446D-9330-BF9F11FC4059}"/>
    <hyperlink ref="V5316" r:id="rId980" xr:uid="{F0737E22-A0AF-4F03-9112-2F803D679C7F}"/>
    <hyperlink ref="C5317" r:id="rId981" xr:uid="{00B5A01F-E187-42BB-960E-1CFF7E3C132C}"/>
    <hyperlink ref="C5332" r:id="rId982" xr:uid="{6DC594B4-B7C8-41FF-B116-45B28657BCC6}"/>
    <hyperlink ref="V5355" r:id="rId983" xr:uid="{BE57B6A5-5541-4D8E-87D9-D90A350DEC6E}"/>
    <hyperlink ref="C5447" r:id="rId984" xr:uid="{B3C0637B-4383-440D-9F5F-BCF2947F80AB}"/>
    <hyperlink ref="C5459" r:id="rId985" xr:uid="{A0BB1F2D-E721-4C6D-AFC7-FB15570861A9}"/>
    <hyperlink ref="C5480" r:id="rId986" xr:uid="{CED6F78E-4AA8-4D7E-94C0-DE98AF5C8ADF}"/>
    <hyperlink ref="V5480" r:id="rId987" xr:uid="{0EA29A41-E375-4AF1-AA7A-07977EF14224}"/>
    <hyperlink ref="C5482" r:id="rId988" xr:uid="{7964FC7A-96BA-4F21-B494-482B32A09E3F}"/>
    <hyperlink ref="C5483" r:id="rId989" xr:uid="{A6AE9BC2-C803-46AC-9A6B-2CADFA2EE622}"/>
    <hyperlink ref="C5486" r:id="rId990" xr:uid="{CEE0ACF4-95AE-4933-8918-05BD0788199F}"/>
    <hyperlink ref="C5487" r:id="rId991" xr:uid="{E42A322E-B33B-43B1-A35E-FFDD3B4C9F5F}"/>
    <hyperlink ref="C5490" r:id="rId992" xr:uid="{EEA61596-47AC-4B65-A1BF-1BE7A5890C08}"/>
    <hyperlink ref="C5496" r:id="rId993" xr:uid="{D50144F0-086B-461B-98F2-E1489B378B22}"/>
    <hyperlink ref="C5498" r:id="rId994" xr:uid="{1E1F6F12-B1B6-4612-B2CA-BFF399C0424E}"/>
    <hyperlink ref="C5504" r:id="rId995" xr:uid="{C75BE34C-0107-4124-9C46-67F09F8363A6}"/>
    <hyperlink ref="C5508" r:id="rId996" xr:uid="{E93037EB-33A0-4831-8804-C412707C0092}"/>
    <hyperlink ref="C5529" r:id="rId997" xr:uid="{429AF548-0153-41AB-B383-5EAB1B40423D}"/>
    <hyperlink ref="C5533" r:id="rId998" xr:uid="{CCB0D7ED-169D-445D-BCBF-0AA346D2DAFE}"/>
    <hyperlink ref="C5545" r:id="rId999" xr:uid="{E4EB0D08-6561-441C-AC9A-ABEEA8E8471B}"/>
    <hyperlink ref="C5548" r:id="rId1000" xr:uid="{781F6955-F8FF-467E-8DBD-6366AE8CFECD}"/>
    <hyperlink ref="C5549" r:id="rId1001" xr:uid="{94EC7B78-FD14-4984-9730-324AF53B6A23}"/>
    <hyperlink ref="C5555" r:id="rId1002" xr:uid="{0500BDA7-4E50-432B-A07D-093D19B1C7F3}"/>
    <hyperlink ref="C5560" r:id="rId1003" xr:uid="{0324A91C-B7C8-434B-8138-31392E461F0E}"/>
    <hyperlink ref="C5563" r:id="rId1004" xr:uid="{6B770ADA-B745-45E7-9016-F62CFCAD5DBA}"/>
    <hyperlink ref="C5564" r:id="rId1005" xr:uid="{18C560C1-E409-42CD-929D-B624DFD0CEBA}"/>
    <hyperlink ref="C5569" r:id="rId1006" xr:uid="{99054011-8987-4EB2-A00F-085043BF6339}"/>
    <hyperlink ref="C5577" r:id="rId1007" xr:uid="{382B82AC-28F1-4DFE-8397-72BA7510EAD0}"/>
    <hyperlink ref="C5580" r:id="rId1008" xr:uid="{DDBFD75A-55B1-428D-BEAF-F1E9B88E9225}"/>
    <hyperlink ref="C5582" r:id="rId1009" xr:uid="{15858E4A-DBB3-4A2D-BF29-643391FFE6EA}"/>
    <hyperlink ref="C5584" r:id="rId1010" xr:uid="{77499088-7519-4D4C-9C53-6C4FD1A38122}"/>
    <hyperlink ref="C5593" r:id="rId1011" xr:uid="{77EC4D00-751A-435D-BA97-214373054981}"/>
    <hyperlink ref="C5595" r:id="rId1012" xr:uid="{08BA99FB-A6C5-4BBD-BE92-E71E584F63F8}"/>
    <hyperlink ref="C5604" r:id="rId1013" xr:uid="{8B4DA5A5-8429-44A5-8CB1-3C45F65EA690}"/>
    <hyperlink ref="C5609" r:id="rId1014" xr:uid="{98FE2595-936F-43D3-AFD0-E2E185A0E120}"/>
    <hyperlink ref="O5609" r:id="rId1015" xr:uid="{54FB0E5C-0869-48B9-83C1-D0CE162592A0}"/>
    <hyperlink ref="C5610" r:id="rId1016" xr:uid="{842C1B0D-2ED3-477F-82F6-DEFA326FA49E}"/>
    <hyperlink ref="C5612" r:id="rId1017" xr:uid="{076160D5-4917-40DF-8DD9-0F7C476EAC2F}"/>
    <hyperlink ref="O5612" r:id="rId1018" xr:uid="{175A0C32-6AEA-4145-AAE0-EDB6A4C311B3}"/>
    <hyperlink ref="C5613" r:id="rId1019" xr:uid="{B643F0F6-754F-40DB-A63B-239313A33F87}"/>
    <hyperlink ref="O5613" r:id="rId1020" xr:uid="{4F7F2AE7-3AFF-4E98-AD04-67CB05C8B26D}"/>
    <hyperlink ref="C5614" r:id="rId1021" xr:uid="{118CB98C-6E13-45E8-88E9-03BE151638A9}"/>
    <hyperlink ref="C5615" r:id="rId1022" xr:uid="{35604D61-E42C-4641-8DC0-05BE76F54B89}"/>
    <hyperlink ref="C5616" r:id="rId1023" xr:uid="{82165B61-6EE1-4BC6-99C9-8141E0364190}"/>
    <hyperlink ref="C5617" r:id="rId1024" xr:uid="{03A79472-D2FF-424A-AC38-6B2BBB12DF6E}"/>
    <hyperlink ref="C5618" r:id="rId1025" xr:uid="{7E729D9B-E916-435A-97EE-22737A8325FA}"/>
    <hyperlink ref="C5619" r:id="rId1026" xr:uid="{45E99871-3F10-4B5A-9BC3-5CFE8D733A1B}"/>
    <hyperlink ref="C5621" r:id="rId1027" xr:uid="{066B5811-5742-4774-91FE-6B780DFDC87F}"/>
    <hyperlink ref="C5622" r:id="rId1028" xr:uid="{F0587EDB-9FAC-432D-95AC-68E7605002D0}"/>
    <hyperlink ref="C5624" r:id="rId1029" xr:uid="{86A14964-6B21-4279-948D-F0E41AD5BCA4}"/>
    <hyperlink ref="O5624" r:id="rId1030" xr:uid="{5817DD28-C8E9-4D68-A358-29EDF62D9BB1}"/>
    <hyperlink ref="P5624" r:id="rId1031" xr:uid="{4DF12014-D70B-4F36-8B18-7429E7B5AADC}"/>
    <hyperlink ref="V5624" r:id="rId1032" xr:uid="{CB4254D2-0574-4717-9BE4-945093E2D909}"/>
    <hyperlink ref="C5625" r:id="rId1033" xr:uid="{A4B39872-7A9F-4A5C-ACE2-3DB6A0F1774D}"/>
    <hyperlink ref="C5626" r:id="rId1034" xr:uid="{2E39E152-327C-475D-A7C4-4B3A7451E45C}"/>
    <hyperlink ref="C5627" r:id="rId1035" xr:uid="{4C122B2B-85B9-46AD-B21D-2EC059E7E8C8}"/>
    <hyperlink ref="C5629" r:id="rId1036" xr:uid="{B9EE4ED4-8D78-44AF-8532-3F02ED3BD588}"/>
    <hyperlink ref="C5630" r:id="rId1037" xr:uid="{FEC52C80-10E4-4998-9EEC-0BF94A162425}"/>
    <hyperlink ref="C5631" r:id="rId1038" xr:uid="{34CBE623-D8AE-4C88-A6E0-68755CC282AC}"/>
    <hyperlink ref="O5631" r:id="rId1039" xr:uid="{A72B93BF-21E7-41E4-9DC5-6D346C49B7B8}"/>
    <hyperlink ref="V5631" r:id="rId1040" xr:uid="{2CD20DD9-A097-45C8-A5A4-8EA4AE71E9B4}"/>
    <hyperlink ref="C5632" r:id="rId1041" xr:uid="{4EAD1056-507A-4F13-98DB-45B3BCAC77BA}"/>
    <hyperlink ref="O5632" r:id="rId1042" xr:uid="{7D75CB48-7C03-4A5B-A161-E5CB6F696D03}"/>
    <hyperlink ref="C5633" r:id="rId1043" xr:uid="{DADC322E-ADAD-420E-9B97-F48AC5257E02}"/>
    <hyperlink ref="C5634" r:id="rId1044" xr:uid="{30EDC735-0B91-400C-AAAB-438088926DD9}"/>
    <hyperlink ref="C5635" r:id="rId1045" xr:uid="{8C659FCC-0449-49D3-845B-55427442F11A}"/>
    <hyperlink ref="C5637" r:id="rId1046" xr:uid="{9673776D-4960-4997-8DB8-CBD17B8361DB}"/>
    <hyperlink ref="C5638" r:id="rId1047" xr:uid="{D1C8EDFC-4612-49B5-B5B3-71FCE07CC153}"/>
    <hyperlink ref="C5639" r:id="rId1048" xr:uid="{E66553CF-04FA-447D-8BBE-8DF6595084C3}"/>
    <hyperlink ref="C5642" r:id="rId1049" xr:uid="{06BE090C-4952-40AA-84B4-D95B1396DE1A}"/>
    <hyperlink ref="C5643" r:id="rId1050" xr:uid="{E2A6D148-1412-4712-A991-740A7C83E46B}"/>
    <hyperlink ref="O5643" r:id="rId1051" xr:uid="{CE7E32B6-9927-47A3-BEF6-D59670992353}"/>
    <hyperlink ref="V5643" r:id="rId1052" xr:uid="{924DA4F9-D844-4776-B9B4-D02D1683149F}"/>
    <hyperlink ref="C5644" r:id="rId1053" xr:uid="{5E8CDD6F-CFF4-4379-A7CB-B2372E253B13}"/>
    <hyperlink ref="C5645" r:id="rId1054" xr:uid="{D75BC505-39E8-4B22-824B-FCA43DF2DC48}"/>
    <hyperlink ref="C5646" r:id="rId1055" xr:uid="{9315BFD4-99E6-466A-B92E-52B75F3D8E3B}"/>
    <hyperlink ref="O5646" r:id="rId1056" xr:uid="{554E4062-6508-4CF1-B464-B69707EE1B8F}"/>
    <hyperlink ref="P5646" r:id="rId1057" xr:uid="{BFED797A-9A9C-4923-854B-436A5C3C3382}"/>
    <hyperlink ref="C5647" r:id="rId1058" xr:uid="{D0CBC5A7-62FE-4C2B-ACBC-E3BDD4D710B1}"/>
    <hyperlink ref="C5648" r:id="rId1059" xr:uid="{037FB15B-3B51-4E1A-B5F6-5B305E18A976}"/>
    <hyperlink ref="C5651" r:id="rId1060" xr:uid="{EB72F640-4CBA-49C3-9527-E75D322333DA}"/>
    <hyperlink ref="V5651" r:id="rId1061" xr:uid="{41CA2F6D-5426-4942-884C-B5A51B301B16}"/>
    <hyperlink ref="C5652" r:id="rId1062" xr:uid="{4A3FA3A1-5A1A-4BDC-8031-6CC6187DD74B}"/>
    <hyperlink ref="C5654" r:id="rId1063" xr:uid="{DD1CDA03-1420-45DA-B156-9FD63FCD0342}"/>
    <hyperlink ref="C5655" r:id="rId1064" xr:uid="{2AA9F750-E1FC-485B-B6CD-394422CF0101}"/>
    <hyperlink ref="C5656" r:id="rId1065" xr:uid="{8EA0F5C1-B2B7-441A-B859-824067DC55E9}"/>
    <hyperlink ref="C5657" r:id="rId1066" xr:uid="{17AE7F47-8A0D-4DE8-A796-B8F1DB26F657}"/>
    <hyperlink ref="C5658" r:id="rId1067" xr:uid="{B4C53B42-AAB5-4889-A4A7-DD52706A5B3D}"/>
    <hyperlink ref="C5659" r:id="rId1068" xr:uid="{7B664D4A-5DE5-4EFD-A03C-FEA476AD0091}"/>
    <hyperlink ref="C5660" r:id="rId1069" xr:uid="{3C083657-1B72-4A1B-967A-0EFFA17F85B2}"/>
    <hyperlink ref="C5662" r:id="rId1070" xr:uid="{FAD927F8-3F84-4EE9-8D09-A386FAF1F6E8}"/>
    <hyperlink ref="C5663" r:id="rId1071" xr:uid="{4B664F89-156F-4D50-8735-2C31A109FB17}"/>
    <hyperlink ref="C5664" r:id="rId1072" xr:uid="{3BC39C7B-8F82-417F-9D3E-8F3B0473F7E4}"/>
    <hyperlink ref="C5665" r:id="rId1073" xr:uid="{7BEE0D34-0571-4D70-B31F-7020429552CF}"/>
    <hyperlink ref="C5666" r:id="rId1074" xr:uid="{5E3D8152-715D-4D67-9D10-9447A2D90491}"/>
    <hyperlink ref="C5667" r:id="rId1075" xr:uid="{A1D19903-FDC0-443D-A888-28DE82E4F7D7}"/>
    <hyperlink ref="C5668" r:id="rId1076" xr:uid="{4767EFA8-6614-4119-82F3-1BADE5098671}"/>
    <hyperlink ref="C5669" r:id="rId1077" xr:uid="{7D41A539-69BB-4A15-8C43-424F540CF3FC}"/>
    <hyperlink ref="C5671" r:id="rId1078" xr:uid="{B5DCDCFF-3796-4653-A069-507324EB75D7}"/>
    <hyperlink ref="C5672" r:id="rId1079" xr:uid="{65B9AEF4-1ACE-4F2B-AC2D-9AFDA79D7C40}"/>
    <hyperlink ref="C5673" r:id="rId1080" xr:uid="{1BE8F92B-91DB-4271-8BD8-88F0C3EDBD41}"/>
    <hyperlink ref="N5673" r:id="rId1081" xr:uid="{6A4A48D0-4DC3-41B7-B336-C594649DC272}"/>
    <hyperlink ref="O5673" r:id="rId1082" xr:uid="{6F8A3CEB-31AE-46D1-B0B1-72F9FAAD7075}"/>
    <hyperlink ref="C5675" r:id="rId1083" xr:uid="{27A30C7E-AD18-4F66-BD00-B55D2D9A21BA}"/>
    <hyperlink ref="C5676" r:id="rId1084" xr:uid="{6A561A3E-8E22-4869-9EE7-1DD1827BD9E0}"/>
    <hyperlink ref="C5677" r:id="rId1085" xr:uid="{99CBAFA0-CD78-4AB3-89C7-77253C2D7E45}"/>
    <hyperlink ref="C5679" r:id="rId1086" xr:uid="{421CC9FD-5F76-403F-9616-5DA0E30E24E9}"/>
    <hyperlink ref="O5679" r:id="rId1087" xr:uid="{A863365D-ABC6-4C48-B6BC-27A4998FD04F}"/>
    <hyperlink ref="V5679" r:id="rId1088" xr:uid="{AC00DCF5-8973-4E7F-B2B1-84349109EC68}"/>
    <hyperlink ref="C5680" r:id="rId1089" xr:uid="{436A5D32-A753-41F1-BFEA-F916C64E785B}"/>
    <hyperlink ref="C5682" r:id="rId1090" xr:uid="{87EC156C-790D-46AB-92BB-95D45343F580}"/>
    <hyperlink ref="C5683" r:id="rId1091" xr:uid="{94610344-0224-4C13-BBE8-15C5180627E2}"/>
    <hyperlink ref="C5684" r:id="rId1092" xr:uid="{77DFDDA0-85D0-4572-860E-C37E92E0658A}"/>
    <hyperlink ref="C5685" r:id="rId1093" xr:uid="{F241B91F-3752-4067-9337-C5098ED48822}"/>
    <hyperlink ref="O5685" r:id="rId1094" xr:uid="{495E607E-7AB4-46EE-980A-992EF660887E}"/>
    <hyperlink ref="P9:P10" r:id="rId1095" location=":~:text=Volatility%20Managed" display="https://markets.ft.com/data/funds/tearsheet/summary?s=GB00BFBFYQ25:GBP - :~:text=Volatility%20Managed" xr:uid="{61A83F16-34D8-481E-BB15-73828431306F}"/>
    <hyperlink ref="P17:P18" r:id="rId1096" location=":~:text=Volatility%20Managed" display="https://markets.ft.com/data/funds/tearsheet/summary?s=GB00BFBFYQ25:GBP - :~:text=Volatility%20Managed" xr:uid="{87B3CD9C-AAD8-49E8-8B52-D2A1B5571644}"/>
    <hyperlink ref="P55" r:id="rId1097" location=":~:text=Volatility%20Managed" display="https://markets.ft.com/data/funds/tearsheet/summary?s=GB00BFBFYQ25:GBP - :~:text=Volatility%20Managed" xr:uid="{822DE2D6-BBEF-4B87-85CC-096507014A5D}"/>
    <hyperlink ref="P60" r:id="rId1098" location=":~:text=Volatility%20Managed" display="https://markets.ft.com/data/funds/tearsheet/summary?s=GB00BFBFYQ25:GBP - :~:text=Volatility%20Managed" xr:uid="{A32B0352-B1F6-4B0C-AFF5-F24E4B597453}"/>
    <hyperlink ref="P85" r:id="rId1099" location=":~:text=Volatility%20Managed" display="https://markets.ft.com/data/funds/tearsheet/summary?s=GB00BFBFYQ25:GBP - :~:text=Volatility%20Managed" xr:uid="{5BE3406B-4AD9-4059-8529-A40FCAB4426C}"/>
    <hyperlink ref="P91" r:id="rId1100" location=":~:text=Volatility%20Managed" display="https://markets.ft.com/data/funds/tearsheet/summary?s=GB00BFBFYQ25:GBP - :~:text=Volatility%20Managed" xr:uid="{04B248AB-0024-491E-B634-46D586646B54}"/>
    <hyperlink ref="P95" r:id="rId1101" location=":~:text=Volatility%20Managed" display="https://markets.ft.com/data/funds/tearsheet/summary?s=GB00BFBFYQ25:GBP - :~:text=Volatility%20Managed" xr:uid="{64D1C8A0-B4FC-407C-83C7-01FCD84EB61F}"/>
    <hyperlink ref="P99" r:id="rId1102" location=":~:text=Volatility%20Managed" display="https://markets.ft.com/data/funds/tearsheet/summary?s=GB00BFBFYQ25:GBP - :~:text=Volatility%20Managed" xr:uid="{6BAD274D-0EF8-4213-A0DE-E3D34FC532FA}"/>
    <hyperlink ref="P117" r:id="rId1103" location=":~:text=Volatility%20Managed" display="https://markets.ft.com/data/funds/tearsheet/summary?s=GB00BFBFYQ25:GBP - :~:text=Volatility%20Managed" xr:uid="{842AA5C2-AF02-4D0A-8A4D-3B53EE20B62E}"/>
    <hyperlink ref="P122" r:id="rId1104" location=":~:text=Volatility%20Managed" display="https://markets.ft.com/data/funds/tearsheet/summary?s=GB00BFBFYQ25:GBP - :~:text=Volatility%20Managed" xr:uid="{901B7348-9F68-4126-8431-9245C571092A}"/>
    <hyperlink ref="P133" r:id="rId1105" location=":~:text=Volatility%20Managed" display="https://markets.ft.com/data/funds/tearsheet/summary?s=GB00BFBFYQ25:GBP - :~:text=Volatility%20Managed" xr:uid="{AD02FDF1-D5D1-493A-8125-9356C17DE27B}"/>
    <hyperlink ref="P167" r:id="rId1106" location=":~:text=Volatility%20Managed" display="https://markets.ft.com/data/funds/tearsheet/summary?s=GB00BFBFYQ25:GBP - :~:text=Volatility%20Managed" xr:uid="{8FD431D4-76A1-4FD5-AA11-4FFE90465E5E}"/>
    <hyperlink ref="P175" r:id="rId1107" location=":~:text=Volatility%20Managed" display="https://markets.ft.com/data/funds/tearsheet/summary?s=GB00BFBFYQ25:GBP - :~:text=Volatility%20Managed" xr:uid="{C0F651D9-1BCB-4A62-84C0-1225C645059F}"/>
    <hyperlink ref="P192" r:id="rId1108" location=":~:text=Volatility%20Managed" display="https://markets.ft.com/data/funds/tearsheet/summary?s=GB00BFBFYQ25:GBP - :~:text=Volatility%20Managed" xr:uid="{C905F476-07A2-4D40-9F90-A48743A0F551}"/>
    <hyperlink ref="P244" r:id="rId1109" location=":~:text=Volatility%20Managed" display="https://markets.ft.com/data/funds/tearsheet/summary?s=GB00BFBFYQ25:GBP - :~:text=Volatility%20Managed" xr:uid="{D5AF3232-C4DF-440E-B848-C0C8D350F4D8}"/>
    <hyperlink ref="P251" r:id="rId1110" location=":~:text=Volatility%20Managed" display="https://markets.ft.com/data/funds/tearsheet/summary?s=GB00BFBFYQ25:GBP - :~:text=Volatility%20Managed" xr:uid="{3C3B3FCF-5797-4B70-9A6C-80A0D6458F71}"/>
    <hyperlink ref="P259" r:id="rId1111" location=":~:text=Volatility%20Managed" display="https://markets.ft.com/data/funds/tearsheet/summary?s=GB00BFBFYQ25:GBP - :~:text=Volatility%20Managed" xr:uid="{136A9B8B-929F-4702-B0AA-3F54096B3A77}"/>
    <hyperlink ref="P261:P262" r:id="rId1112" location=":~:text=Volatility%20Managed" display="https://markets.ft.com/data/funds/tearsheet/summary?s=GB00BFBFYQ25:GBP - :~:text=Volatility%20Managed" xr:uid="{ED82E874-E666-4138-B543-B7269A7D748C}"/>
    <hyperlink ref="P274" r:id="rId1113" location=":~:text=Volatility%20Managed" display="https://markets.ft.com/data/funds/tearsheet/summary?s=GB00BFBFYQ25:GBP - :~:text=Volatility%20Managed" xr:uid="{E28300CB-656B-4F66-AC0B-89C12A7BF88A}"/>
    <hyperlink ref="P294:P295" r:id="rId1114" location=":~:text=Volatility%20Managed" display="https://markets.ft.com/data/funds/tearsheet/summary?s=GB00BFBFYQ25:GBP - :~:text=Volatility%20Managed" xr:uid="{646DA730-2A5E-44D5-A42B-E98272E44808}"/>
    <hyperlink ref="P297" r:id="rId1115" location=":~:text=Volatility%20Managed" display="https://markets.ft.com/data/funds/tearsheet/summary?s=GB00BFBFYQ25:GBP - :~:text=Volatility%20Managed" xr:uid="{6134B48D-D024-4BC8-AEE0-5B38C81C13AC}"/>
    <hyperlink ref="P302" r:id="rId1116" location=":~:text=Volatility%20Managed" display="https://markets.ft.com/data/funds/tearsheet/summary?s=GB00BFBFYQ25:GBP - :~:text=Volatility%20Managed" xr:uid="{2B138B9A-4273-40C1-B517-0BB4793B1667}"/>
    <hyperlink ref="P307" r:id="rId1117" location=":~:text=Volatility%20Managed" display="https://markets.ft.com/data/funds/tearsheet/summary?s=GB00BFBFYQ25:GBP - :~:text=Volatility%20Managed" xr:uid="{6667DA21-0191-4190-8DED-5AD8B67208AD}"/>
    <hyperlink ref="P317" r:id="rId1118" location=":~:text=Volatility%20Managed" display="https://markets.ft.com/data/funds/tearsheet/summary?s=GB00BFBFYQ25:GBP - :~:text=Volatility%20Managed" xr:uid="{3412BDF2-B1AB-496E-B358-0AB80376E20C}"/>
    <hyperlink ref="P319" r:id="rId1119" location=":~:text=Volatility%20Managed" display="https://markets.ft.com/data/funds/tearsheet/summary?s=GB00BFBFYQ25:GBP - :~:text=Volatility%20Managed" xr:uid="{2DB5F391-025E-4960-B7D6-26BDBA0DCAC0}"/>
    <hyperlink ref="P324" r:id="rId1120" location=":~:text=Volatility%20Managed" display="https://markets.ft.com/data/funds/tearsheet/summary?s=GB00BFBFYQ25:GBP - :~:text=Volatility%20Managed" xr:uid="{30C90EB0-BA84-42D5-9AC1-6AD9EE041E1D}"/>
    <hyperlink ref="P329" r:id="rId1121" location=":~:text=Volatility%20Managed" display="https://markets.ft.com/data/funds/tearsheet/summary?s=GB00BFBFYQ25:GBP - :~:text=Volatility%20Managed" xr:uid="{D566915E-E390-4A26-8A94-6988368F797D}"/>
    <hyperlink ref="P351:P352" r:id="rId1122" location=":~:text=Volatility%20Managed" display="https://markets.ft.com/data/funds/tearsheet/summary?s=GB00BFBFYQ25:GBP - :~:text=Volatility%20Managed" xr:uid="{68B0BE62-C8D5-4EC6-A07F-C349C5F54C83}"/>
    <hyperlink ref="P364" r:id="rId1123" location=":~:text=Volatility%20Managed" display="https://markets.ft.com/data/funds/tearsheet/summary?s=GB00BFBFYQ25:GBP - :~:text=Volatility%20Managed" xr:uid="{ABA39CBD-94DF-4CF3-8091-80828D7E6B7A}"/>
    <hyperlink ref="P367" r:id="rId1124" location=":~:text=Volatility%20Managed" display="https://markets.ft.com/data/funds/tearsheet/summary?s=GB00BFBFYQ25:GBP - :~:text=Volatility%20Managed" xr:uid="{A0111594-20E1-40D5-9B5A-353EFF54A93C}"/>
    <hyperlink ref="P376:P377" r:id="rId1125" location=":~:text=Volatility%20Managed" display="https://markets.ft.com/data/funds/tearsheet/summary?s=GB00BFBFYQ25:GBP - :~:text=Volatility%20Managed" xr:uid="{E4DEA85E-3D1E-4D5C-A3B9-601D774FBECB}"/>
    <hyperlink ref="P381" r:id="rId1126" location=":~:text=Volatility%20Managed" display="https://markets.ft.com/data/funds/tearsheet/summary?s=GB00BFBFYQ25:GBP - :~:text=Volatility%20Managed" xr:uid="{285AA6D4-66F7-4901-B8BB-12191CAC382A}"/>
    <hyperlink ref="P396" r:id="rId1127" location=":~:text=Volatility%20Managed" display="https://markets.ft.com/data/funds/tearsheet/summary?s=GB00BFBFYQ25:GBP - :~:text=Volatility%20Managed" xr:uid="{FE13767A-7399-4DDA-8C0D-21B687400E22}"/>
    <hyperlink ref="P407" r:id="rId1128" location=":~:text=Volatility%20Managed" display="https://markets.ft.com/data/funds/tearsheet/summary?s=GB00BFBFYQ25:GBP - :~:text=Volatility%20Managed" xr:uid="{CAD40BF5-509E-4ECE-9E1A-812F3CF6CC65}"/>
    <hyperlink ref="P412:P413" r:id="rId1129" location=":~:text=Volatility%20Managed" display="https://markets.ft.com/data/funds/tearsheet/summary?s=GB00BFBFYQ25:GBP - :~:text=Volatility%20Managed" xr:uid="{7A2EAABA-3A05-4B9C-A403-9FBFF206B398}"/>
    <hyperlink ref="P420" r:id="rId1130" location=":~:text=Volatility%20Managed" display="https://markets.ft.com/data/funds/tearsheet/summary?s=GB00BFBFYQ25:GBP - :~:text=Volatility%20Managed" xr:uid="{D7C33423-63E8-4EC0-BEF2-0F49F3AED7A8}"/>
    <hyperlink ref="P423" r:id="rId1131" location=":~:text=Volatility%20Managed" display="https://markets.ft.com/data/funds/tearsheet/summary?s=GB00BFBFYQ25:GBP - :~:text=Volatility%20Managed" xr:uid="{4E206303-52D8-4E2C-BA6B-206FAE642FA9}"/>
    <hyperlink ref="P427" r:id="rId1132" location=":~:text=Volatility%20Managed" display="https://markets.ft.com/data/funds/tearsheet/summary?s=GB00BFBFYQ25:GBP - :~:text=Volatility%20Managed" xr:uid="{AD1630B1-B9C5-4CB8-8901-F0D77EC008A4}"/>
    <hyperlink ref="P429" r:id="rId1133" location=":~:text=Volatility%20Managed" display="https://markets.ft.com/data/funds/tearsheet/summary?s=GB00BFBFYQ25:GBP - :~:text=Volatility%20Managed" xr:uid="{13CC8A45-9E2E-421E-8543-2B081E48CB58}"/>
    <hyperlink ref="P438" r:id="rId1134" location=":~:text=Volatility%20Managed" display="https://markets.ft.com/data/funds/tearsheet/summary?s=GB00BFBFYQ25:GBP - :~:text=Volatility%20Managed" xr:uid="{DA0AB8C3-CD49-4023-BD6C-CA2993CB991A}"/>
    <hyperlink ref="P470" r:id="rId1135" location=":~:text=Volatility%20Managed" display="https://markets.ft.com/data/funds/tearsheet/summary?s=GB00BFBFYQ25:GBP - :~:text=Volatility%20Managed" xr:uid="{99171DC9-6760-463A-BAD6-A3D702C19DF1}"/>
    <hyperlink ref="P492" r:id="rId1136" location=":~:text=Volatility%20Managed" display="https://markets.ft.com/data/funds/tearsheet/summary?s=GB00BFBFYQ25:GBP - :~:text=Volatility%20Managed" xr:uid="{AD7E3446-990C-4C91-ADB2-E97414ACF433}"/>
    <hyperlink ref="P503" r:id="rId1137" location=":~:text=Volatility%20Managed" display="https://markets.ft.com/data/funds/tearsheet/summary?s=GB00BFBFYQ25:GBP - :~:text=Volatility%20Managed" xr:uid="{BFB1E4C4-3B3C-4CC2-B15A-84ACA26B42DA}"/>
    <hyperlink ref="P525" r:id="rId1138" location=":~:text=Volatility%20Managed" display="https://markets.ft.com/data/funds/tearsheet/summary?s=GB00BFBFYQ25:GBP - :~:text=Volatility%20Managed" xr:uid="{420DBD6F-DAA3-4330-8FBB-A3ACD34F5C2A}"/>
    <hyperlink ref="P530" r:id="rId1139" location=":~:text=Volatility%20Managed" display="https://markets.ft.com/data/funds/tearsheet/summary?s=GB00BFBFYQ25:GBP - :~:text=Volatility%20Managed" xr:uid="{537889B4-31B2-4A7B-98F7-C9870F10C588}"/>
    <hyperlink ref="P533" r:id="rId1140" location=":~:text=Volatility%20Managed" display="https://markets.ft.com/data/funds/tearsheet/summary?s=GB00BFBFYQ25:GBP - :~:text=Volatility%20Managed" xr:uid="{31FC8C3B-D23E-4B21-B02F-AA8F9AA7FC98}"/>
    <hyperlink ref="P542" r:id="rId1141" location=":~:text=Volatility%20Managed" display="https://markets.ft.com/data/funds/tearsheet/summary?s=GB00BFBFYQ25:GBP - :~:text=Volatility%20Managed" xr:uid="{4ABD7B34-B3B5-4F00-BC73-959ED38B5A1C}"/>
    <hyperlink ref="P550:P551" r:id="rId1142" location=":~:text=Volatility%20Managed" display="https://markets.ft.com/data/funds/tearsheet/summary?s=GB00BFBFYQ25:GBP - :~:text=Volatility%20Managed" xr:uid="{E0EC14A7-21BD-45FF-BD28-DF2B0E415FC7}"/>
    <hyperlink ref="P569" r:id="rId1143" location=":~:text=Volatility%20Managed" display="https://markets.ft.com/data/funds/tearsheet/summary?s=GB00BFBFYQ25:GBP - :~:text=Volatility%20Managed" xr:uid="{778D4DD9-577A-47C3-AAF4-DBD1350D53E2}"/>
    <hyperlink ref="P576" r:id="rId1144" location=":~:text=Volatility%20Managed" display="https://markets.ft.com/data/funds/tearsheet/summary?s=GB00BFBFYQ25:GBP - :~:text=Volatility%20Managed" xr:uid="{6BC3DF8C-7D4D-45AF-8EA0-5ACF71375B75}"/>
    <hyperlink ref="P591" r:id="rId1145" location=":~:text=Volatility%20Managed" display="https://markets.ft.com/data/funds/tearsheet/summary?s=GB00BFBFYQ25:GBP - :~:text=Volatility%20Managed" xr:uid="{3EA24F31-802A-4F2D-BCC8-3BF5BFCD6D48}"/>
    <hyperlink ref="P624" r:id="rId1146" location=":~:text=Volatility%20Managed" display="https://markets.ft.com/data/funds/tearsheet/summary?s=GB00BFBFYQ25:GBP - :~:text=Volatility%20Managed" xr:uid="{043C656C-887A-435F-A3D6-A456F93B13D2}"/>
    <hyperlink ref="P635" r:id="rId1147" location=":~:text=Volatility%20Managed" display="https://markets.ft.com/data/funds/tearsheet/summary?s=GB00BFBFYQ25:GBP - :~:text=Volatility%20Managed" xr:uid="{82CB1728-3B1B-47E3-B5A1-F263905CD9C7}"/>
    <hyperlink ref="P654" r:id="rId1148" location=":~:text=Volatility%20Managed" display="https://markets.ft.com/data/funds/tearsheet/summary?s=GB00BFBFYQ25:GBP - :~:text=Volatility%20Managed" xr:uid="{9E9B3E99-F16D-46F8-9986-C971D1ACE9B8}"/>
    <hyperlink ref="P667" r:id="rId1149" location=":~:text=Volatility%20Managed" display="https://markets.ft.com/data/funds/tearsheet/summary?s=GB00BFBFYQ25:GBP - :~:text=Volatility%20Managed" xr:uid="{125C90F6-7813-405D-9686-D248E6D96EC9}"/>
    <hyperlink ref="P672" r:id="rId1150" location=":~:text=Volatility%20Managed" display="https://markets.ft.com/data/funds/tearsheet/summary?s=GB00BFBFYQ25:GBP - :~:text=Volatility%20Managed" xr:uid="{0D572931-6E8C-4BD7-AA10-D66B4EAF0562}"/>
    <hyperlink ref="P681" r:id="rId1151" location=":~:text=Volatility%20Managed" display="https://markets.ft.com/data/funds/tearsheet/summary?s=GB00BFBFYQ25:GBP - :~:text=Volatility%20Managed" xr:uid="{4FB1A45E-BAC1-4ED6-AA4B-87B142E87D18}"/>
    <hyperlink ref="P687" r:id="rId1152" location=":~:text=Volatility%20Managed" display="https://markets.ft.com/data/funds/tearsheet/summary?s=GB00BFBFYQ25:GBP - :~:text=Volatility%20Managed" xr:uid="{D720DBE6-4FBB-4DF5-BACB-29882491A192}"/>
    <hyperlink ref="P690:P691" r:id="rId1153" location=":~:text=Volatility%20Managed" display="https://markets.ft.com/data/funds/tearsheet/summary?s=GB00BFBFYQ25:GBP - :~:text=Volatility%20Managed" xr:uid="{F4DADBAA-6ED6-41D7-ACB1-D2709914D548}"/>
    <hyperlink ref="P693" r:id="rId1154" location=":~:text=Volatility%20Managed" display="https://markets.ft.com/data/funds/tearsheet/summary?s=GB00BFBFYQ25:GBP - :~:text=Volatility%20Managed" xr:uid="{31B654E8-789E-4A20-ADCA-7A4AC9BEEE07}"/>
    <hyperlink ref="P711" r:id="rId1155" location=":~:text=Volatility%20Managed" display="https://markets.ft.com/data/funds/tearsheet/summary?s=GB00BFBFYQ25:GBP - :~:text=Volatility%20Managed" xr:uid="{01C1B2E1-4D3D-42BA-8EDF-A3E7F3667346}"/>
    <hyperlink ref="P714" r:id="rId1156" location=":~:text=Volatility%20Managed" display="https://markets.ft.com/data/funds/tearsheet/summary?s=GB00BFBFYQ25:GBP - :~:text=Volatility%20Managed" xr:uid="{2C4114F7-773B-4CDB-8FEA-15D9CD41AD8D}"/>
    <hyperlink ref="P729" r:id="rId1157" location=":~:text=Volatility%20Managed" display="https://markets.ft.com/data/funds/tearsheet/summary?s=GB00BFBFYQ25:GBP - :~:text=Volatility%20Managed" xr:uid="{6B97AF78-4CFF-4260-B348-36C9F49A3211}"/>
    <hyperlink ref="P735" r:id="rId1158" location=":~:text=Volatility%20Managed" display="https://markets.ft.com/data/funds/tearsheet/summary?s=GB00BFBFYQ25:GBP - :~:text=Volatility%20Managed" xr:uid="{49FBE92C-03F9-48EA-99F2-FF3980FD805C}"/>
    <hyperlink ref="P740" r:id="rId1159" location=":~:text=Volatility%20Managed" display="https://markets.ft.com/data/funds/tearsheet/summary?s=GB00BFBFYQ25:GBP - :~:text=Volatility%20Managed" xr:uid="{8B9B8E87-6897-47C3-8ED1-899620F9AEC7}"/>
    <hyperlink ref="P751" r:id="rId1160" location=":~:text=Volatility%20Managed" display="https://markets.ft.com/data/funds/tearsheet/summary?s=GB00BFBFYQ25:GBP - :~:text=Volatility%20Managed" xr:uid="{B3BACDDA-8ADE-48FF-8950-F23B93B71898}"/>
    <hyperlink ref="P755" r:id="rId1161" location=":~:text=Volatility%20Managed" display="https://markets.ft.com/data/funds/tearsheet/summary?s=GB00BFBFYQ25:GBP - :~:text=Volatility%20Managed" xr:uid="{03CE9675-55F1-4786-8D28-C79F893DDDA6}"/>
    <hyperlink ref="P785" r:id="rId1162" location=":~:text=Volatility%20Managed" display="https://markets.ft.com/data/funds/tearsheet/summary?s=GB00BFBFYQ25:GBP - :~:text=Volatility%20Managed" xr:uid="{CB6CB88A-BEEB-4A69-8FC0-458AF384BA7A}"/>
    <hyperlink ref="P787" r:id="rId1163" location=":~:text=Volatility%20Managed" display="https://markets.ft.com/data/funds/tearsheet/summary?s=GB00BFBFYQ25:GBP - :~:text=Volatility%20Managed" xr:uid="{05053EA8-4D90-4D61-A4B5-817001B0244E}"/>
    <hyperlink ref="P803" r:id="rId1164" location=":~:text=Volatility%20Managed" display="https://markets.ft.com/data/funds/tearsheet/summary?s=GB00BFBFYQ25:GBP - :~:text=Volatility%20Managed" xr:uid="{66A02B04-733D-4279-8764-FC30F3FC8E21}"/>
    <hyperlink ref="P840" r:id="rId1165" location=":~:text=Volatility%20Managed" display="https://markets.ft.com/data/funds/tearsheet/summary?s=GB00BFBFYQ25:GBP - :~:text=Volatility%20Managed" xr:uid="{0D682409-C79C-464E-A256-1D8EAAE1BD3C}"/>
    <hyperlink ref="P848" r:id="rId1166" location=":~:text=Volatility%20Managed" display="https://markets.ft.com/data/funds/tearsheet/summary?s=GB00BFBFYQ25:GBP - :~:text=Volatility%20Managed" xr:uid="{3542C3B9-FDD6-4E01-AD5F-E809B7CC719C}"/>
    <hyperlink ref="P850" r:id="rId1167" location=":~:text=Volatility%20Managed" display="https://markets.ft.com/data/funds/tearsheet/summary?s=GB00BFBFYQ25:GBP - :~:text=Volatility%20Managed" xr:uid="{908FE937-F428-49BE-B973-BDC59BFCC09C}"/>
    <hyperlink ref="P880" r:id="rId1168" location=":~:text=Volatility%20Managed" display="https://markets.ft.com/data/funds/tearsheet/summary?s=GB00BFBFYQ25:GBP - :~:text=Volatility%20Managed" xr:uid="{255ED915-5800-41D0-A076-7C91D146F119}"/>
    <hyperlink ref="P883" r:id="rId1169" location=":~:text=Volatility%20Managed" display="https://markets.ft.com/data/funds/tearsheet/summary?s=GB00BFBFYQ25:GBP - :~:text=Volatility%20Managed" xr:uid="{5F3A2605-9AC6-4D6F-9C36-D05799D8B81F}"/>
    <hyperlink ref="P913" r:id="rId1170" location=":~:text=Volatility%20Managed" display="https://markets.ft.com/data/funds/tearsheet/summary?s=GB00BFBFYQ25:GBP - :~:text=Volatility%20Managed" xr:uid="{F4550FD1-19DB-41D6-B1CE-B356336244BF}"/>
    <hyperlink ref="P925" r:id="rId1171" location=":~:text=Volatility%20Managed" display="https://markets.ft.com/data/funds/tearsheet/summary?s=GB00BFBFYQ25:GBP - :~:text=Volatility%20Managed" xr:uid="{137CEF40-DE76-4341-90D5-CEAB36865655}"/>
    <hyperlink ref="P943" r:id="rId1172" location=":~:text=Volatility%20Managed" display="https://markets.ft.com/data/funds/tearsheet/summary?s=GB00BFBFYQ25:GBP - :~:text=Volatility%20Managed" xr:uid="{AA559371-DAC2-46D9-9489-F0C918BF5BF6}"/>
    <hyperlink ref="P949" r:id="rId1173" location=":~:text=Volatility%20Managed" display="https://markets.ft.com/data/funds/tearsheet/summary?s=GB00BFBFYQ25:GBP - :~:text=Volatility%20Managed" xr:uid="{14A2D55F-894E-4E44-B44C-CC8590B36B34}"/>
    <hyperlink ref="P960" r:id="rId1174" location=":~:text=Volatility%20Managed" display="https://markets.ft.com/data/funds/tearsheet/summary?s=GB00BFBFYQ25:GBP - :~:text=Volatility%20Managed" xr:uid="{8BE46FF3-F269-4FEC-AD4F-A5AF1227D22A}"/>
    <hyperlink ref="P994:P995" r:id="rId1175" location=":~:text=Volatility%20Managed" display="https://markets.ft.com/data/funds/tearsheet/summary?s=GB00BFBFYQ25:GBP - :~:text=Volatility%20Managed" xr:uid="{F0949C87-9DA9-4279-A0C6-3D84986FE458}"/>
    <hyperlink ref="P1005" r:id="rId1176" location=":~:text=Volatility%20Managed" display="https://markets.ft.com/data/funds/tearsheet/summary?s=GB00BFBFYQ25:GBP - :~:text=Volatility%20Managed" xr:uid="{B5C197A5-42C4-4661-AE1E-83AC80F72047}"/>
    <hyperlink ref="P1030" r:id="rId1177" location=":~:text=Volatility%20Managed" display="https://markets.ft.com/data/funds/tearsheet/summary?s=GB00BFBFYQ25:GBP - :~:text=Volatility%20Managed" xr:uid="{596A55AE-FCB0-4052-BE8A-9009521B6F0C}"/>
    <hyperlink ref="P1054" r:id="rId1178" location=":~:text=Volatility%20Managed" display="https://markets.ft.com/data/funds/tearsheet/summary?s=GB00BFBFYQ25:GBP - :~:text=Volatility%20Managed" xr:uid="{A4F9A95E-9A5F-4ADD-9F02-DAB45D7DF8B9}"/>
    <hyperlink ref="P1066" r:id="rId1179" location=":~:text=Volatility%20Managed" display="https://markets.ft.com/data/funds/tearsheet/summary?s=GB00BFBFYQ25:GBP - :~:text=Volatility%20Managed" xr:uid="{A2020C2A-D037-4BAD-8218-E4E7CDB8124E}"/>
    <hyperlink ref="P1091" r:id="rId1180" location=":~:text=Volatility%20Managed" display="https://markets.ft.com/data/funds/tearsheet/summary?s=GB00BFBFYQ25:GBP - :~:text=Volatility%20Managed" xr:uid="{682D60CC-54CD-4972-9429-EBFCF8810881}"/>
    <hyperlink ref="P1093" r:id="rId1181" location=":~:text=Volatility%20Managed" display="https://markets.ft.com/data/funds/tearsheet/summary?s=GB00BFBFYQ25:GBP - :~:text=Volatility%20Managed" xr:uid="{4DCF8FB9-8B36-4519-8243-8BF3214EA929}"/>
    <hyperlink ref="P1096" r:id="rId1182" location=":~:text=Volatility%20Managed" display="https://markets.ft.com/data/funds/tearsheet/summary?s=GB00BFBFYQ25:GBP - :~:text=Volatility%20Managed" xr:uid="{D9A6758C-63DA-4AD9-8F26-472A9A807ABD}"/>
    <hyperlink ref="P1118" r:id="rId1183" location=":~:text=Volatility%20Managed" display="https://markets.ft.com/data/funds/tearsheet/summary?s=GB00BFBFYQ25:GBP - :~:text=Volatility%20Managed" xr:uid="{6B802495-D254-47ED-A084-10399DD900FD}"/>
    <hyperlink ref="P1126" r:id="rId1184" location=":~:text=Volatility%20Managed" display="https://markets.ft.com/data/funds/tearsheet/summary?s=GB00BFBFYQ25:GBP - :~:text=Volatility%20Managed" xr:uid="{4B5DE023-D049-4BDF-A61F-860A71ACACD0}"/>
    <hyperlink ref="P1130" r:id="rId1185" location=":~:text=Volatility%20Managed" display="https://markets.ft.com/data/funds/tearsheet/summary?s=GB00BFBFYQ25:GBP - :~:text=Volatility%20Managed" xr:uid="{3D9EF6F9-F523-4B66-B8E9-0639CB5D6457}"/>
    <hyperlink ref="P1150" r:id="rId1186" location=":~:text=Volatility%20Managed" display="https://markets.ft.com/data/funds/tearsheet/summary?s=GB00BFBFYQ25:GBP - :~:text=Volatility%20Managed" xr:uid="{A6D833DB-24DA-4D8A-8522-B5DC3369572A}"/>
    <hyperlink ref="P1158" r:id="rId1187" location=":~:text=Volatility%20Managed" display="https://markets.ft.com/data/funds/tearsheet/summary?s=GB00BFBFYQ25:GBP - :~:text=Volatility%20Managed" xr:uid="{2E5D1561-EA35-4F97-B93D-D0AFF00615C2}"/>
    <hyperlink ref="P1165" r:id="rId1188" location=":~:text=Volatility%20Managed" display="https://markets.ft.com/data/funds/tearsheet/summary?s=GB00BFBFYQ25:GBP - :~:text=Volatility%20Managed" xr:uid="{88BA6607-E935-4DAD-B992-A83BF377D89D}"/>
    <hyperlink ref="P1171" r:id="rId1189" location=":~:text=Volatility%20Managed" display="https://markets.ft.com/data/funds/tearsheet/summary?s=GB00BFBFYQ25:GBP - :~:text=Volatility%20Managed" xr:uid="{77306540-9037-4C5B-84B4-C0A72CA0FFCE}"/>
    <hyperlink ref="P1176" r:id="rId1190" location=":~:text=Volatility%20Managed" display="https://markets.ft.com/data/funds/tearsheet/summary?s=GB00BFBFYQ25:GBP - :~:text=Volatility%20Managed" xr:uid="{B1AEF073-00C7-4E1D-BD37-735AB583FD38}"/>
    <hyperlink ref="P1326" r:id="rId1191" location=":~:text=Volatility%20Managed" display="https://markets.ft.com/data/funds/tearsheet/summary?s=GB00BFBFYQ25:GBP - :~:text=Volatility%20Managed" xr:uid="{AC3AB754-55CD-42DB-9358-E61057A43026}"/>
    <hyperlink ref="P1345" r:id="rId1192" location=":~:text=Volatility%20Managed" display="https://markets.ft.com/data/funds/tearsheet/summary?s=GB00BFBFYQ25:GBP - :~:text=Volatility%20Managed" xr:uid="{1ECAF98C-08DA-4FCE-A1D2-63C8D9A59E67}"/>
    <hyperlink ref="P1361" r:id="rId1193" location=":~:text=Volatility%20Managed" display="https://markets.ft.com/data/funds/tearsheet/summary?s=GB00BFBFYQ25:GBP - :~:text=Volatility%20Managed" xr:uid="{CDF58CC1-057B-433C-B181-3EB13A16A83B}"/>
    <hyperlink ref="P1414" r:id="rId1194" location=":~:text=Volatility%20Managed" display="https://markets.ft.com/data/funds/tearsheet/summary?s=GB00BFBFYQ25:GBP - :~:text=Volatility%20Managed" xr:uid="{295A0B58-037E-4C4A-9BCD-55AE8B6110BB}"/>
    <hyperlink ref="P1539" r:id="rId1195" location=":~:text=Volatility%20Managed" display="https://markets.ft.com/data/funds/tearsheet/summary?s=GB00BFBFYQ25:GBP - :~:text=Volatility%20Managed" xr:uid="{F76614F5-29C8-4C42-B6D6-0DE3326B3C6C}"/>
    <hyperlink ref="P1556" r:id="rId1196" location=":~:text=Volatility%20Managed" display="https://markets.ft.com/data/funds/tearsheet/summary?s=GB00BFBFYQ25:GBP - :~:text=Volatility%20Managed" xr:uid="{DDB34CC3-90D7-4CBB-8DA9-08046BB1E437}"/>
    <hyperlink ref="P1558" r:id="rId1197" location=":~:text=Volatility%20Managed" display="https://markets.ft.com/data/funds/tearsheet/summary?s=GB00BFBFYQ25:GBP - :~:text=Volatility%20Managed" xr:uid="{57C6B14F-3B26-4BC5-BE16-8478FB11041D}"/>
    <hyperlink ref="P1562" r:id="rId1198" location=":~:text=Volatility%20Managed" display="https://markets.ft.com/data/funds/tearsheet/summary?s=GB00BFBFYQ25:GBP - :~:text=Volatility%20Managed" xr:uid="{42FC4F37-83EC-4509-9866-A76DFB26317C}"/>
    <hyperlink ref="P1570" r:id="rId1199" location=":~:text=Volatility%20Managed" display="https://markets.ft.com/data/funds/tearsheet/summary?s=GB00BFBFYQ25:GBP - :~:text=Volatility%20Managed" xr:uid="{382639FF-C8C8-4DC6-930D-FF1D96C53B7C}"/>
    <hyperlink ref="P1633" r:id="rId1200" location=":~:text=Volatility%20Managed" display="https://markets.ft.com/data/funds/tearsheet/summary?s=GB00BFBFYQ25:GBP - :~:text=Volatility%20Managed" xr:uid="{D6BBA0CD-3571-423B-94AB-3FD717B3AD7E}"/>
    <hyperlink ref="P1683" r:id="rId1201" location=":~:text=Volatility%20Managed" display="https://markets.ft.com/data/funds/tearsheet/summary?s=GB00BFBFYQ25:GBP - :~:text=Volatility%20Managed" xr:uid="{CA2FF955-0182-42B4-89D9-BB9219B68C6A}"/>
    <hyperlink ref="P1757" r:id="rId1202" location=":~:text=Volatility%20Managed" display="https://markets.ft.com/data/funds/tearsheet/summary?s=GB00BFBFYQ25:GBP - :~:text=Volatility%20Managed" xr:uid="{A6E757DE-C740-4971-A6FA-8221DC2BEE89}"/>
    <hyperlink ref="P1759:P1760" r:id="rId1203" location=":~:text=Volatility%20Managed" display="https://markets.ft.com/data/funds/tearsheet/summary?s=GB00BFBFYQ25:GBP - :~:text=Volatility%20Managed" xr:uid="{0CB2BC6D-BB82-4393-8D74-A4590135DD90}"/>
    <hyperlink ref="P1770" r:id="rId1204" location=":~:text=Volatility%20Managed" display="https://markets.ft.com/data/funds/tearsheet/summary?s=GB00BFBFYQ25:GBP - :~:text=Volatility%20Managed" xr:uid="{EF1C87FE-531D-49F2-BEAF-47B6409A4CC2}"/>
    <hyperlink ref="P1791" r:id="rId1205" location=":~:text=Volatility%20Managed" display="https://markets.ft.com/data/funds/tearsheet/summary?s=GB00BFBFYQ25:GBP - :~:text=Volatility%20Managed" xr:uid="{155C017F-829F-4E1E-BCB5-54BE8187289B}"/>
    <hyperlink ref="P1804" r:id="rId1206" location=":~:text=Volatility%20Managed" display="https://markets.ft.com/data/funds/tearsheet/summary?s=GB00BFBFYQ25:GBP - :~:text=Volatility%20Managed" xr:uid="{F3005993-D11E-4743-A264-9B861E99C760}"/>
    <hyperlink ref="P1821" r:id="rId1207" location=":~:text=Volatility%20Managed" display="https://markets.ft.com/data/funds/tearsheet/summary?s=GB00BFBFYQ25:GBP - :~:text=Volatility%20Managed" xr:uid="{F82B0603-7B83-4F8A-8F86-09981B85D011}"/>
    <hyperlink ref="P1826" r:id="rId1208" location=":~:text=Volatility%20Managed" display="https://markets.ft.com/data/funds/tearsheet/summary?s=GB00BFBFYQ25:GBP - :~:text=Volatility%20Managed" xr:uid="{6B2EF7D9-7270-4645-ABE7-343C5CEE248F}"/>
    <hyperlink ref="P1828" r:id="rId1209" location=":~:text=Volatility%20Managed" display="https://markets.ft.com/data/funds/tearsheet/summary?s=GB00BFBFYQ25:GBP - :~:text=Volatility%20Managed" xr:uid="{B33DA4BA-9763-4F5E-B285-AA7093E8588D}"/>
    <hyperlink ref="P1851:P1852" r:id="rId1210" location=":~:text=Volatility%20Managed" display="https://markets.ft.com/data/funds/tearsheet/summary?s=GB00BFBFYQ25:GBP - :~:text=Volatility%20Managed" xr:uid="{FEAC42DA-01F4-43E4-A014-0E5C313AFD62}"/>
    <hyperlink ref="P1891" r:id="rId1211" location=":~:text=Volatility%20Managed" display="https://markets.ft.com/data/funds/tearsheet/summary?s=GB00BFBFYQ25:GBP - :~:text=Volatility%20Managed" xr:uid="{540BCE4D-6ACE-4876-8632-EBCFCA9008EC}"/>
    <hyperlink ref="P2210" r:id="rId1212" location=":~:text=Volatility%20Managed" display="https://markets.ft.com/data/funds/tearsheet/summary?s=GB00BFBFYQ25:GBP - :~:text=Volatility%20Managed" xr:uid="{6EBC7CCB-84DE-4AD4-AF51-125843875254}"/>
    <hyperlink ref="P2231" r:id="rId1213" location=":~:text=Volatility%20Managed" display="https://markets.ft.com/data/funds/tearsheet/summary?s=GB00BFBFYQ25:GBP - :~:text=Volatility%20Managed" xr:uid="{197CEAA9-CAB6-4217-A2A3-E656343D4CA4}"/>
    <hyperlink ref="P2233" r:id="rId1214" location=":~:text=Volatility%20Managed" display="https://markets.ft.com/data/funds/tearsheet/summary?s=GB00BFBFYQ25:GBP - :~:text=Volatility%20Managed" xr:uid="{3C11848A-0FD0-4216-96B8-8E74787601C4}"/>
    <hyperlink ref="P2271" r:id="rId1215" location=":~:text=Volatility%20Managed" display="https://markets.ft.com/data/funds/tearsheet/summary?s=GB00BFBFYQ25:GBP - :~:text=Volatility%20Managed" xr:uid="{BAF94299-C30F-411A-8532-C4752D3B9DB8}"/>
    <hyperlink ref="P2321" r:id="rId1216" location=":~:text=Volatility%20Managed" display="https://markets.ft.com/data/funds/tearsheet/summary?s=GB00BFBFYQ25:GBP - :~:text=Volatility%20Managed" xr:uid="{6C91F20F-A05F-408E-AFD1-B119260EE2E3}"/>
    <hyperlink ref="P2332" r:id="rId1217" location=":~:text=Volatility%20Managed" display="https://markets.ft.com/data/funds/tearsheet/summary?s=GB00BFBFYQ25:GBP - :~:text=Volatility%20Managed" xr:uid="{B8C6C03F-8DDC-4D07-9A3F-B2EC87B8F20D}"/>
    <hyperlink ref="P2413" r:id="rId1218" location=":~:text=Volatility%20Managed" display="https://markets.ft.com/data/funds/tearsheet/summary?s=GB00BFBFYQ25:GBP - :~:text=Volatility%20Managed" xr:uid="{CF5EDC58-5D9E-4ACC-BE0F-B8C1659DCF42}"/>
    <hyperlink ref="P2421" r:id="rId1219" location=":~:text=Volatility%20Managed" display="https://markets.ft.com/data/funds/tearsheet/summary?s=GB00BFBFYQ25:GBP - :~:text=Volatility%20Managed" xr:uid="{FC418C0F-C8B4-4B33-BBE2-6736E3C01C1E}"/>
    <hyperlink ref="P2423" r:id="rId1220" location=":~:text=Volatility%20Managed" display="https://markets.ft.com/data/funds/tearsheet/summary?s=GB00BFBFYQ25:GBP - :~:text=Volatility%20Managed" xr:uid="{C175F37B-12FF-420B-80D8-FA706F139F55}"/>
    <hyperlink ref="P2451" r:id="rId1221" location=":~:text=Volatility%20Managed" display="https://markets.ft.com/data/funds/tearsheet/summary?s=GB00BFBFYQ25:GBP - :~:text=Volatility%20Managed" xr:uid="{58D9E225-06C4-4B55-91CE-D841BD9F93D5}"/>
    <hyperlink ref="P2474:P2475" r:id="rId1222" location=":~:text=Volatility%20Managed" display="https://markets.ft.com/data/funds/tearsheet/summary?s=GB00BFBFYQ25:GBP - :~:text=Volatility%20Managed" xr:uid="{CB29EDD7-61B0-472B-9A9B-E48B981E013A}"/>
    <hyperlink ref="P2500" r:id="rId1223" location=":~:text=Volatility%20Managed" display="https://markets.ft.com/data/funds/tearsheet/summary?s=GB00BFBFYQ25:GBP - :~:text=Volatility%20Managed" xr:uid="{763A6AAA-7EB5-48A0-B997-5605D4D38E86}"/>
    <hyperlink ref="P2528" r:id="rId1224" location=":~:text=Volatility%20Managed" display="https://markets.ft.com/data/funds/tearsheet/summary?s=GB00BFBFYQ25:GBP - :~:text=Volatility%20Managed" xr:uid="{747F6073-8377-40F8-BBAB-4EE45B9A1FFC}"/>
    <hyperlink ref="P2539" r:id="rId1225" location=":~:text=Volatility%20Managed" display="https://markets.ft.com/data/funds/tearsheet/summary?s=GB00BFBFYQ25:GBP - :~:text=Volatility%20Managed" xr:uid="{C520B0D9-4C5A-4B6F-A698-BB4BA750F5C9}"/>
    <hyperlink ref="P2549" r:id="rId1226" location=":~:text=Volatility%20Managed" display="https://markets.ft.com/data/funds/tearsheet/summary?s=GB00BFBFYQ25:GBP - :~:text=Volatility%20Managed" xr:uid="{6186FEBB-3B9B-49DA-A6D5-D3BD899E003D}"/>
    <hyperlink ref="P2586" r:id="rId1227" location=":~:text=Volatility%20Managed" display="https://markets.ft.com/data/funds/tearsheet/summary?s=GB00BFBFYQ25:GBP - :~:text=Volatility%20Managed" xr:uid="{D80BA130-020E-482D-A345-3B252ACA9409}"/>
    <hyperlink ref="P2588" r:id="rId1228" location=":~:text=Volatility%20Managed" display="https://markets.ft.com/data/funds/tearsheet/summary?s=GB00BFBFYQ25:GBP - :~:text=Volatility%20Managed" xr:uid="{D887BA1B-55FE-42F3-9A2E-9268F5094D51}"/>
    <hyperlink ref="P2601" r:id="rId1229" location=":~:text=Volatility%20Managed" display="https://markets.ft.com/data/funds/tearsheet/summary?s=GB00BFBFYQ25:GBP - :~:text=Volatility%20Managed" xr:uid="{427D32EE-E444-47B4-90E7-F726EADFFC7B}"/>
    <hyperlink ref="P2614" r:id="rId1230" location=":~:text=Volatility%20Managed" display="https://markets.ft.com/data/funds/tearsheet/summary?s=GB00BFBFYQ25:GBP - :~:text=Volatility%20Managed" xr:uid="{6AFD2BF4-23CD-4696-8DCE-C5A61E610BC1}"/>
    <hyperlink ref="P2625" r:id="rId1231" location=":~:text=Volatility%20Managed" display="https://markets.ft.com/data/funds/tearsheet/summary?s=GB00BFBFYQ25:GBP - :~:text=Volatility%20Managed" xr:uid="{49A2232E-229B-43AC-9285-E61CED872FE0}"/>
    <hyperlink ref="P2641" r:id="rId1232" location=":~:text=Volatility%20Managed" display="https://markets.ft.com/data/funds/tearsheet/summary?s=GB00BFBFYQ25:GBP - :~:text=Volatility%20Managed" xr:uid="{AF5E5834-784C-4D1C-A0ED-E472143BCA2E}"/>
    <hyperlink ref="P2647" r:id="rId1233" location=":~:text=Volatility%20Managed" display="https://markets.ft.com/data/funds/tearsheet/summary?s=GB00BFBFYQ25:GBP - :~:text=Volatility%20Managed" xr:uid="{A38AB1F5-164E-49C4-A904-F8246289BAC7}"/>
    <hyperlink ref="P2816" r:id="rId1234" location=":~:text=Volatility%20Managed" display="https://markets.ft.com/data/funds/tearsheet/summary?s=GB00BFBFYQ25:GBP - :~:text=Volatility%20Managed" xr:uid="{B11413BD-E60E-49A5-BB3C-8CC95BE7FFA7}"/>
    <hyperlink ref="P2923" r:id="rId1235" location=":~:text=Volatility%20Managed" display="https://markets.ft.com/data/funds/tearsheet/summary?s=GB00BFBFYQ25:GBP - :~:text=Volatility%20Managed" xr:uid="{76DB2FF9-5EDA-402A-9445-3106F10F7D7B}"/>
    <hyperlink ref="P2965" r:id="rId1236" location=":~:text=Volatility%20Managed" display="https://markets.ft.com/data/funds/tearsheet/summary?s=GB00BFBFYQ25:GBP - :~:text=Volatility%20Managed" xr:uid="{F42B32A8-0266-4303-AD0F-F3840B52B3E8}"/>
    <hyperlink ref="P2967" r:id="rId1237" location=":~:text=Volatility%20Managed" display="https://markets.ft.com/data/funds/tearsheet/summary?s=GB00BFBFYQ25:GBP - :~:text=Volatility%20Managed" xr:uid="{946025E4-6BEE-4559-8E08-A48422BBDE00}"/>
    <hyperlink ref="P2971" r:id="rId1238" location=":~:text=Volatility%20Managed" display="https://markets.ft.com/data/funds/tearsheet/summary?s=GB00BFBFYQ25:GBP - :~:text=Volatility%20Managed" xr:uid="{AD24EED5-145C-4A45-9877-11FE63D7E689}"/>
    <hyperlink ref="P2975" r:id="rId1239" location=":~:text=Volatility%20Managed" display="https://markets.ft.com/data/funds/tearsheet/summary?s=GB00BFBFYQ25:GBP - :~:text=Volatility%20Managed" xr:uid="{733DF1D2-0DCE-4ECF-81A3-6B1633F269C3}"/>
    <hyperlink ref="P2985" r:id="rId1240" location=":~:text=Volatility%20Managed" display="https://markets.ft.com/data/funds/tearsheet/summary?s=GB00BFBFYQ25:GBP - :~:text=Volatility%20Managed" xr:uid="{B210ECFA-5D1F-46DA-9AFC-47BF784F14A2}"/>
    <hyperlink ref="P2998" r:id="rId1241" location=":~:text=Volatility%20Managed" display="https://markets.ft.com/data/funds/tearsheet/summary?s=GB00BFBFYQ25:GBP - :~:text=Volatility%20Managed" xr:uid="{5DC8E061-D24B-49B8-9172-7D79213681D2}"/>
    <hyperlink ref="P3049" r:id="rId1242" location=":~:text=Volatility%20Managed" display="https://markets.ft.com/data/funds/tearsheet/summary?s=GB00BFBFYQ25:GBP - :~:text=Volatility%20Managed" xr:uid="{B2CCE75F-3A57-46EE-B076-E4CF02D4EB38}"/>
    <hyperlink ref="P3057" r:id="rId1243" location=":~:text=Volatility%20Managed" display="https://markets.ft.com/data/funds/tearsheet/summary?s=GB00BFBFYQ25:GBP - :~:text=Volatility%20Managed" xr:uid="{961363C6-D87C-4BDC-84B7-BF4786D44DF0}"/>
    <hyperlink ref="P3071" r:id="rId1244" location=":~:text=Volatility%20Managed" display="https://markets.ft.com/data/funds/tearsheet/summary?s=GB00BFBFYQ25:GBP - :~:text=Volatility%20Managed" xr:uid="{41867479-B6C4-4617-8694-F2D0215C8BD7}"/>
    <hyperlink ref="P3249" r:id="rId1245" location=":~:text=Volatility%20Managed" display="https://markets.ft.com/data/funds/tearsheet/summary?s=GB00BFBFYQ25:GBP - :~:text=Volatility%20Managed" xr:uid="{768CAD80-B2C4-425C-8EA2-9EC6CEA1EE30}"/>
    <hyperlink ref="P3265" r:id="rId1246" location=":~:text=Volatility%20Managed" display="https://markets.ft.com/data/funds/tearsheet/summary?s=GB00BFBFYQ25:GBP - :~:text=Volatility%20Managed" xr:uid="{00BF6D94-FB06-4F59-9AC9-CD82CB8B44FC}"/>
    <hyperlink ref="P3314" r:id="rId1247" location=":~:text=Volatility%20Managed" display="https://markets.ft.com/data/funds/tearsheet/summary?s=GB00BFBFYQ25:GBP - :~:text=Volatility%20Managed" xr:uid="{F2F3C4A8-D8BC-4934-9BFA-2529C5330B65}"/>
    <hyperlink ref="P3338" r:id="rId1248" location=":~:text=Volatility%20Managed" display="https://markets.ft.com/data/funds/tearsheet/summary?s=GB00BFBFYQ25:GBP - :~:text=Volatility%20Managed" xr:uid="{39B497D2-C491-4176-9E75-E8AB0BE85244}"/>
    <hyperlink ref="P3365" r:id="rId1249" location=":~:text=Volatility%20Managed" display="https://markets.ft.com/data/funds/tearsheet/summary?s=GB00BFBFYQ25:GBP - :~:text=Volatility%20Managed" xr:uid="{FE94F0E5-3FF8-47D8-BC03-19BA60613942}"/>
    <hyperlink ref="P3371" r:id="rId1250" location=":~:text=Volatility%20Managed" display="https://markets.ft.com/data/funds/tearsheet/summary?s=GB00BFBFYQ25:GBP - :~:text=Volatility%20Managed" xr:uid="{046E9648-4323-4562-9153-CF9780ACF8D1}"/>
    <hyperlink ref="P3388" r:id="rId1251" location=":~:text=Volatility%20Managed" display="https://markets.ft.com/data/funds/tearsheet/summary?s=GB00BFBFYQ25:GBP - :~:text=Volatility%20Managed" xr:uid="{F1A951EE-15CE-4D0B-B20F-FA1D68E24638}"/>
    <hyperlink ref="P3419" r:id="rId1252" location=":~:text=Volatility%20Managed" display="https://markets.ft.com/data/funds/tearsheet/summary?s=GB00BFBFYQ25:GBP - :~:text=Volatility%20Managed" xr:uid="{A6DA078F-F60E-47F0-B2C1-E81836C86DD9}"/>
    <hyperlink ref="P3436" r:id="rId1253" location=":~:text=Volatility%20Managed" display="https://markets.ft.com/data/funds/tearsheet/summary?s=GB00BFBFYQ25:GBP - :~:text=Volatility%20Managed" xr:uid="{7AC66822-107D-4E24-B303-3D3F9C4F316F}"/>
    <hyperlink ref="P3520" r:id="rId1254" location=":~:text=Volatility%20Managed" display="https://markets.ft.com/data/funds/tearsheet/summary?s=GB00BFBFYQ25:GBP - :~:text=Volatility%20Managed" xr:uid="{0720B1C2-8BB4-4CB0-8AB7-853303FE8CA6}"/>
    <hyperlink ref="P3578" r:id="rId1255" location=":~:text=Volatility%20Managed" display="https://markets.ft.com/data/funds/tearsheet/summary?s=GB00BFBFYQ25:GBP - :~:text=Volatility%20Managed" xr:uid="{53BDA5E5-6173-4E1C-B0CD-513702531D7E}"/>
    <hyperlink ref="P3582" r:id="rId1256" location=":~:text=Volatility%20Managed" display="https://markets.ft.com/data/funds/tearsheet/summary?s=GB00BFBFYQ25:GBP - :~:text=Volatility%20Managed" xr:uid="{C8E78DEF-B724-438A-87FF-FB0A1E4B4331}"/>
    <hyperlink ref="P3587" r:id="rId1257" location=":~:text=Volatility%20Managed" display="https://markets.ft.com/data/funds/tearsheet/summary?s=GB00BFBFYQ25:GBP - :~:text=Volatility%20Managed" xr:uid="{A0A66790-C1E2-4E3B-9AE4-B15B62151286}"/>
    <hyperlink ref="P3631" r:id="rId1258" location=":~:text=Volatility%20Managed" display="https://markets.ft.com/data/funds/tearsheet/summary?s=GB00BFBFYQ25:GBP - :~:text=Volatility%20Managed" xr:uid="{D8D433C2-F4EB-4DBF-9509-97D8B3D559A3}"/>
    <hyperlink ref="P3691" r:id="rId1259" location=":~:text=Volatility%20Managed" display="https://markets.ft.com/data/funds/tearsheet/summary?s=GB00BFBFYQ25:GBP - :~:text=Volatility%20Managed" xr:uid="{1637C747-0BAD-429F-AFB6-A6957FFF75EA}"/>
    <hyperlink ref="P3707" r:id="rId1260" location=":~:text=Volatility%20Managed" display="https://markets.ft.com/data/funds/tearsheet/summary?s=GB00BFBFYQ25:GBP - :~:text=Volatility%20Managed" xr:uid="{84AFD241-4202-4F57-8199-F53DF846813B}"/>
    <hyperlink ref="P3745" r:id="rId1261" location=":~:text=Volatility%20Managed" display="https://markets.ft.com/data/funds/tearsheet/summary?s=GB00BFBFYQ25:GBP - :~:text=Volatility%20Managed" xr:uid="{F91E392B-3CA3-433F-9988-B2D80F676E78}"/>
    <hyperlink ref="P3749" r:id="rId1262" location=":~:text=Volatility%20Managed" display="https://markets.ft.com/data/funds/tearsheet/summary?s=GB00BFBFYQ25:GBP - :~:text=Volatility%20Managed" xr:uid="{8868D992-9AE0-4A24-8CB7-0DAFED847BBF}"/>
    <hyperlink ref="P3776" r:id="rId1263" location=":~:text=Volatility%20Managed" display="https://markets.ft.com/data/funds/tearsheet/summary?s=GB00BFBFYQ25:GBP - :~:text=Volatility%20Managed" xr:uid="{25E59F4D-C900-4902-9382-3E2E51FFEE12}"/>
    <hyperlink ref="P3822" r:id="rId1264" location=":~:text=Volatility%20Managed" display="https://markets.ft.com/data/funds/tearsheet/summary?s=GB00BFBFYQ25:GBP - :~:text=Volatility%20Managed" xr:uid="{9AB82B39-FC7E-4D68-AF7B-93D7446F7C50}"/>
    <hyperlink ref="P3838" r:id="rId1265" location=":~:text=Volatility%20Managed" display="https://markets.ft.com/data/funds/tearsheet/summary?s=GB00BFBFYQ25:GBP - :~:text=Volatility%20Managed" xr:uid="{5646E229-C73C-40AC-A914-2CEE818C4AA5}"/>
    <hyperlink ref="P3882" r:id="rId1266" location=":~:text=Volatility%20Managed" display="https://markets.ft.com/data/funds/tearsheet/summary?s=GB00BFBFYQ25:GBP - :~:text=Volatility%20Managed" xr:uid="{36F2C232-9877-4649-9264-276384CB739F}"/>
    <hyperlink ref="P3911" r:id="rId1267" location=":~:text=Volatility%20Managed" display="https://markets.ft.com/data/funds/tearsheet/summary?s=GB00BFBFYQ25:GBP - :~:text=Volatility%20Managed" xr:uid="{8A639A9B-2E15-4FB7-A8F1-16C74A4294F5}"/>
    <hyperlink ref="P3944" r:id="rId1268" location=":~:text=Volatility%20Managed" display="https://markets.ft.com/data/funds/tearsheet/summary?s=GB00BFBFYQ25:GBP - :~:text=Volatility%20Managed" xr:uid="{E73FCD8B-72AA-49D8-8393-2D818D552863}"/>
    <hyperlink ref="P3950" r:id="rId1269" location=":~:text=Volatility%20Managed" display="https://markets.ft.com/data/funds/tearsheet/summary?s=GB00BFBFYQ25:GBP - :~:text=Volatility%20Managed" xr:uid="{FDFFABF7-87FE-4083-919E-92FEF25D1BE3}"/>
    <hyperlink ref="P3982" r:id="rId1270" location=":~:text=Volatility%20Managed" display="https://markets.ft.com/data/funds/tearsheet/summary?s=GB00BFBFYQ25:GBP - :~:text=Volatility%20Managed" xr:uid="{4025CF67-F609-4554-ADA3-F7535D4086AE}"/>
    <hyperlink ref="P4021" r:id="rId1271" location=":~:text=Volatility%20Managed" display="https://markets.ft.com/data/funds/tearsheet/summary?s=GB00BFBFYQ25:GBP - :~:text=Volatility%20Managed" xr:uid="{D34098C0-E1EA-4B83-9A8E-DEDFC1EBF12C}"/>
    <hyperlink ref="P4040" r:id="rId1272" location=":~:text=Volatility%20Managed" display="https://markets.ft.com/data/funds/tearsheet/summary?s=GB00BFBFYQ25:GBP - :~:text=Volatility%20Managed" xr:uid="{04810CAE-F329-48B1-A5F2-AD14FF722B27}"/>
    <hyperlink ref="P4075" r:id="rId1273" location=":~:text=Volatility%20Managed" display="https://markets.ft.com/data/funds/tearsheet/summary?s=GB00BFBFYQ25:GBP - :~:text=Volatility%20Managed" xr:uid="{DBAB3DAD-9050-4074-BE3C-B6D3BDA71FC4}"/>
    <hyperlink ref="P4101" r:id="rId1274" location=":~:text=Volatility%20Managed" display="https://markets.ft.com/data/funds/tearsheet/summary?s=GB00BFBFYQ25:GBP - :~:text=Volatility%20Managed" xr:uid="{8AFF26BA-A5BF-4772-A44E-087908F69BD4}"/>
    <hyperlink ref="P4204" r:id="rId1275" location=":~:text=Volatility%20Managed" display="https://markets.ft.com/data/funds/tearsheet/summary?s=GB00BFBFYQ25:GBP - :~:text=Volatility%20Managed" xr:uid="{F1FA4F35-F82B-41E8-8388-17DC5111565A}"/>
    <hyperlink ref="P4206" r:id="rId1276" location=":~:text=Volatility%20Managed" display="https://markets.ft.com/data/funds/tearsheet/summary?s=GB00BFBFYQ25:GBP - :~:text=Volatility%20Managed" xr:uid="{DFEA9C8E-018C-43F0-8DF0-95E49F5B1ADC}"/>
    <hyperlink ref="P4212" r:id="rId1277" location=":~:text=Volatility%20Managed" display="https://markets.ft.com/data/funds/tearsheet/summary?s=GB00BFBFYQ25:GBP - :~:text=Volatility%20Managed" xr:uid="{77560454-F242-4350-A760-FB6ADB67B42B}"/>
    <hyperlink ref="P4227" r:id="rId1278" location=":~:text=Volatility%20Managed" display="https://markets.ft.com/data/funds/tearsheet/summary?s=GB00BFBFYQ25:GBP - :~:text=Volatility%20Managed" xr:uid="{DE52B5A6-38AD-4BB0-946C-73E812DA2CF7}"/>
    <hyperlink ref="P4340" r:id="rId1279" location=":~:text=Volatility%20Managed" display="https://markets.ft.com/data/funds/tearsheet/summary?s=GB00BFBFYQ25:GBP - :~:text=Volatility%20Managed" xr:uid="{5717C8FA-EDFB-4171-AB93-C1E87B95565F}"/>
    <hyperlink ref="P4356" r:id="rId1280" location=":~:text=Volatility%20Managed" display="https://markets.ft.com/data/funds/tearsheet/summary?s=GB00BFBFYQ25:GBP - :~:text=Volatility%20Managed" xr:uid="{6DB9592A-FB3A-49B2-8BBA-B854F99296DF}"/>
    <hyperlink ref="P4363" r:id="rId1281" location=":~:text=Volatility%20Managed" display="https://markets.ft.com/data/funds/tearsheet/summary?s=GB00BFBFYQ25:GBP - :~:text=Volatility%20Managed" xr:uid="{78929BA6-B700-4C8E-9A7A-F0A306D15191}"/>
    <hyperlink ref="P4370" r:id="rId1282" location=":~:text=Volatility%20Managed" display="https://markets.ft.com/data/funds/tearsheet/summary?s=GB00BFBFYQ25:GBP - :~:text=Volatility%20Managed" xr:uid="{B3A8CFAE-9781-4C2F-AABE-132677BCF625}"/>
    <hyperlink ref="P4379" r:id="rId1283" location=":~:text=Volatility%20Managed" display="https://markets.ft.com/data/funds/tearsheet/summary?s=GB00BFBFYQ25:GBP - :~:text=Volatility%20Managed" xr:uid="{980B3789-E4A6-4A92-9533-8786B4C82628}"/>
    <hyperlink ref="P4447" r:id="rId1284" location=":~:text=Volatility%20Managed" display="https://markets.ft.com/data/funds/tearsheet/summary?s=GB00BFBFYQ25:GBP - :~:text=Volatility%20Managed" xr:uid="{7690017C-6ECF-4EEA-87C4-5D4084A53360}"/>
    <hyperlink ref="P4476" r:id="rId1285" location=":~:text=Volatility%20Managed" display="https://markets.ft.com/data/funds/tearsheet/summary?s=GB00BFBFYQ25:GBP - :~:text=Volatility%20Managed" xr:uid="{BE028612-63A6-47F6-9877-D3D95538682B}"/>
    <hyperlink ref="P4485" r:id="rId1286" location=":~:text=Volatility%20Managed" display="https://markets.ft.com/data/funds/tearsheet/summary?s=GB00BFBFYQ25:GBP - :~:text=Volatility%20Managed" xr:uid="{89529E48-2DF2-40AB-9E9B-3A3C2A37AD2A}"/>
    <hyperlink ref="P4533" r:id="rId1287" location=":~:text=Volatility%20Managed" display="https://markets.ft.com/data/funds/tearsheet/summary?s=GB00BFBFYQ25:GBP - :~:text=Volatility%20Managed" xr:uid="{6A3F5F86-BA84-485C-AF04-BE6F2D5060F5}"/>
    <hyperlink ref="P4543" r:id="rId1288" location=":~:text=Volatility%20Managed" display="https://markets.ft.com/data/funds/tearsheet/summary?s=GB00BFBFYQ25:GBP - :~:text=Volatility%20Managed" xr:uid="{E72D6FED-3DE5-471A-BE8F-C70B16DBB0DE}"/>
    <hyperlink ref="P4563" r:id="rId1289" location=":~:text=Volatility%20Managed" display="https://markets.ft.com/data/funds/tearsheet/summary?s=GB00BFBFYQ25:GBP - :~:text=Volatility%20Managed" xr:uid="{0E6E9F08-A911-495B-8226-C88CEC665DE1}"/>
    <hyperlink ref="P4574" r:id="rId1290" location=":~:text=Volatility%20Managed" display="https://markets.ft.com/data/funds/tearsheet/summary?s=GB00BFBFYQ25:GBP - :~:text=Volatility%20Managed" xr:uid="{0538808C-5DE7-48E3-B99A-13EDE9AFC132}"/>
    <hyperlink ref="P4577:P4578" r:id="rId1291" location=":~:text=Volatility%20Managed" display="https://markets.ft.com/data/funds/tearsheet/summary?s=GB00BFBFYQ25:GBP - :~:text=Volatility%20Managed" xr:uid="{D391E3D8-AF26-4E2D-930E-075FB257C6FC}"/>
    <hyperlink ref="P4593:P4594" r:id="rId1292" location=":~:text=Volatility%20Managed" display="https://markets.ft.com/data/funds/tearsheet/summary?s=GB00BFBFYQ25:GBP - :~:text=Volatility%20Managed" xr:uid="{E8BCDB40-8839-44E5-8219-622DB3CB0349}"/>
    <hyperlink ref="P4607" r:id="rId1293" location=":~:text=Volatility%20Managed" display="https://markets.ft.com/data/funds/tearsheet/summary?s=GB00BFBFYQ25:GBP - :~:text=Volatility%20Managed" xr:uid="{616BCB64-5988-424E-BDC4-85358F660163}"/>
    <hyperlink ref="P4637" r:id="rId1294" location=":~:text=Volatility%20Managed" display="https://markets.ft.com/data/funds/tearsheet/summary?s=GB00BFBFYQ25:GBP - :~:text=Volatility%20Managed" xr:uid="{CE12AFF7-BC0D-437D-913C-C44632006D87}"/>
    <hyperlink ref="P4687" r:id="rId1295" location=":~:text=Volatility%20Managed" display="https://markets.ft.com/data/funds/tearsheet/summary?s=GB00BFBFYQ25:GBP - :~:text=Volatility%20Managed" xr:uid="{49BD1B69-F4B7-4A3B-B846-E36F106A871E}"/>
    <hyperlink ref="P4704" r:id="rId1296" location=":~:text=Volatility%20Managed" display="https://markets.ft.com/data/funds/tearsheet/summary?s=GB00BFBFYQ25:GBP - :~:text=Volatility%20Managed" xr:uid="{54EB695A-76E6-4C97-903C-81662182D267}"/>
    <hyperlink ref="P4753" r:id="rId1297" location=":~:text=Volatility%20Managed" display="https://markets.ft.com/data/funds/tearsheet/summary?s=GB00BFBFYQ25:GBP - :~:text=Volatility%20Managed" xr:uid="{1016C9C2-AE70-47BB-837C-89B79C6E49C4}"/>
    <hyperlink ref="P4764" r:id="rId1298" location=":~:text=Volatility%20Managed" display="https://markets.ft.com/data/funds/tearsheet/summary?s=GB00BFBFYQ25:GBP - :~:text=Volatility%20Managed" xr:uid="{1EA7AD49-AEEF-4A72-9623-2ACD35FC1132}"/>
    <hyperlink ref="P4772" r:id="rId1299" location=":~:text=Volatility%20Managed" display="https://markets.ft.com/data/funds/tearsheet/summary?s=GB00BFBFYQ25:GBP - :~:text=Volatility%20Managed" xr:uid="{BD6DA74A-CF6D-49FD-AB15-0F869443C51B}"/>
    <hyperlink ref="P4782" r:id="rId1300" location=":~:text=Volatility%20Managed" display="https://markets.ft.com/data/funds/tearsheet/summary?s=GB00BFBFYQ25:GBP - :~:text=Volatility%20Managed" xr:uid="{410A0136-819A-4F51-B3DA-20EF50BAB926}"/>
    <hyperlink ref="P4793" r:id="rId1301" location=":~:text=Volatility%20Managed" display="https://markets.ft.com/data/funds/tearsheet/summary?s=GB00BFBFYQ25:GBP - :~:text=Volatility%20Managed" xr:uid="{FC407BB2-00D7-402C-A534-C344400ABFF9}"/>
    <hyperlink ref="P4802" r:id="rId1302" location=":~:text=Volatility%20Managed" display="https://markets.ft.com/data/funds/tearsheet/summary?s=GB00BFBFYQ25:GBP - :~:text=Volatility%20Managed" xr:uid="{4C08E412-777C-44A7-80FD-C033A14F1E41}"/>
    <hyperlink ref="P4988" r:id="rId1303" location=":~:text=Volatility%20Managed" display="https://markets.ft.com/data/funds/tearsheet/summary?s=GB00BFBFYQ25:GBP - :~:text=Volatility%20Managed" xr:uid="{0BD9631A-53F8-4053-9A4A-763DF24C7B65}"/>
    <hyperlink ref="P5004" r:id="rId1304" location=":~:text=Volatility%20Managed" display="https://markets.ft.com/data/funds/tearsheet/summary?s=GB00BFBFYQ25:GBP - :~:text=Volatility%20Managed" xr:uid="{09E7CB6A-8630-4F62-8A18-D2CE46402234}"/>
    <hyperlink ref="P5009" r:id="rId1305" location=":~:text=Volatility%20Managed" display="https://markets.ft.com/data/funds/tearsheet/summary?s=GB00BFBFYQ25:GBP - :~:text=Volatility%20Managed" xr:uid="{FAF7669F-5824-4DE9-88FA-08F0110FD5D6}"/>
    <hyperlink ref="P5028" r:id="rId1306" location=":~:text=Volatility%20Managed" display="https://markets.ft.com/data/funds/tearsheet/summary?s=GB00BFBFYQ25:GBP - :~:text=Volatility%20Managed" xr:uid="{280BCFD8-418F-4543-B619-F101C77BD6DB}"/>
    <hyperlink ref="P5127" r:id="rId1307" location=":~:text=Volatility%20Managed" display="https://markets.ft.com/data/funds/tearsheet/summary?s=GB00BFBFYQ25:GBP - :~:text=Volatility%20Managed" xr:uid="{2AFFCBE3-EF5D-4F05-AA88-AD2739752C1D}"/>
    <hyperlink ref="P5137:P5138" r:id="rId1308" location=":~:text=Volatility%20Managed" display="https://markets.ft.com/data/funds/tearsheet/summary?s=GB00BFBFYQ25:GBP - :~:text=Volatility%20Managed" xr:uid="{F0E96D6D-C131-4A37-AEB8-0892167E912C}"/>
    <hyperlink ref="P5146" r:id="rId1309" location=":~:text=Volatility%20Managed" display="https://markets.ft.com/data/funds/tearsheet/summary?s=GB00BFBFYQ25:GBP - :~:text=Volatility%20Managed" xr:uid="{2F3D1D26-4C0E-4F6A-8E46-134538B387C2}"/>
    <hyperlink ref="P5173" r:id="rId1310" location=":~:text=Volatility%20Managed" display="https://markets.ft.com/data/funds/tearsheet/summary?s=GB00BFBFYQ25:GBP - :~:text=Volatility%20Managed" xr:uid="{0A1C6BD0-E723-4CBC-B452-69A9F343E91A}"/>
    <hyperlink ref="P5205" r:id="rId1311" location=":~:text=Volatility%20Managed" display="https://markets.ft.com/data/funds/tearsheet/summary?s=GB00BFBFYQ25:GBP - :~:text=Volatility%20Managed" xr:uid="{266C8417-4A7A-4AB7-AC28-72A58260F6CD}"/>
    <hyperlink ref="P5212" r:id="rId1312" location=":~:text=Volatility%20Managed" display="https://markets.ft.com/data/funds/tearsheet/summary?s=GB00BFBFYQ25:GBP - :~:text=Volatility%20Managed" xr:uid="{ACBCFE65-64DB-4802-A882-0CBDBF88D469}"/>
    <hyperlink ref="P5224" r:id="rId1313" location=":~:text=Volatility%20Managed" display="https://markets.ft.com/data/funds/tearsheet/summary?s=GB00BFBFYQ25:GBP - :~:text=Volatility%20Managed" xr:uid="{0646FB33-0409-4DD2-9993-D0181C1A234A}"/>
    <hyperlink ref="P5243" r:id="rId1314" location=":~:text=Volatility%20Managed" display="https://markets.ft.com/data/funds/tearsheet/summary?s=GB00BFBFYQ25:GBP - :~:text=Volatility%20Managed" xr:uid="{207EC9A4-0948-4A31-8C52-33BB96A9F44C}"/>
    <hyperlink ref="P5248" r:id="rId1315" location=":~:text=Volatility%20Managed" display="https://markets.ft.com/data/funds/tearsheet/summary?s=GB00BFBFYQ25:GBP - :~:text=Volatility%20Managed" xr:uid="{B5E690AB-8670-4971-BC34-B82E2120DAC9}"/>
    <hyperlink ref="P5259" r:id="rId1316" location=":~:text=Volatility%20Managed" display="https://markets.ft.com/data/funds/tearsheet/summary?s=GB00BFBFYQ25:GBP - :~:text=Volatility%20Managed" xr:uid="{F8B8605D-D620-49E8-8A73-C6CF7572B7DD}"/>
    <hyperlink ref="P5264" r:id="rId1317" location=":~:text=Volatility%20Managed" display="https://markets.ft.com/data/funds/tearsheet/summary?s=GB00BFBFYQ25:GBP - :~:text=Volatility%20Managed" xr:uid="{E6BB6FCB-FD64-415A-8483-17A3A5C41724}"/>
    <hyperlink ref="P5280" r:id="rId1318" location=":~:text=Volatility%20Managed" display="https://markets.ft.com/data/funds/tearsheet/summary?s=GB00BFBFYQ25:GBP - :~:text=Volatility%20Managed" xr:uid="{EA1727A0-67A7-432B-BC99-7FEA9246E370}"/>
    <hyperlink ref="P5308" r:id="rId1319" location=":~:text=Volatility%20Managed" display="https://markets.ft.com/data/funds/tearsheet/summary?s=GB00BFBFYQ25:GBP - :~:text=Volatility%20Managed" xr:uid="{C19CF3A0-224F-4517-8D55-6BCB9B72F8CA}"/>
    <hyperlink ref="P5313:P5314" r:id="rId1320" location=":~:text=Volatility%20Managed" display="https://markets.ft.com/data/funds/tearsheet/summary?s=GB00BFBFYQ25:GBP - :~:text=Volatility%20Managed" xr:uid="{3BB6FD94-125B-4984-A56A-E796D7D396F0}"/>
    <hyperlink ref="P5316" r:id="rId1321" location=":~:text=Volatility%20Managed" display="https://markets.ft.com/data/funds/tearsheet/summary?s=GB00BFBFYQ25:GBP - :~:text=Volatility%20Managed" xr:uid="{06425181-1F16-490E-9C90-C0350A6EF260}"/>
    <hyperlink ref="P5399" r:id="rId1322" location=":~:text=Volatility%20Managed" display="https://markets.ft.com/data/funds/tearsheet/summary?s=GB00BFBFYQ25:GBP - :~:text=Volatility%20Managed" xr:uid="{34ACDEEE-292D-421A-9E9B-8B7094DE04D9}"/>
    <hyperlink ref="P5420" r:id="rId1323" location=":~:text=Volatility%20Managed" display="https://markets.ft.com/data/funds/tearsheet/summary?s=GB00BFBFYQ25:GBP - :~:text=Volatility%20Managed" xr:uid="{686F52A7-9395-4851-A676-6967E4E27FFE}"/>
    <hyperlink ref="P5427" r:id="rId1324" location=":~:text=Volatility%20Managed" display="https://markets.ft.com/data/funds/tearsheet/summary?s=GB00BFBFYQ25:GBP - :~:text=Volatility%20Managed" xr:uid="{81718DE6-2A3B-416E-AB07-1A149CDFF221}"/>
    <hyperlink ref="P5445" r:id="rId1325" location=":~:text=Volatility%20Managed" display="https://markets.ft.com/data/funds/tearsheet/summary?s=GB00BFBFYQ25:GBP - :~:text=Volatility%20Managed" xr:uid="{614A75B3-AD07-4271-B705-0662E77AADA0}"/>
    <hyperlink ref="P5467" r:id="rId1326" location=":~:text=Volatility%20Managed" display="https://markets.ft.com/data/funds/tearsheet/summary?s=GB00BFBFYQ25:GBP - :~:text=Volatility%20Managed" xr:uid="{403F450C-B735-4988-A4F5-1D56C0E9D41E}"/>
    <hyperlink ref="P5480" r:id="rId1327" location=":~:text=Volatility%20Managed" display="https://markets.ft.com/data/funds/tearsheet/summary?s=GB00BFBFYQ25:GBP - :~:text=Volatility%20Managed" xr:uid="{028C924A-8F70-4AB4-AE9F-86229995D324}"/>
    <hyperlink ref="P5612:P5613" r:id="rId1328" location=":~:text=Volatility%20Managed" display="https://markets.ft.com/data/funds/tearsheet/summary?s=GB00BFBFYQ25:GBP - :~:text=Volatility%20Managed" xr:uid="{3936C4DF-33C1-4BB1-8783-8A2852B7B8A4}"/>
    <hyperlink ref="P5631:P5632" r:id="rId1329" location=":~:text=Volatility%20Managed" display="https://markets.ft.com/data/funds/tearsheet/summary?s=GB00BFBFYQ25:GBP - :~:text=Volatility%20Managed" xr:uid="{DE03B018-A659-4C51-BB1A-81DE63B48555}"/>
    <hyperlink ref="P5643" r:id="rId1330" location=":~:text=Volatility%20Managed" display="https://markets.ft.com/data/funds/tearsheet/summary?s=GB00BFBFYQ25:GBP - :~:text=Volatility%20Managed" xr:uid="{2AFBA684-968C-4977-88DF-92E4C67B0650}"/>
    <hyperlink ref="P5651" r:id="rId1331" location=":~:text=Volatility%20Managed" display="https://markets.ft.com/data/funds/tearsheet/summary?s=GB00BFBFYQ25:GBP - :~:text=Volatility%20Managed" xr:uid="{B3E70B56-5498-4F6A-A30C-0012E437DF08}"/>
  </hyperlinks>
  <pageMargins left="0.7" right="0.7" top="0.75" bottom="0.75" header="0.511811023622047" footer="0.511811023622047"/>
  <pageSetup paperSize="9" orientation="portrait" horizontalDpi="300" verticalDpi="300"/>
  <tableParts count="1">
    <tablePart r:id="rId133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824ED-B882-4A95-AFB2-321980886D1D}">
  <dimension ref="B12:T101"/>
  <sheetViews>
    <sheetView showGridLines="0" topLeftCell="A49" workbookViewId="0">
      <selection activeCell="O63" sqref="O63"/>
    </sheetView>
  </sheetViews>
  <sheetFormatPr defaultRowHeight="14.25" x14ac:dyDescent="0.45"/>
  <cols>
    <col min="6" max="6" width="4.46484375" bestFit="1" customWidth="1"/>
    <col min="7" max="7" width="11.9296875" customWidth="1"/>
    <col min="8" max="8" width="9.6640625" bestFit="1" customWidth="1"/>
    <col min="9" max="9" width="9.73046875" bestFit="1" customWidth="1"/>
    <col min="10" max="10" width="10.33203125" bestFit="1" customWidth="1"/>
    <col min="13" max="13" width="9.265625" bestFit="1" customWidth="1"/>
    <col min="14" max="14" width="7.53125" bestFit="1" customWidth="1"/>
  </cols>
  <sheetData>
    <row r="12" spans="7:20" ht="14.65" thickBot="1" x14ac:dyDescent="0.5"/>
    <row r="13" spans="7:20" ht="14.65" thickBot="1" x14ac:dyDescent="0.5">
      <c r="G13" s="76" t="s">
        <v>26931</v>
      </c>
      <c r="H13" s="77" t="s">
        <v>4</v>
      </c>
      <c r="I13" s="77" t="s">
        <v>26944</v>
      </c>
      <c r="J13" s="77" t="s">
        <v>26933</v>
      </c>
      <c r="K13" s="77" t="s">
        <v>26934</v>
      </c>
      <c r="L13" s="77" t="s">
        <v>26935</v>
      </c>
      <c r="M13" s="77" t="s">
        <v>26936</v>
      </c>
      <c r="N13" s="78" t="s">
        <v>26938</v>
      </c>
      <c r="T13" s="77"/>
    </row>
    <row r="14" spans="7:20" x14ac:dyDescent="0.45">
      <c r="G14" s="79" t="s">
        <v>9</v>
      </c>
      <c r="H14" s="80">
        <v>0</v>
      </c>
      <c r="I14" s="80">
        <v>237</v>
      </c>
      <c r="J14" s="81">
        <v>3.3470699999999999E-2</v>
      </c>
      <c r="K14" s="81">
        <v>1.0639E-3</v>
      </c>
      <c r="L14" s="81">
        <v>1.63781E-2</v>
      </c>
      <c r="M14" s="81">
        <v>4.7999999999999996E-3</v>
      </c>
      <c r="N14" s="82">
        <v>0.03</v>
      </c>
      <c r="T14" s="80"/>
    </row>
    <row r="15" spans="7:20" x14ac:dyDescent="0.45">
      <c r="G15" s="79" t="s">
        <v>26939</v>
      </c>
      <c r="H15" s="80">
        <v>1</v>
      </c>
      <c r="I15" s="80">
        <v>122</v>
      </c>
      <c r="J15" s="81">
        <v>3.0648999999999999E-2</v>
      </c>
      <c r="K15" s="81">
        <v>8.9760000000000003E-4</v>
      </c>
      <c r="L15" s="81">
        <v>9.9144000000000003E-3</v>
      </c>
      <c r="M15" s="81">
        <v>5.7999999999999996E-3</v>
      </c>
      <c r="N15" s="82">
        <v>2.8750000000000001E-2</v>
      </c>
      <c r="T15" s="80"/>
    </row>
    <row r="16" spans="7:20" x14ac:dyDescent="0.45">
      <c r="G16" s="79" t="s">
        <v>26939</v>
      </c>
      <c r="H16" s="80"/>
      <c r="I16" s="80"/>
      <c r="J16" s="81"/>
      <c r="K16" s="81"/>
      <c r="L16" s="81"/>
      <c r="M16" s="81"/>
      <c r="N16" s="82"/>
      <c r="T16" s="80"/>
    </row>
    <row r="17" spans="7:20" x14ac:dyDescent="0.45">
      <c r="G17" s="79" t="s">
        <v>26940</v>
      </c>
      <c r="H17" s="80">
        <v>0</v>
      </c>
      <c r="I17" s="80">
        <v>237</v>
      </c>
      <c r="J17" s="81">
        <v>3.5170699999999999E-2</v>
      </c>
      <c r="K17" s="81">
        <v>1.0639E-3</v>
      </c>
      <c r="L17" s="81">
        <v>1.63781E-2</v>
      </c>
      <c r="M17" s="81">
        <v>6.4999999999999997E-3</v>
      </c>
      <c r="N17" s="82">
        <v>3.1699999999999999E-2</v>
      </c>
      <c r="T17" s="80"/>
    </row>
    <row r="18" spans="7:20" x14ac:dyDescent="0.45">
      <c r="G18" s="79" t="s">
        <v>26939</v>
      </c>
      <c r="H18" s="80">
        <v>1</v>
      </c>
      <c r="I18" s="80">
        <v>122</v>
      </c>
      <c r="J18" s="81">
        <v>3.7682599999999997E-2</v>
      </c>
      <c r="K18" s="81">
        <v>8.5499999999999997E-4</v>
      </c>
      <c r="L18" s="81">
        <v>9.4442999999999992E-3</v>
      </c>
      <c r="M18" s="81">
        <v>1.375E-2</v>
      </c>
      <c r="N18" s="82">
        <v>3.6200000000000003E-2</v>
      </c>
      <c r="T18" s="80"/>
    </row>
    <row r="19" spans="7:20" x14ac:dyDescent="0.45">
      <c r="G19" s="79" t="s">
        <v>26939</v>
      </c>
      <c r="H19" s="80"/>
      <c r="I19" s="80"/>
      <c r="J19" s="81"/>
      <c r="K19" s="81"/>
      <c r="L19" s="81"/>
      <c r="M19" s="81"/>
      <c r="N19" s="82"/>
      <c r="T19" s="80"/>
    </row>
    <row r="20" spans="7:20" x14ac:dyDescent="0.45">
      <c r="G20" s="79" t="s">
        <v>5</v>
      </c>
      <c r="H20" s="80">
        <v>0</v>
      </c>
      <c r="I20" s="80">
        <v>237</v>
      </c>
      <c r="J20" s="81">
        <v>1.6999999999999999E-3</v>
      </c>
      <c r="K20" s="81">
        <v>0</v>
      </c>
      <c r="L20" s="81">
        <v>0</v>
      </c>
      <c r="M20" s="81">
        <v>1.6999999999999999E-3</v>
      </c>
      <c r="N20" s="82">
        <v>1.6999999999999999E-3</v>
      </c>
      <c r="T20" s="80"/>
    </row>
    <row r="21" spans="7:20" x14ac:dyDescent="0.45">
      <c r="G21" s="79" t="s">
        <v>26939</v>
      </c>
      <c r="H21" s="80">
        <v>1</v>
      </c>
      <c r="I21" s="80">
        <v>122</v>
      </c>
      <c r="J21" s="81">
        <v>7.0336000000000001E-3</v>
      </c>
      <c r="K21" s="81">
        <v>3.3510000000000001E-4</v>
      </c>
      <c r="L21" s="81">
        <v>3.7017999999999999E-3</v>
      </c>
      <c r="M21" s="81">
        <v>2.0999999999999999E-3</v>
      </c>
      <c r="N21" s="82">
        <v>5.6499999999999996E-3</v>
      </c>
      <c r="T21" s="80"/>
    </row>
    <row r="22" spans="7:20" x14ac:dyDescent="0.45">
      <c r="G22" s="79" t="s">
        <v>26939</v>
      </c>
      <c r="H22" s="80"/>
      <c r="I22" s="80"/>
      <c r="J22" s="81"/>
      <c r="K22" s="81"/>
      <c r="L22" s="81"/>
      <c r="M22" s="81"/>
      <c r="N22" s="82"/>
      <c r="T22" s="80"/>
    </row>
    <row r="23" spans="7:20" x14ac:dyDescent="0.45">
      <c r="G23" s="79" t="s">
        <v>26941</v>
      </c>
      <c r="H23" s="80">
        <v>0</v>
      </c>
      <c r="I23" s="80">
        <v>237</v>
      </c>
      <c r="J23" s="83">
        <v>3.5485199999999999</v>
      </c>
      <c r="K23" s="83">
        <v>8.4639900000000004E-2</v>
      </c>
      <c r="L23" s="83">
        <v>1.30301</v>
      </c>
      <c r="M23" s="83">
        <v>1</v>
      </c>
      <c r="N23" s="84">
        <v>4</v>
      </c>
      <c r="T23" s="80"/>
    </row>
    <row r="24" spans="7:20" ht="14.65" thickBot="1" x14ac:dyDescent="0.5">
      <c r="G24" s="79" t="s">
        <v>26939</v>
      </c>
      <c r="H24" s="80">
        <v>1</v>
      </c>
      <c r="I24" s="80">
        <v>122</v>
      </c>
      <c r="J24" s="83">
        <v>4.5409800000000002</v>
      </c>
      <c r="K24" s="83">
        <v>0.11472499999999999</v>
      </c>
      <c r="L24" s="83">
        <v>1.26718</v>
      </c>
      <c r="M24" s="83">
        <v>1</v>
      </c>
      <c r="N24" s="84">
        <v>5</v>
      </c>
      <c r="T24" s="80"/>
    </row>
    <row r="25" spans="7:20" ht="14.65" thickBot="1" x14ac:dyDescent="0.5">
      <c r="G25" s="76" t="s">
        <v>26931</v>
      </c>
      <c r="H25" s="77" t="s">
        <v>4</v>
      </c>
      <c r="I25" s="77" t="s">
        <v>26942</v>
      </c>
      <c r="J25" s="77" t="s">
        <v>26943</v>
      </c>
      <c r="K25" s="77"/>
      <c r="L25" s="77"/>
      <c r="M25" s="77"/>
      <c r="N25" s="78"/>
    </row>
    <row r="26" spans="7:20" x14ac:dyDescent="0.45">
      <c r="G26" s="79" t="s">
        <v>9</v>
      </c>
      <c r="H26" s="85">
        <v>0</v>
      </c>
      <c r="I26" s="86">
        <v>0.04</v>
      </c>
      <c r="J26" s="86">
        <v>9.9000000000000005E-2</v>
      </c>
      <c r="K26" s="85"/>
      <c r="L26" s="85"/>
      <c r="M26" s="85"/>
      <c r="N26" s="87"/>
    </row>
    <row r="27" spans="7:20" x14ac:dyDescent="0.45">
      <c r="G27" s="79" t="s">
        <v>26939</v>
      </c>
      <c r="H27" s="85">
        <v>1</v>
      </c>
      <c r="I27" s="86">
        <v>0.04</v>
      </c>
      <c r="J27" s="86">
        <v>4.4999999999999998E-2</v>
      </c>
      <c r="K27" s="85"/>
      <c r="L27" s="85"/>
      <c r="M27" s="85"/>
      <c r="N27" s="87"/>
    </row>
    <row r="28" spans="7:20" x14ac:dyDescent="0.45">
      <c r="G28" s="88" t="s">
        <v>26939</v>
      </c>
      <c r="H28" s="89"/>
      <c r="I28" s="90"/>
      <c r="J28" s="90"/>
      <c r="K28" s="89"/>
      <c r="L28" s="89"/>
      <c r="M28" s="89"/>
      <c r="N28" s="91"/>
    </row>
    <row r="29" spans="7:20" x14ac:dyDescent="0.45">
      <c r="G29" s="79" t="s">
        <v>26940</v>
      </c>
      <c r="H29" s="85">
        <v>0</v>
      </c>
      <c r="I29" s="86">
        <v>4.1700000000000001E-2</v>
      </c>
      <c r="J29" s="86">
        <v>0.1007</v>
      </c>
      <c r="K29" s="85"/>
      <c r="L29" s="85"/>
      <c r="M29" s="85"/>
      <c r="N29" s="87"/>
    </row>
    <row r="30" spans="7:20" x14ac:dyDescent="0.45">
      <c r="G30" s="79" t="s">
        <v>26939</v>
      </c>
      <c r="H30" s="85">
        <v>1</v>
      </c>
      <c r="I30" s="86">
        <v>4.7024999999999997E-2</v>
      </c>
      <c r="J30" s="86">
        <v>5.1400000000000001E-2</v>
      </c>
      <c r="K30" s="85"/>
      <c r="L30" s="85"/>
      <c r="M30" s="85"/>
      <c r="N30" s="87"/>
    </row>
    <row r="31" spans="7:20" x14ac:dyDescent="0.45">
      <c r="G31" s="88" t="s">
        <v>26939</v>
      </c>
      <c r="H31" s="89"/>
      <c r="I31" s="90"/>
      <c r="J31" s="90"/>
      <c r="K31" s="89"/>
      <c r="L31" s="89"/>
      <c r="M31" s="89"/>
      <c r="N31" s="91"/>
    </row>
    <row r="32" spans="7:20" x14ac:dyDescent="0.45">
      <c r="G32" s="79" t="s">
        <v>5</v>
      </c>
      <c r="H32" s="85">
        <v>0</v>
      </c>
      <c r="I32" s="86">
        <v>1.6999999999999999E-3</v>
      </c>
      <c r="J32" s="86">
        <v>1.6999999999999999E-3</v>
      </c>
      <c r="K32" s="85"/>
      <c r="L32" s="85"/>
      <c r="M32" s="85"/>
      <c r="N32" s="87"/>
    </row>
    <row r="33" spans="5:14" x14ac:dyDescent="0.45">
      <c r="G33" s="79" t="s">
        <v>26939</v>
      </c>
      <c r="H33" s="85">
        <v>1</v>
      </c>
      <c r="I33" s="86">
        <v>9.8499999999999994E-3</v>
      </c>
      <c r="J33" s="86">
        <v>2.1499999999999998E-2</v>
      </c>
      <c r="K33" s="85"/>
      <c r="L33" s="85"/>
      <c r="M33" s="85"/>
      <c r="N33" s="87"/>
    </row>
    <row r="34" spans="5:14" x14ac:dyDescent="0.45">
      <c r="G34" s="88" t="s">
        <v>26939</v>
      </c>
      <c r="H34" s="89"/>
      <c r="I34" s="90"/>
      <c r="J34" s="90"/>
      <c r="K34" s="89"/>
      <c r="L34" s="89"/>
      <c r="M34" s="89"/>
      <c r="N34" s="91"/>
    </row>
    <row r="35" spans="5:14" x14ac:dyDescent="0.45">
      <c r="G35" s="79" t="s">
        <v>26941</v>
      </c>
      <c r="H35" s="85">
        <v>0</v>
      </c>
      <c r="I35" s="86">
        <v>4</v>
      </c>
      <c r="J35" s="86">
        <v>6</v>
      </c>
      <c r="K35" s="85"/>
      <c r="L35" s="85"/>
      <c r="M35" s="85"/>
      <c r="N35" s="87"/>
    </row>
    <row r="36" spans="5:14" x14ac:dyDescent="0.45">
      <c r="G36" s="79" t="s">
        <v>26939</v>
      </c>
      <c r="H36" s="85">
        <v>1</v>
      </c>
      <c r="I36" s="86">
        <v>6</v>
      </c>
      <c r="J36" s="86">
        <v>6</v>
      </c>
      <c r="K36" s="85"/>
      <c r="L36" s="85"/>
      <c r="M36" s="85"/>
      <c r="N36" s="87"/>
    </row>
    <row r="37" spans="5:14" ht="14.65" thickBot="1" x14ac:dyDescent="0.5">
      <c r="G37" s="92" t="s">
        <v>26939</v>
      </c>
      <c r="H37" s="93"/>
      <c r="I37" s="94"/>
      <c r="J37" s="94"/>
      <c r="K37" s="93"/>
      <c r="L37" s="93"/>
      <c r="M37" s="93"/>
      <c r="N37" s="95"/>
    </row>
    <row r="44" spans="5:14" ht="14.65" thickBot="1" x14ac:dyDescent="0.5"/>
    <row r="45" spans="5:14" ht="14.65" thickBot="1" x14ac:dyDescent="0.5">
      <c r="E45" s="76" t="s">
        <v>26931</v>
      </c>
      <c r="F45" s="97" t="s">
        <v>4</v>
      </c>
      <c r="G45" s="97" t="s">
        <v>26932</v>
      </c>
      <c r="H45" s="97" t="s">
        <v>26933</v>
      </c>
      <c r="I45" s="97" t="s">
        <v>26934</v>
      </c>
      <c r="J45" s="97" t="s">
        <v>26935</v>
      </c>
      <c r="K45" s="77" t="s">
        <v>26936</v>
      </c>
      <c r="L45" s="97" t="s">
        <v>26937</v>
      </c>
      <c r="M45" s="97" t="s">
        <v>26938</v>
      </c>
    </row>
    <row r="46" spans="5:14" x14ac:dyDescent="0.45">
      <c r="E46" s="99" t="s">
        <v>9</v>
      </c>
      <c r="F46" s="70">
        <v>0</v>
      </c>
      <c r="G46" s="70">
        <v>237</v>
      </c>
      <c r="H46" s="75">
        <v>3.3470699999999999E-2</v>
      </c>
      <c r="I46" s="75">
        <v>1.0639E-3</v>
      </c>
      <c r="J46" s="75">
        <v>1.63781E-2</v>
      </c>
      <c r="K46" s="96">
        <v>4.7999999999999996E-3</v>
      </c>
      <c r="L46" s="75">
        <v>2.3E-2</v>
      </c>
      <c r="M46" s="75">
        <v>0.03</v>
      </c>
    </row>
    <row r="47" spans="5:14" x14ac:dyDescent="0.45">
      <c r="E47" s="100" t="s">
        <v>26939</v>
      </c>
      <c r="F47" s="70">
        <v>1</v>
      </c>
      <c r="G47" s="70">
        <v>122</v>
      </c>
      <c r="H47" s="75">
        <v>3.0648999999999999E-2</v>
      </c>
      <c r="I47" s="75">
        <v>8.9760000000000003E-4</v>
      </c>
      <c r="J47" s="75">
        <v>9.9144000000000003E-3</v>
      </c>
      <c r="K47" s="96">
        <v>5.7999999999999996E-3</v>
      </c>
      <c r="L47" s="75">
        <v>2.4E-2</v>
      </c>
      <c r="M47" s="75">
        <v>2.8750000000000001E-2</v>
      </c>
    </row>
    <row r="48" spans="5:14" ht="9" customHeight="1" x14ac:dyDescent="0.45">
      <c r="E48" s="100" t="s">
        <v>26939</v>
      </c>
      <c r="F48" s="70" t="s">
        <v>26939</v>
      </c>
      <c r="G48" s="70" t="s">
        <v>26939</v>
      </c>
      <c r="H48" s="75" t="s">
        <v>26939</v>
      </c>
      <c r="I48" s="75" t="s">
        <v>26939</v>
      </c>
      <c r="J48" s="75" t="s">
        <v>26939</v>
      </c>
      <c r="K48" s="96" t="s">
        <v>26939</v>
      </c>
      <c r="L48" s="75" t="s">
        <v>26939</v>
      </c>
      <c r="M48" s="75" t="s">
        <v>26939</v>
      </c>
    </row>
    <row r="49" spans="5:13" x14ac:dyDescent="0.45">
      <c r="E49" s="100" t="s">
        <v>26940</v>
      </c>
      <c r="F49" s="70">
        <v>0</v>
      </c>
      <c r="G49" s="70">
        <v>237</v>
      </c>
      <c r="H49" s="75">
        <v>3.5170699999999999E-2</v>
      </c>
      <c r="I49" s="75">
        <v>1.0639E-3</v>
      </c>
      <c r="J49" s="75">
        <v>1.63781E-2</v>
      </c>
      <c r="K49" s="96">
        <v>6.4999999999999997E-3</v>
      </c>
      <c r="L49" s="75">
        <v>2.47E-2</v>
      </c>
      <c r="M49" s="75">
        <v>3.1699999999999999E-2</v>
      </c>
    </row>
    <row r="50" spans="5:13" x14ac:dyDescent="0.45">
      <c r="E50" s="100" t="s">
        <v>26939</v>
      </c>
      <c r="F50" s="70">
        <v>1</v>
      </c>
      <c r="G50" s="70">
        <v>122</v>
      </c>
      <c r="H50" s="75">
        <v>3.7682599999999997E-2</v>
      </c>
      <c r="I50" s="75">
        <v>8.5499999999999997E-4</v>
      </c>
      <c r="J50" s="75">
        <v>9.4442999999999992E-3</v>
      </c>
      <c r="K50" s="96">
        <v>1.375E-2</v>
      </c>
      <c r="L50" s="75">
        <v>3.2149999999999998E-2</v>
      </c>
      <c r="M50" s="75">
        <v>3.6200000000000003E-2</v>
      </c>
    </row>
    <row r="51" spans="5:13" ht="5.35" customHeight="1" x14ac:dyDescent="0.45">
      <c r="E51" s="100" t="s">
        <v>26939</v>
      </c>
      <c r="F51" s="70" t="s">
        <v>26939</v>
      </c>
      <c r="G51" s="70" t="s">
        <v>26939</v>
      </c>
      <c r="H51" s="75" t="s">
        <v>26939</v>
      </c>
      <c r="I51" s="75" t="s">
        <v>26939</v>
      </c>
      <c r="J51" s="75" t="s">
        <v>26939</v>
      </c>
      <c r="K51" s="96" t="s">
        <v>26939</v>
      </c>
      <c r="L51" s="75" t="s">
        <v>26939</v>
      </c>
      <c r="M51" s="75" t="s">
        <v>26939</v>
      </c>
    </row>
    <row r="52" spans="5:13" ht="15" customHeight="1" x14ac:dyDescent="0.45">
      <c r="E52" s="100" t="s">
        <v>5</v>
      </c>
      <c r="F52" s="70">
        <v>0</v>
      </c>
      <c r="G52" s="70">
        <v>237</v>
      </c>
      <c r="H52" s="75">
        <v>1.6999999999999999E-3</v>
      </c>
      <c r="I52" s="75">
        <v>0</v>
      </c>
      <c r="J52" s="75">
        <v>0</v>
      </c>
      <c r="K52" s="96">
        <v>1.6999999999999999E-3</v>
      </c>
      <c r="L52" s="75">
        <v>1.6999999999999999E-3</v>
      </c>
      <c r="M52" s="75">
        <v>1.6999999999999999E-3</v>
      </c>
    </row>
    <row r="53" spans="5:13" x14ac:dyDescent="0.45">
      <c r="E53" s="100" t="s">
        <v>26939</v>
      </c>
      <c r="F53" s="70">
        <v>1</v>
      </c>
      <c r="G53" s="70">
        <v>122</v>
      </c>
      <c r="H53" s="75">
        <v>7.0336000000000001E-3</v>
      </c>
      <c r="I53" s="75">
        <v>3.3510000000000001E-4</v>
      </c>
      <c r="J53" s="75">
        <v>3.7017999999999999E-3</v>
      </c>
      <c r="K53" s="96">
        <v>2.0999999999999999E-3</v>
      </c>
      <c r="L53" s="75">
        <v>3.2000000000000002E-3</v>
      </c>
      <c r="M53" s="75">
        <v>5.6499999999999996E-3</v>
      </c>
    </row>
    <row r="54" spans="5:13" ht="8.25" customHeight="1" x14ac:dyDescent="0.45">
      <c r="E54" s="100" t="s">
        <v>26939</v>
      </c>
      <c r="F54" s="70" t="s">
        <v>26939</v>
      </c>
      <c r="G54" s="70" t="s">
        <v>26939</v>
      </c>
      <c r="H54" s="70" t="s">
        <v>26939</v>
      </c>
      <c r="I54" s="70" t="s">
        <v>26939</v>
      </c>
      <c r="J54" s="70" t="s">
        <v>26939</v>
      </c>
      <c r="K54" s="72" t="s">
        <v>26939</v>
      </c>
      <c r="L54" s="70" t="s">
        <v>26939</v>
      </c>
      <c r="M54" s="70" t="s">
        <v>26939</v>
      </c>
    </row>
    <row r="55" spans="5:13" x14ac:dyDescent="0.45">
      <c r="E55" s="100" t="s">
        <v>26941</v>
      </c>
      <c r="F55" s="70">
        <v>0</v>
      </c>
      <c r="G55" s="70">
        <v>237</v>
      </c>
      <c r="H55" s="71">
        <v>3.5485199999999999</v>
      </c>
      <c r="I55" s="71">
        <v>8.4639900000000004E-2</v>
      </c>
      <c r="J55" s="71">
        <v>1.30301</v>
      </c>
      <c r="K55" s="74">
        <v>1</v>
      </c>
      <c r="L55" s="71">
        <v>3</v>
      </c>
      <c r="M55" s="71">
        <v>4</v>
      </c>
    </row>
    <row r="56" spans="5:13" ht="14.65" thickBot="1" x14ac:dyDescent="0.5">
      <c r="E56" s="101" t="s">
        <v>26939</v>
      </c>
      <c r="F56" s="70">
        <v>1</v>
      </c>
      <c r="G56" s="70">
        <v>122</v>
      </c>
      <c r="H56" s="71">
        <v>4.5409800000000002</v>
      </c>
      <c r="I56" s="71">
        <v>0.11472499999999999</v>
      </c>
      <c r="J56" s="71">
        <v>1.26718</v>
      </c>
      <c r="K56" s="74">
        <v>1</v>
      </c>
      <c r="L56" s="71">
        <v>4</v>
      </c>
      <c r="M56" s="71">
        <v>5</v>
      </c>
    </row>
    <row r="57" spans="5:13" ht="14.65" thickBot="1" x14ac:dyDescent="0.5">
      <c r="E57" s="76" t="s">
        <v>26931</v>
      </c>
      <c r="F57" s="97" t="s">
        <v>4</v>
      </c>
      <c r="G57" s="97" t="s">
        <v>26943</v>
      </c>
      <c r="H57" s="77"/>
      <c r="I57" s="77"/>
      <c r="J57" s="77"/>
      <c r="K57" s="77"/>
      <c r="L57" s="77"/>
      <c r="M57" s="77"/>
    </row>
    <row r="58" spans="5:13" x14ac:dyDescent="0.45">
      <c r="E58" s="99" t="s">
        <v>9</v>
      </c>
      <c r="F58" s="70">
        <v>0</v>
      </c>
      <c r="G58" s="75">
        <v>9.9000000000000005E-2</v>
      </c>
      <c r="H58" s="72"/>
      <c r="I58" s="72"/>
      <c r="J58" s="72"/>
      <c r="K58" s="72"/>
      <c r="L58" s="72"/>
      <c r="M58" s="72"/>
    </row>
    <row r="59" spans="5:13" x14ac:dyDescent="0.45">
      <c r="E59" s="100" t="s">
        <v>26939</v>
      </c>
      <c r="F59" s="70">
        <v>1</v>
      </c>
      <c r="G59" s="75">
        <v>4.4999999999999998E-2</v>
      </c>
      <c r="H59" s="72"/>
      <c r="I59" s="72"/>
      <c r="J59" s="72"/>
      <c r="K59" s="72"/>
      <c r="L59" s="72"/>
      <c r="M59" s="72"/>
    </row>
    <row r="60" spans="5:13" ht="5.35" customHeight="1" x14ac:dyDescent="0.45">
      <c r="E60" s="100" t="s">
        <v>26939</v>
      </c>
      <c r="F60" s="70" t="s">
        <v>26939</v>
      </c>
      <c r="G60" s="75" t="s">
        <v>26939</v>
      </c>
      <c r="H60" s="72"/>
      <c r="I60" s="72"/>
      <c r="J60" s="72"/>
      <c r="K60" s="72"/>
      <c r="L60" s="72"/>
      <c r="M60" s="72"/>
    </row>
    <row r="61" spans="5:13" x14ac:dyDescent="0.45">
      <c r="E61" s="100" t="s">
        <v>26940</v>
      </c>
      <c r="F61" s="70">
        <v>0</v>
      </c>
      <c r="G61" s="75">
        <v>0.1007</v>
      </c>
      <c r="H61" s="72"/>
      <c r="I61" s="72"/>
      <c r="J61" s="72"/>
      <c r="K61" s="72"/>
      <c r="L61" s="72"/>
      <c r="M61" s="72"/>
    </row>
    <row r="62" spans="5:13" x14ac:dyDescent="0.45">
      <c r="E62" s="100" t="s">
        <v>26939</v>
      </c>
      <c r="F62" s="70">
        <v>1</v>
      </c>
      <c r="G62" s="75">
        <v>5.1400000000000001E-2</v>
      </c>
      <c r="H62" s="72"/>
      <c r="I62" s="72"/>
      <c r="J62" s="72"/>
      <c r="K62" s="72"/>
      <c r="L62" s="72"/>
      <c r="M62" s="72"/>
    </row>
    <row r="63" spans="5:13" ht="7.5" customHeight="1" x14ac:dyDescent="0.45">
      <c r="E63" s="100" t="s">
        <v>26939</v>
      </c>
      <c r="F63" s="70" t="s">
        <v>26939</v>
      </c>
      <c r="G63" s="75" t="s">
        <v>26939</v>
      </c>
      <c r="H63" s="72"/>
      <c r="I63" s="72"/>
      <c r="J63" s="72"/>
      <c r="K63" s="72"/>
      <c r="L63" s="72"/>
      <c r="M63" s="72"/>
    </row>
    <row r="64" spans="5:13" x14ac:dyDescent="0.45">
      <c r="E64" s="100" t="s">
        <v>5</v>
      </c>
      <c r="F64" s="70">
        <v>0</v>
      </c>
      <c r="G64" s="75">
        <v>1.6999999999999999E-3</v>
      </c>
      <c r="H64" s="72"/>
      <c r="I64" s="72"/>
      <c r="J64" s="72"/>
      <c r="K64" s="72"/>
      <c r="L64" s="72"/>
      <c r="M64" s="72"/>
    </row>
    <row r="65" spans="2:13" x14ac:dyDescent="0.45">
      <c r="E65" s="100" t="s">
        <v>26939</v>
      </c>
      <c r="F65" s="70">
        <v>1</v>
      </c>
      <c r="G65" s="75">
        <v>2.1499999999999998E-2</v>
      </c>
      <c r="H65" s="72"/>
      <c r="I65" s="72"/>
      <c r="J65" s="72"/>
      <c r="K65" s="72"/>
      <c r="L65" s="72"/>
      <c r="M65" s="72"/>
    </row>
    <row r="66" spans="2:13" ht="7.5" customHeight="1" x14ac:dyDescent="0.45">
      <c r="E66" s="100" t="s">
        <v>26939</v>
      </c>
      <c r="F66" s="70" t="s">
        <v>26939</v>
      </c>
      <c r="G66" s="70" t="s">
        <v>26939</v>
      </c>
      <c r="H66" s="72"/>
      <c r="I66" s="72"/>
      <c r="J66" s="72"/>
      <c r="K66" s="72"/>
      <c r="L66" s="72"/>
      <c r="M66" s="72"/>
    </row>
    <row r="67" spans="2:13" x14ac:dyDescent="0.45">
      <c r="E67" s="100" t="s">
        <v>26941</v>
      </c>
      <c r="F67" s="70">
        <v>0</v>
      </c>
      <c r="G67" s="70">
        <v>6</v>
      </c>
      <c r="H67" s="72"/>
      <c r="I67" s="72"/>
      <c r="J67" s="72"/>
      <c r="K67" s="72"/>
      <c r="L67" s="72"/>
      <c r="M67" s="72"/>
    </row>
    <row r="68" spans="2:13" ht="14.65" thickBot="1" x14ac:dyDescent="0.5">
      <c r="E68" s="101" t="s">
        <v>26939</v>
      </c>
      <c r="F68" s="98">
        <v>1</v>
      </c>
      <c r="G68" s="98">
        <v>6</v>
      </c>
      <c r="H68" s="73"/>
      <c r="I68" s="73"/>
      <c r="J68" s="73"/>
      <c r="K68" s="73"/>
      <c r="L68" s="73"/>
      <c r="M68" s="73"/>
    </row>
    <row r="71" spans="2:13" ht="14.65" thickBot="1" x14ac:dyDescent="0.5"/>
    <row r="72" spans="2:13" ht="14.65" thickBot="1" x14ac:dyDescent="0.5">
      <c r="E72" s="117" t="s">
        <v>26931</v>
      </c>
      <c r="F72" s="103" t="s">
        <v>4</v>
      </c>
      <c r="G72" s="103" t="s">
        <v>26932</v>
      </c>
      <c r="H72" s="103" t="s">
        <v>26933</v>
      </c>
      <c r="I72" s="103" t="s">
        <v>26934</v>
      </c>
      <c r="J72" s="103" t="s">
        <v>26935</v>
      </c>
      <c r="K72" s="103" t="s">
        <v>26936</v>
      </c>
      <c r="L72" s="103" t="s">
        <v>26937</v>
      </c>
      <c r="M72" s="118" t="s">
        <v>26938</v>
      </c>
    </row>
    <row r="73" spans="2:13" x14ac:dyDescent="0.45">
      <c r="E73" s="104" t="s">
        <v>9</v>
      </c>
      <c r="F73" s="72">
        <v>0</v>
      </c>
      <c r="G73" s="70">
        <v>237</v>
      </c>
      <c r="H73" s="111">
        <v>3.3470699999999999E-2</v>
      </c>
      <c r="I73" s="111">
        <v>1.0639E-3</v>
      </c>
      <c r="J73" s="111">
        <v>1.63781E-2</v>
      </c>
      <c r="K73" s="111">
        <v>4.7999999999999996E-3</v>
      </c>
      <c r="L73" s="111">
        <v>2.3E-2</v>
      </c>
      <c r="M73" s="112">
        <v>0.03</v>
      </c>
    </row>
    <row r="74" spans="2:13" x14ac:dyDescent="0.45">
      <c r="E74" s="104" t="s">
        <v>26939</v>
      </c>
      <c r="F74" s="72">
        <v>1</v>
      </c>
      <c r="G74" s="70">
        <v>122</v>
      </c>
      <c r="H74" s="111">
        <v>3.0648999999999999E-2</v>
      </c>
      <c r="I74" s="111">
        <v>8.9760000000000003E-4</v>
      </c>
      <c r="J74" s="111">
        <v>9.9144000000000003E-3</v>
      </c>
      <c r="K74" s="111">
        <v>5.7999999999999996E-3</v>
      </c>
      <c r="L74" s="111">
        <v>2.4E-2</v>
      </c>
      <c r="M74" s="112">
        <v>2.8750000000000001E-2</v>
      </c>
    </row>
    <row r="75" spans="2:13" x14ac:dyDescent="0.45">
      <c r="E75" s="104" t="s">
        <v>26939</v>
      </c>
      <c r="F75" s="72" t="s">
        <v>26939</v>
      </c>
      <c r="G75" s="70" t="s">
        <v>26939</v>
      </c>
      <c r="H75" s="111" t="s">
        <v>26939</v>
      </c>
      <c r="I75" s="111" t="s">
        <v>26939</v>
      </c>
      <c r="J75" s="111" t="s">
        <v>26939</v>
      </c>
      <c r="K75" s="111" t="s">
        <v>26939</v>
      </c>
      <c r="L75" s="111" t="s">
        <v>26939</v>
      </c>
      <c r="M75" s="112" t="s">
        <v>26939</v>
      </c>
    </row>
    <row r="76" spans="2:13" x14ac:dyDescent="0.45">
      <c r="E76" s="104" t="s">
        <v>26940</v>
      </c>
      <c r="F76" s="72">
        <v>0</v>
      </c>
      <c r="G76" s="70">
        <v>237</v>
      </c>
      <c r="H76" s="111">
        <v>3.5170699999999999E-2</v>
      </c>
      <c r="I76" s="111">
        <v>1.0639E-3</v>
      </c>
      <c r="J76" s="111">
        <v>1.63781E-2</v>
      </c>
      <c r="K76" s="111">
        <v>6.4999999999999997E-3</v>
      </c>
      <c r="L76" s="111">
        <v>2.47E-2</v>
      </c>
      <c r="M76" s="112">
        <v>3.1699999999999999E-2</v>
      </c>
    </row>
    <row r="77" spans="2:13" x14ac:dyDescent="0.45">
      <c r="E77" s="104" t="s">
        <v>26939</v>
      </c>
      <c r="F77" s="72">
        <v>1</v>
      </c>
      <c r="G77" s="70">
        <v>122</v>
      </c>
      <c r="H77" s="111">
        <v>3.7682599999999997E-2</v>
      </c>
      <c r="I77" s="111">
        <v>8.5499999999999997E-4</v>
      </c>
      <c r="J77" s="111">
        <v>9.4442999999999992E-3</v>
      </c>
      <c r="K77" s="111">
        <v>1.375E-2</v>
      </c>
      <c r="L77" s="111">
        <v>3.2149999999999998E-2</v>
      </c>
      <c r="M77" s="112">
        <v>3.6200000000000003E-2</v>
      </c>
    </row>
    <row r="78" spans="2:13" x14ac:dyDescent="0.45">
      <c r="E78" s="104" t="s">
        <v>26939</v>
      </c>
      <c r="F78" s="72" t="s">
        <v>26939</v>
      </c>
      <c r="G78" s="70" t="s">
        <v>26939</v>
      </c>
      <c r="H78" s="111" t="s">
        <v>26939</v>
      </c>
      <c r="I78" s="111" t="s">
        <v>26939</v>
      </c>
      <c r="J78" s="111" t="s">
        <v>26939</v>
      </c>
      <c r="K78" s="111" t="s">
        <v>26939</v>
      </c>
      <c r="L78" s="111" t="s">
        <v>26939</v>
      </c>
      <c r="M78" s="112" t="s">
        <v>26939</v>
      </c>
    </row>
    <row r="79" spans="2:13" x14ac:dyDescent="0.45">
      <c r="C79" s="102"/>
      <c r="E79" s="104" t="s">
        <v>5</v>
      </c>
      <c r="F79" s="72">
        <v>0</v>
      </c>
      <c r="G79" s="70">
        <v>237</v>
      </c>
      <c r="H79" s="111">
        <v>1.6999999999999999E-3</v>
      </c>
      <c r="I79" s="111">
        <v>0</v>
      </c>
      <c r="J79" s="111">
        <v>0</v>
      </c>
      <c r="K79" s="111">
        <v>1.6999999999999999E-3</v>
      </c>
      <c r="L79" s="111">
        <v>1.6999999999999999E-3</v>
      </c>
      <c r="M79" s="112">
        <v>1.6999999999999999E-3</v>
      </c>
    </row>
    <row r="80" spans="2:13" x14ac:dyDescent="0.45">
      <c r="B80" s="102"/>
      <c r="E80" s="104" t="s">
        <v>26939</v>
      </c>
      <c r="F80" s="72">
        <v>1</v>
      </c>
      <c r="G80" s="70">
        <v>122</v>
      </c>
      <c r="H80" s="111">
        <v>7.0336000000000001E-3</v>
      </c>
      <c r="I80" s="111">
        <v>3.3510000000000001E-4</v>
      </c>
      <c r="J80" s="111">
        <v>3.7017999999999999E-3</v>
      </c>
      <c r="K80" s="111">
        <v>2.0999999999999999E-3</v>
      </c>
      <c r="L80" s="111">
        <v>3.2000000000000002E-3</v>
      </c>
      <c r="M80" s="112">
        <v>5.6499999999999996E-3</v>
      </c>
    </row>
    <row r="81" spans="5:13" x14ac:dyDescent="0.45">
      <c r="E81" s="104" t="s">
        <v>26939</v>
      </c>
      <c r="F81" s="72" t="s">
        <v>26939</v>
      </c>
      <c r="G81" s="70" t="s">
        <v>26939</v>
      </c>
      <c r="H81" s="72" t="s">
        <v>26939</v>
      </c>
      <c r="I81" s="72" t="s">
        <v>26939</v>
      </c>
      <c r="J81" s="72" t="s">
        <v>26939</v>
      </c>
      <c r="K81" s="72" t="s">
        <v>26939</v>
      </c>
      <c r="L81" s="72" t="s">
        <v>26939</v>
      </c>
      <c r="M81" s="105" t="s">
        <v>26939</v>
      </c>
    </row>
    <row r="82" spans="5:13" x14ac:dyDescent="0.45">
      <c r="E82" s="104" t="s">
        <v>26941</v>
      </c>
      <c r="F82" s="72">
        <v>0</v>
      </c>
      <c r="G82" s="70">
        <v>237</v>
      </c>
      <c r="H82" s="74">
        <v>3.5485199999999999</v>
      </c>
      <c r="I82" s="74">
        <v>8.4639900000000004E-2</v>
      </c>
      <c r="J82" s="74">
        <v>1.30301</v>
      </c>
      <c r="K82" s="74">
        <v>1</v>
      </c>
      <c r="L82" s="74">
        <v>3</v>
      </c>
      <c r="M82" s="113">
        <v>4</v>
      </c>
    </row>
    <row r="83" spans="5:13" x14ac:dyDescent="0.45">
      <c r="E83" s="104" t="s">
        <v>26939</v>
      </c>
      <c r="F83" s="72">
        <v>1</v>
      </c>
      <c r="G83" s="70">
        <v>122</v>
      </c>
      <c r="H83" s="74">
        <v>4.5409800000000002</v>
      </c>
      <c r="I83" s="74">
        <v>0.11472499999999999</v>
      </c>
      <c r="J83" s="74">
        <v>1.26718</v>
      </c>
      <c r="K83" s="74">
        <v>1</v>
      </c>
      <c r="L83" s="74">
        <v>4</v>
      </c>
      <c r="M83" s="113">
        <v>5</v>
      </c>
    </row>
    <row r="84" spans="5:13" x14ac:dyDescent="0.45">
      <c r="E84" s="104" t="s">
        <v>26939</v>
      </c>
      <c r="F84" s="72" t="s">
        <v>26939</v>
      </c>
      <c r="G84" s="70" t="s">
        <v>26939</v>
      </c>
      <c r="H84" s="72" t="s">
        <v>26939</v>
      </c>
      <c r="I84" s="72" t="s">
        <v>26939</v>
      </c>
      <c r="J84" s="72" t="s">
        <v>26939</v>
      </c>
      <c r="K84" s="72" t="s">
        <v>26939</v>
      </c>
      <c r="L84" s="72" t="s">
        <v>26939</v>
      </c>
      <c r="M84" s="105" t="s">
        <v>26939</v>
      </c>
    </row>
    <row r="85" spans="5:13" x14ac:dyDescent="0.45">
      <c r="E85" s="104" t="s">
        <v>26945</v>
      </c>
      <c r="F85" s="72">
        <v>0</v>
      </c>
      <c r="G85" s="70">
        <v>237</v>
      </c>
      <c r="H85" s="114">
        <v>5.9989000000000001E-2</v>
      </c>
      <c r="I85" s="114">
        <v>2.1928999999999998E-3</v>
      </c>
      <c r="J85" s="114">
        <v>3.3759299999999999E-2</v>
      </c>
      <c r="K85" s="114">
        <v>1.6881799999999999E-2</v>
      </c>
      <c r="L85" s="114">
        <v>4.0767400000000002E-2</v>
      </c>
      <c r="M85" s="115">
        <v>5.3627800000000003E-2</v>
      </c>
    </row>
    <row r="86" spans="5:13" ht="14.65" thickBot="1" x14ac:dyDescent="0.5">
      <c r="E86" s="104" t="s">
        <v>26939</v>
      </c>
      <c r="F86" s="72">
        <v>1</v>
      </c>
      <c r="G86" s="70">
        <v>122</v>
      </c>
      <c r="H86" s="114">
        <v>0.199687</v>
      </c>
      <c r="I86" s="114">
        <v>1.03461E-2</v>
      </c>
      <c r="J86" s="114">
        <v>0.114276</v>
      </c>
      <c r="K86" s="114">
        <v>6.6390000000000005E-2</v>
      </c>
      <c r="L86" s="114">
        <v>0.1</v>
      </c>
      <c r="M86" s="115">
        <v>0.18732799999999999</v>
      </c>
    </row>
    <row r="87" spans="5:13" ht="14.65" thickBot="1" x14ac:dyDescent="0.5">
      <c r="E87" s="106" t="s">
        <v>26931</v>
      </c>
      <c r="F87" s="97" t="s">
        <v>4</v>
      </c>
      <c r="G87" s="97" t="s">
        <v>26942</v>
      </c>
      <c r="H87" s="77" t="s">
        <v>26943</v>
      </c>
      <c r="I87" s="77"/>
      <c r="J87" s="77"/>
      <c r="K87" s="77"/>
      <c r="L87" s="77"/>
      <c r="M87" s="107"/>
    </row>
    <row r="88" spans="5:13" x14ac:dyDescent="0.45">
      <c r="E88" s="104" t="s">
        <v>9</v>
      </c>
      <c r="F88" s="72">
        <v>0</v>
      </c>
      <c r="G88" s="119">
        <v>0.04</v>
      </c>
      <c r="H88" s="111">
        <v>9.9000000000000005E-2</v>
      </c>
      <c r="I88" s="72"/>
      <c r="J88" s="72"/>
      <c r="K88" s="72"/>
      <c r="L88" s="72"/>
      <c r="M88" s="105"/>
    </row>
    <row r="89" spans="5:13" x14ac:dyDescent="0.45">
      <c r="E89" s="104" t="s">
        <v>26939</v>
      </c>
      <c r="F89" s="72">
        <v>1</v>
      </c>
      <c r="G89" s="119">
        <v>0.04</v>
      </c>
      <c r="H89" s="111">
        <v>4.4999999999999998E-2</v>
      </c>
      <c r="I89" s="72"/>
      <c r="J89" s="72"/>
      <c r="K89" s="72"/>
      <c r="L89" s="72"/>
      <c r="M89" s="105"/>
    </row>
    <row r="90" spans="5:13" x14ac:dyDescent="0.45">
      <c r="E90" s="104" t="s">
        <v>26939</v>
      </c>
      <c r="F90" s="72" t="s">
        <v>26939</v>
      </c>
      <c r="G90" s="119" t="s">
        <v>26939</v>
      </c>
      <c r="H90" s="111" t="s">
        <v>26939</v>
      </c>
      <c r="I90" s="72"/>
      <c r="J90" s="72"/>
      <c r="K90" s="72"/>
      <c r="L90" s="72"/>
      <c r="M90" s="105"/>
    </row>
    <row r="91" spans="5:13" x14ac:dyDescent="0.45">
      <c r="E91" s="104" t="s">
        <v>26940</v>
      </c>
      <c r="F91" s="72">
        <v>0</v>
      </c>
      <c r="G91" s="119">
        <v>4.1700000000000001E-2</v>
      </c>
      <c r="H91" s="111">
        <v>0.1007</v>
      </c>
      <c r="I91" s="72"/>
      <c r="J91" s="72"/>
      <c r="K91" s="72"/>
      <c r="L91" s="72"/>
      <c r="M91" s="105"/>
    </row>
    <row r="92" spans="5:13" x14ac:dyDescent="0.45">
      <c r="E92" s="104" t="s">
        <v>26939</v>
      </c>
      <c r="F92" s="72">
        <v>1</v>
      </c>
      <c r="G92" s="119">
        <v>4.7024999999999997E-2</v>
      </c>
      <c r="H92" s="111">
        <v>5.1400000000000001E-2</v>
      </c>
      <c r="I92" s="72"/>
      <c r="J92" s="72"/>
      <c r="K92" s="72"/>
      <c r="L92" s="72"/>
      <c r="M92" s="105"/>
    </row>
    <row r="93" spans="5:13" x14ac:dyDescent="0.45">
      <c r="E93" s="104" t="s">
        <v>26939</v>
      </c>
      <c r="F93" s="72" t="s">
        <v>26939</v>
      </c>
      <c r="G93" s="119" t="s">
        <v>26939</v>
      </c>
      <c r="H93" s="111" t="s">
        <v>26939</v>
      </c>
      <c r="I93" s="72"/>
      <c r="J93" s="72"/>
      <c r="K93" s="72"/>
      <c r="L93" s="72"/>
      <c r="M93" s="105"/>
    </row>
    <row r="94" spans="5:13" x14ac:dyDescent="0.45">
      <c r="E94" s="104" t="s">
        <v>5</v>
      </c>
      <c r="F94" s="72">
        <v>0</v>
      </c>
      <c r="G94" s="119">
        <v>1.6999999999999999E-3</v>
      </c>
      <c r="H94" s="111">
        <v>1.6999999999999999E-3</v>
      </c>
      <c r="I94" s="72"/>
      <c r="J94" s="72"/>
      <c r="K94" s="72"/>
      <c r="L94" s="72"/>
      <c r="M94" s="105"/>
    </row>
    <row r="95" spans="5:13" x14ac:dyDescent="0.45">
      <c r="E95" s="104" t="s">
        <v>26939</v>
      </c>
      <c r="F95" s="72">
        <v>1</v>
      </c>
      <c r="G95" s="119">
        <v>9.8499999999999994E-3</v>
      </c>
      <c r="H95" s="111">
        <v>2.1499999999999998E-2</v>
      </c>
      <c r="I95" s="72"/>
      <c r="J95" s="72"/>
      <c r="K95" s="72"/>
      <c r="L95" s="72"/>
      <c r="M95" s="105"/>
    </row>
    <row r="96" spans="5:13" x14ac:dyDescent="0.45">
      <c r="E96" s="104" t="s">
        <v>26939</v>
      </c>
      <c r="F96" s="72" t="s">
        <v>26939</v>
      </c>
      <c r="G96" s="70" t="s">
        <v>26939</v>
      </c>
      <c r="H96" s="72" t="s">
        <v>26939</v>
      </c>
      <c r="I96" s="72"/>
      <c r="J96" s="72"/>
      <c r="K96" s="72"/>
      <c r="L96" s="72"/>
      <c r="M96" s="105"/>
    </row>
    <row r="97" spans="5:13" x14ac:dyDescent="0.45">
      <c r="E97" s="104" t="s">
        <v>26941</v>
      </c>
      <c r="F97" s="72">
        <v>0</v>
      </c>
      <c r="G97" s="70">
        <v>4</v>
      </c>
      <c r="H97" s="72">
        <v>6</v>
      </c>
      <c r="I97" s="72"/>
      <c r="J97" s="72"/>
      <c r="K97" s="72"/>
      <c r="L97" s="72"/>
      <c r="M97" s="105"/>
    </row>
    <row r="98" spans="5:13" x14ac:dyDescent="0.45">
      <c r="E98" s="104" t="s">
        <v>26939</v>
      </c>
      <c r="F98" s="72">
        <v>1</v>
      </c>
      <c r="G98" s="70">
        <v>6</v>
      </c>
      <c r="H98" s="72">
        <v>6</v>
      </c>
      <c r="I98" s="72"/>
      <c r="J98" s="72"/>
      <c r="K98" s="72"/>
      <c r="L98" s="72"/>
      <c r="M98" s="105"/>
    </row>
    <row r="99" spans="5:13" x14ac:dyDescent="0.45">
      <c r="E99" s="104" t="s">
        <v>26939</v>
      </c>
      <c r="F99" s="72" t="s">
        <v>26939</v>
      </c>
      <c r="G99" s="70" t="s">
        <v>26939</v>
      </c>
      <c r="H99" s="72" t="s">
        <v>26939</v>
      </c>
      <c r="I99" s="72"/>
      <c r="J99" s="72"/>
      <c r="K99" s="72"/>
      <c r="L99" s="72"/>
      <c r="M99" s="105"/>
    </row>
    <row r="100" spans="5:13" x14ac:dyDescent="0.45">
      <c r="E100" s="104" t="s">
        <v>26945</v>
      </c>
      <c r="F100" s="72">
        <v>0</v>
      </c>
      <c r="G100" s="75">
        <v>6.8854100000000001E-2</v>
      </c>
      <c r="H100" s="96">
        <v>0.26153799999999999</v>
      </c>
      <c r="I100" s="72"/>
      <c r="J100" s="72"/>
      <c r="K100" s="72"/>
      <c r="L100" s="72"/>
      <c r="M100" s="105"/>
    </row>
    <row r="101" spans="5:13" ht="14.65" thickBot="1" x14ac:dyDescent="0.5">
      <c r="E101" s="108" t="s">
        <v>26939</v>
      </c>
      <c r="F101" s="109">
        <v>1</v>
      </c>
      <c r="G101" s="120">
        <v>0.26282100000000003</v>
      </c>
      <c r="H101" s="116">
        <v>0.58718899999999996</v>
      </c>
      <c r="I101" s="109"/>
      <c r="J101" s="109"/>
      <c r="K101" s="109"/>
      <c r="L101" s="109"/>
      <c r="M101" s="1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 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Kolade Salawu</dc:creator>
  <cp:lastModifiedBy>Kolade Salawu</cp:lastModifiedBy>
  <dcterms:created xsi:type="dcterms:W3CDTF">2026-03-29T19:44:09Z</dcterms:created>
  <dcterms:modified xsi:type="dcterms:W3CDTF">2026-04-02T11:37:23Z</dcterms:modified>
</cp:coreProperties>
</file>